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ate1904="1" codeName="ThisWorkbook"/>
  <mc:AlternateContent xmlns:mc="http://schemas.openxmlformats.org/markup-compatibility/2006">
    <mc:Choice Requires="x15">
      <x15ac:absPath xmlns:x15ac="http://schemas.microsoft.com/office/spreadsheetml/2010/11/ac" url="E:\Website_24_11_2020\cmis6\cmis6\Civilworks cost\Valuation\"/>
    </mc:Choice>
  </mc:AlternateContent>
  <bookViews>
    <workbookView xWindow="0" yWindow="0" windowWidth="7476" windowHeight="5352" tabRatio="772" firstSheet="2" activeTab="8"/>
  </bookViews>
  <sheets>
    <sheet name="Input sheet" sheetId="11" r:id="rId1"/>
    <sheet name="Valuation output" sheetId="13" r:id="rId2"/>
    <sheet name="Stories to Numbers" sheetId="28" r:id="rId3"/>
    <sheet name="Diagnostics" sheetId="12" r:id="rId4"/>
    <sheet name="Summary Sheet" sheetId="29" r:id="rId5"/>
    <sheet name="Option value" sheetId="14" r:id="rId6"/>
    <sheet name="Cost of capital worksheet" sheetId="19" r:id="rId7"/>
    <sheet name="R&amp; D converter" sheetId="25" r:id="rId8"/>
    <sheet name="Operating lease converter" sheetId="18" r:id="rId9"/>
    <sheet name="Country equity risk premiums" sheetId="23" r:id="rId10"/>
    <sheet name="Synthetic rating" sheetId="20" r:id="rId11"/>
    <sheet name="Industry Average Beta (US)" sheetId="8" r:id="rId12"/>
    <sheet name="Industry Average Beta (Global)" sheetId="26" r:id="rId13"/>
    <sheet name="Trailing 12 month" sheetId="24" r:id="rId14"/>
    <sheet name="Answer keys" sheetId="21" r:id="rId15"/>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3" i="13" l="1"/>
  <c r="B19" i="13"/>
  <c r="C14" i="13"/>
  <c r="C13" i="13"/>
  <c r="B14" i="24"/>
  <c r="D27" i="28" l="1"/>
  <c r="B24" i="11" l="1"/>
  <c r="B28" i="11"/>
  <c r="E40" i="24" l="1"/>
  <c r="E38" i="24"/>
  <c r="B12" i="18"/>
  <c r="B11" i="18"/>
  <c r="B10" i="18"/>
  <c r="B9" i="18"/>
  <c r="B8" i="18"/>
  <c r="B7" i="18"/>
  <c r="E4" i="18"/>
  <c r="E37" i="24"/>
  <c r="E36" i="24"/>
  <c r="C14" i="24" l="1"/>
  <c r="D14" i="24"/>
  <c r="D12" i="20" l="1"/>
  <c r="D52" i="20" l="1"/>
  <c r="D51" i="20"/>
  <c r="D50" i="20"/>
  <c r="D49" i="20"/>
  <c r="D48" i="20"/>
  <c r="D47" i="20"/>
  <c r="D46" i="20"/>
  <c r="D45" i="20"/>
  <c r="D44" i="20"/>
  <c r="D43" i="20"/>
  <c r="D42" i="20"/>
  <c r="D41" i="20"/>
  <c r="D40" i="20"/>
  <c r="D39" i="20"/>
  <c r="D38" i="20"/>
  <c r="D173" i="23"/>
  <c r="D148" i="23" s="1"/>
  <c r="D91" i="23" l="1"/>
  <c r="D115" i="23"/>
  <c r="D179" i="23"/>
  <c r="D20" i="23"/>
  <c r="D27" i="23"/>
  <c r="D116" i="23"/>
  <c r="D19" i="23"/>
  <c r="D51" i="23"/>
  <c r="D147" i="23"/>
  <c r="D59" i="23"/>
  <c r="D83" i="23"/>
  <c r="D84" i="23"/>
  <c r="D52" i="23"/>
  <c r="D123" i="23"/>
  <c r="D155" i="23"/>
  <c r="D28" i="23"/>
  <c r="D60" i="23"/>
  <c r="D92" i="23"/>
  <c r="D124" i="23"/>
  <c r="D156" i="23"/>
  <c r="D35" i="23"/>
  <c r="D67" i="23"/>
  <c r="D99" i="23"/>
  <c r="D131" i="23"/>
  <c r="D163" i="23"/>
  <c r="D164" i="23"/>
  <c r="D68" i="23"/>
  <c r="D100" i="23"/>
  <c r="D11" i="23"/>
  <c r="D43" i="23"/>
  <c r="D75" i="23"/>
  <c r="D107" i="23"/>
  <c r="D139" i="23"/>
  <c r="D171" i="23"/>
  <c r="D36" i="23"/>
  <c r="D132" i="23"/>
  <c r="D12" i="23"/>
  <c r="D44" i="23"/>
  <c r="D76" i="23"/>
  <c r="D108" i="23"/>
  <c r="D140" i="23"/>
  <c r="D172" i="23"/>
  <c r="D13" i="23"/>
  <c r="D29" i="23"/>
  <c r="D61" i="23"/>
  <c r="D85" i="23"/>
  <c r="D141" i="23"/>
  <c r="D126" i="23"/>
  <c r="D53" i="23"/>
  <c r="D117" i="23"/>
  <c r="D174" i="23"/>
  <c r="D14" i="23"/>
  <c r="D38" i="23"/>
  <c r="D70" i="23"/>
  <c r="D86" i="23"/>
  <c r="D118" i="23"/>
  <c r="D158" i="23"/>
  <c r="D15" i="23"/>
  <c r="D31" i="23"/>
  <c r="D47" i="23"/>
  <c r="D79" i="23"/>
  <c r="D95" i="23"/>
  <c r="D103" i="23"/>
  <c r="D119" i="23"/>
  <c r="D151" i="23"/>
  <c r="D159" i="23"/>
  <c r="D167" i="23"/>
  <c r="D176" i="23"/>
  <c r="D69" i="23"/>
  <c r="D109" i="23"/>
  <c r="D157" i="23"/>
  <c r="D6" i="23"/>
  <c r="D30" i="23"/>
  <c r="D54" i="23"/>
  <c r="D78" i="23"/>
  <c r="D110" i="23"/>
  <c r="D142" i="23"/>
  <c r="D166" i="23"/>
  <c r="D23" i="23"/>
  <c r="D55" i="23"/>
  <c r="D135" i="23"/>
  <c r="D16" i="23"/>
  <c r="D40" i="23"/>
  <c r="D48" i="23"/>
  <c r="D72" i="23"/>
  <c r="D96" i="23"/>
  <c r="D104" i="23"/>
  <c r="D120" i="23"/>
  <c r="D128" i="23"/>
  <c r="D136" i="23"/>
  <c r="D144" i="23"/>
  <c r="D152" i="23"/>
  <c r="D160" i="23"/>
  <c r="D168" i="23"/>
  <c r="D177" i="23"/>
  <c r="D21" i="23"/>
  <c r="D37" i="23"/>
  <c r="D77" i="23"/>
  <c r="D93" i="23"/>
  <c r="D125" i="23"/>
  <c r="D133" i="23"/>
  <c r="D165" i="23"/>
  <c r="D22" i="23"/>
  <c r="D62" i="23"/>
  <c r="D102" i="23"/>
  <c r="D150" i="23"/>
  <c r="D7" i="23"/>
  <c r="D63" i="23"/>
  <c r="D127" i="23"/>
  <c r="D8" i="23"/>
  <c r="D32" i="23"/>
  <c r="D64" i="23"/>
  <c r="D88" i="23"/>
  <c r="D57" i="23"/>
  <c r="D178" i="23"/>
  <c r="D45" i="23"/>
  <c r="D101" i="23"/>
  <c r="D149" i="23"/>
  <c r="D46" i="23"/>
  <c r="D94" i="23"/>
  <c r="D134" i="23"/>
  <c r="D175" i="23"/>
  <c r="D39" i="23"/>
  <c r="D71" i="23"/>
  <c r="D87" i="23"/>
  <c r="D111" i="23"/>
  <c r="D143" i="23"/>
  <c r="D24" i="23"/>
  <c r="D56" i="23"/>
  <c r="D80" i="23"/>
  <c r="D112" i="23"/>
  <c r="D9" i="23"/>
  <c r="D17" i="23"/>
  <c r="D25" i="23"/>
  <c r="D33" i="23"/>
  <c r="D41" i="23"/>
  <c r="D49" i="23"/>
  <c r="D65" i="23"/>
  <c r="D73" i="23"/>
  <c r="D81" i="23"/>
  <c r="D89" i="23"/>
  <c r="D97" i="23"/>
  <c r="D105" i="23"/>
  <c r="D113" i="23"/>
  <c r="D121" i="23"/>
  <c r="D129" i="23"/>
  <c r="D137" i="23"/>
  <c r="D145" i="23"/>
  <c r="D153" i="23"/>
  <c r="D161" i="23"/>
  <c r="D169" i="23"/>
  <c r="D10" i="23"/>
  <c r="D18" i="23"/>
  <c r="D26" i="23"/>
  <c r="D34" i="23"/>
  <c r="D42" i="23"/>
  <c r="D50" i="23"/>
  <c r="D58" i="23"/>
  <c r="D66" i="23"/>
  <c r="D74" i="23"/>
  <c r="D82" i="23"/>
  <c r="D90" i="23"/>
  <c r="D98" i="23"/>
  <c r="D106" i="23"/>
  <c r="D114" i="23"/>
  <c r="D122" i="23"/>
  <c r="D130" i="23"/>
  <c r="D138" i="23"/>
  <c r="D146" i="23"/>
  <c r="D154" i="23"/>
  <c r="D162" i="23"/>
  <c r="D170" i="23"/>
  <c r="B202" i="23"/>
  <c r="B204" i="23" s="1"/>
  <c r="B196" i="23" l="1"/>
  <c r="I23" i="19" s="1"/>
  <c r="B197" i="23"/>
  <c r="I24" i="19" s="1"/>
  <c r="B195" i="23"/>
  <c r="B199" i="23"/>
  <c r="I26" i="19" s="1"/>
  <c r="B198" i="23"/>
  <c r="I25" i="19" s="1"/>
  <c r="B200" i="23"/>
  <c r="I27" i="19" s="1"/>
  <c r="B201" i="23"/>
  <c r="I28" i="19" s="1"/>
  <c r="B194" i="23"/>
  <c r="I21" i="19" s="1"/>
  <c r="I29" i="19"/>
  <c r="G29" i="19"/>
  <c r="I22" i="19"/>
  <c r="G28" i="19"/>
  <c r="G27" i="19"/>
  <c r="G26" i="19"/>
  <c r="G25" i="19"/>
  <c r="G24" i="19"/>
  <c r="G23" i="19"/>
  <c r="G22" i="19"/>
  <c r="G21" i="19"/>
  <c r="I15" i="19"/>
  <c r="I14" i="19"/>
  <c r="I13" i="19"/>
  <c r="I12" i="19"/>
  <c r="I11" i="19"/>
  <c r="I10" i="19"/>
  <c r="I9" i="19"/>
  <c r="I8" i="19"/>
  <c r="I7" i="19"/>
  <c r="I6" i="19"/>
  <c r="A25" i="29"/>
  <c r="A37" i="29" s="1"/>
  <c r="A49" i="29" s="1"/>
  <c r="A24" i="29"/>
  <c r="A36" i="29" s="1"/>
  <c r="A48" i="29" s="1"/>
  <c r="A23" i="29"/>
  <c r="A35" i="29" s="1"/>
  <c r="A47" i="29" s="1"/>
  <c r="A22" i="29"/>
  <c r="A34" i="29"/>
  <c r="A46" i="29" s="1"/>
  <c r="A21" i="29"/>
  <c r="A33" i="29" s="1"/>
  <c r="A45" i="29" s="1"/>
  <c r="A20" i="29"/>
  <c r="A32" i="29" s="1"/>
  <c r="A44" i="29" s="1"/>
  <c r="A19" i="29"/>
  <c r="A31" i="29" s="1"/>
  <c r="A43" i="29" s="1"/>
  <c r="A18" i="29"/>
  <c r="A30" i="29" s="1"/>
  <c r="A42" i="29" s="1"/>
  <c r="A17" i="29"/>
  <c r="A29" i="29" s="1"/>
  <c r="A41" i="29" s="1"/>
  <c r="A16" i="29"/>
  <c r="A28" i="29" s="1"/>
  <c r="A40" i="29" s="1"/>
  <c r="C2" i="13"/>
  <c r="C3" i="29" s="1"/>
  <c r="M2" i="13"/>
  <c r="F9" i="28" s="1"/>
  <c r="D9" i="28" s="1"/>
  <c r="J24" i="11"/>
  <c r="A15" i="29"/>
  <c r="J23" i="11"/>
  <c r="B10" i="13"/>
  <c r="F2" i="29" s="1"/>
  <c r="B12" i="19"/>
  <c r="K24" i="11"/>
  <c r="J15" i="19"/>
  <c r="K15" i="19" s="1"/>
  <c r="J14" i="19"/>
  <c r="K14" i="19" s="1"/>
  <c r="H22" i="19"/>
  <c r="H32" i="19"/>
  <c r="J23" i="19" s="1"/>
  <c r="B6" i="13"/>
  <c r="B11" i="28" s="1"/>
  <c r="C11" i="28" s="1"/>
  <c r="B22" i="13"/>
  <c r="G33" i="28"/>
  <c r="G39" i="28"/>
  <c r="E2" i="24"/>
  <c r="I22" i="11" s="1"/>
  <c r="E4" i="24"/>
  <c r="B22" i="18"/>
  <c r="A22" i="18"/>
  <c r="B23" i="18"/>
  <c r="A23" i="18"/>
  <c r="B24" i="18"/>
  <c r="A24" i="18"/>
  <c r="B25" i="18"/>
  <c r="A25" i="18"/>
  <c r="B26" i="18"/>
  <c r="A26" i="18"/>
  <c r="D18" i="18"/>
  <c r="B27" i="18" s="1"/>
  <c r="E3" i="24"/>
  <c r="A25" i="25"/>
  <c r="B25" i="25"/>
  <c r="A12" i="25"/>
  <c r="A26" i="25" s="1"/>
  <c r="B26" i="25"/>
  <c r="B27" i="25"/>
  <c r="C24" i="25"/>
  <c r="B28" i="25"/>
  <c r="B29" i="25"/>
  <c r="B30" i="25"/>
  <c r="B31" i="25"/>
  <c r="B32" i="25"/>
  <c r="B33" i="25"/>
  <c r="B34" i="25"/>
  <c r="M12" i="13"/>
  <c r="F14" i="28" s="1"/>
  <c r="D14" i="28" s="1"/>
  <c r="B6" i="19"/>
  <c r="B7" i="19"/>
  <c r="E5" i="24"/>
  <c r="B19" i="19" s="1"/>
  <c r="B18" i="19"/>
  <c r="D48" i="19"/>
  <c r="K52" i="19"/>
  <c r="H52" i="19"/>
  <c r="I52" i="19"/>
  <c r="J52" i="19" s="1"/>
  <c r="I53" i="19"/>
  <c r="J53" i="19" s="1"/>
  <c r="I54" i="19"/>
  <c r="J54" i="19" s="1"/>
  <c r="I55" i="19"/>
  <c r="J55" i="19" s="1"/>
  <c r="I56" i="19"/>
  <c r="J56" i="19" s="1"/>
  <c r="I57" i="19"/>
  <c r="J57" i="19" s="1"/>
  <c r="I58" i="19"/>
  <c r="J58" i="19" s="1"/>
  <c r="I59" i="19"/>
  <c r="J59" i="19" s="1"/>
  <c r="I60" i="19"/>
  <c r="J60" i="19" s="1"/>
  <c r="I61" i="19"/>
  <c r="J61" i="19" s="1"/>
  <c r="I62" i="19"/>
  <c r="J62" i="19" s="1"/>
  <c r="I63" i="19"/>
  <c r="J63" i="19" s="1"/>
  <c r="K53" i="19"/>
  <c r="K54" i="19"/>
  <c r="K55" i="19"/>
  <c r="K56" i="19"/>
  <c r="K57" i="19"/>
  <c r="K58" i="19"/>
  <c r="K59" i="19"/>
  <c r="K60" i="19"/>
  <c r="K61" i="19"/>
  <c r="K62" i="19"/>
  <c r="K63" i="19"/>
  <c r="B26" i="19"/>
  <c r="H18" i="19"/>
  <c r="J5" i="19" s="1"/>
  <c r="J7" i="19"/>
  <c r="K7" i="19" s="1"/>
  <c r="J8" i="19"/>
  <c r="K8" i="19" s="1"/>
  <c r="J9" i="19"/>
  <c r="K9" i="19" s="1"/>
  <c r="J10" i="19"/>
  <c r="K10" i="19" s="1"/>
  <c r="J11" i="19"/>
  <c r="K11" i="19" s="1"/>
  <c r="J12" i="19"/>
  <c r="K12" i="19" s="1"/>
  <c r="J13" i="19"/>
  <c r="K13" i="19" s="1"/>
  <c r="J17" i="19"/>
  <c r="K17" i="19" s="1"/>
  <c r="D50" i="19"/>
  <c r="M6" i="13"/>
  <c r="F11" i="28" s="1"/>
  <c r="D11" i="28" s="1"/>
  <c r="B26" i="13"/>
  <c r="B27" i="13"/>
  <c r="B28" i="13"/>
  <c r="B32" i="13"/>
  <c r="D38" i="28" s="1"/>
  <c r="C9" i="28"/>
  <c r="A1" i="28"/>
  <c r="F7" i="20"/>
  <c r="I36" i="19"/>
  <c r="K36" i="19" s="1"/>
  <c r="I47" i="19"/>
  <c r="K47" i="19" s="1"/>
  <c r="I46" i="19"/>
  <c r="J46" i="19" s="1"/>
  <c r="I45" i="19"/>
  <c r="J45" i="19" s="1"/>
  <c r="I44" i="19"/>
  <c r="K44" i="19" s="1"/>
  <c r="I43" i="19"/>
  <c r="K43" i="19" s="1"/>
  <c r="I42" i="19"/>
  <c r="J42" i="19" s="1"/>
  <c r="I41" i="19"/>
  <c r="J41" i="19" s="1"/>
  <c r="I40" i="19"/>
  <c r="K40" i="19" s="1"/>
  <c r="I39" i="19"/>
  <c r="K39" i="19" s="1"/>
  <c r="I38" i="19"/>
  <c r="J38" i="19" s="1"/>
  <c r="I37" i="19"/>
  <c r="J37" i="19" s="1"/>
  <c r="K27" i="11"/>
  <c r="K26" i="11"/>
  <c r="J27" i="11"/>
  <c r="J26" i="11"/>
  <c r="K25" i="11"/>
  <c r="K23" i="11"/>
  <c r="K22" i="11"/>
  <c r="J22" i="11"/>
  <c r="H64" i="19"/>
  <c r="C4" i="20"/>
  <c r="H48" i="19"/>
  <c r="J25" i="11"/>
  <c r="A27" i="18"/>
  <c r="B34" i="13"/>
  <c r="D9" i="14"/>
  <c r="F14" i="14" s="1"/>
  <c r="D8" i="14"/>
  <c r="F13" i="14" s="1"/>
  <c r="D5" i="14"/>
  <c r="F16" i="14" s="1"/>
  <c r="D4" i="14"/>
  <c r="C17" i="14" s="1"/>
  <c r="D3" i="14"/>
  <c r="C14" i="14" s="1"/>
  <c r="C16" i="14" s="1"/>
  <c r="D2" i="14"/>
  <c r="C13" i="14" s="1"/>
  <c r="D7" i="14"/>
  <c r="F15" i="14" s="1"/>
  <c r="F17" i="14"/>
  <c r="A13" i="25" l="1"/>
  <c r="A14" i="25" s="1"/>
  <c r="J16" i="19"/>
  <c r="K16" i="19" s="1"/>
  <c r="B3" i="13"/>
  <c r="B9" i="28" s="1"/>
  <c r="K23" i="19"/>
  <c r="F18" i="14"/>
  <c r="E25" i="25"/>
  <c r="C25" i="25"/>
  <c r="D25" i="25" s="1"/>
  <c r="J6" i="19"/>
  <c r="K6" i="19" s="1"/>
  <c r="J36" i="19"/>
  <c r="C26" i="25"/>
  <c r="D26" i="25" s="1"/>
  <c r="E26" i="25"/>
  <c r="A27" i="25"/>
  <c r="E27" i="25" s="1"/>
  <c r="J21" i="19"/>
  <c r="K21" i="19" s="1"/>
  <c r="J22" i="19"/>
  <c r="K22" i="19" s="1"/>
  <c r="J29" i="19"/>
  <c r="K29" i="19" s="1"/>
  <c r="J26" i="19"/>
  <c r="K26" i="19" s="1"/>
  <c r="J30" i="19"/>
  <c r="K30" i="19" s="1"/>
  <c r="D35" i="28"/>
  <c r="B17" i="13"/>
  <c r="B48" i="19"/>
  <c r="A15" i="25"/>
  <c r="A28" i="25"/>
  <c r="B24" i="25"/>
  <c r="D24" i="25" s="1"/>
  <c r="K38" i="19"/>
  <c r="J28" i="19"/>
  <c r="K28" i="19" s="1"/>
  <c r="D2" i="13"/>
  <c r="E2" i="13" s="1"/>
  <c r="F2" i="13" s="1"/>
  <c r="G2" i="13" s="1"/>
  <c r="J27" i="19"/>
  <c r="K27" i="19" s="1"/>
  <c r="J31" i="19"/>
  <c r="K31" i="19" s="1"/>
  <c r="C6" i="13"/>
  <c r="D6" i="13" s="1"/>
  <c r="E6" i="13" s="1"/>
  <c r="F6" i="13" s="1"/>
  <c r="G6" i="13" s="1"/>
  <c r="H6" i="13" s="1"/>
  <c r="I6" i="13" s="1"/>
  <c r="J6" i="13" s="1"/>
  <c r="K6" i="13" s="1"/>
  <c r="L6" i="13" s="1"/>
  <c r="J25" i="19"/>
  <c r="K25" i="19" s="1"/>
  <c r="J24" i="19"/>
  <c r="K24" i="19" s="1"/>
  <c r="J44" i="19"/>
  <c r="J43" i="19"/>
  <c r="J47" i="19"/>
  <c r="K42" i="19"/>
  <c r="J39" i="19"/>
  <c r="K37" i="19"/>
  <c r="K46" i="19"/>
  <c r="K45" i="19"/>
  <c r="K41" i="19"/>
  <c r="J64" i="19"/>
  <c r="K64" i="19" s="1"/>
  <c r="J40" i="19"/>
  <c r="C27" i="25" l="1"/>
  <c r="D27" i="25" s="1"/>
  <c r="B2" i="29"/>
  <c r="C3" i="13"/>
  <c r="B17" i="28" s="1"/>
  <c r="J18" i="19"/>
  <c r="H2" i="13"/>
  <c r="L2" i="13"/>
  <c r="I2" i="13"/>
  <c r="J2" i="13"/>
  <c r="K2" i="13"/>
  <c r="J32" i="19"/>
  <c r="E28" i="25"/>
  <c r="C28" i="25"/>
  <c r="D28" i="25" s="1"/>
  <c r="J48" i="19"/>
  <c r="K48" i="19" s="1"/>
  <c r="B11" i="19" s="1"/>
  <c r="K32" i="19"/>
  <c r="A16" i="25"/>
  <c r="A29" i="25"/>
  <c r="D3" i="13" l="1"/>
  <c r="B3" i="29"/>
  <c r="C16" i="29" s="1"/>
  <c r="A30" i="25"/>
  <c r="A17" i="25"/>
  <c r="C29" i="25"/>
  <c r="D29" i="25" s="1"/>
  <c r="E29" i="25"/>
  <c r="B4" i="29" l="1"/>
  <c r="E3" i="13"/>
  <c r="B18" i="28"/>
  <c r="C17" i="29"/>
  <c r="C4" i="29"/>
  <c r="A31" i="25"/>
  <c r="A18" i="25"/>
  <c r="E30" i="25"/>
  <c r="C30" i="25"/>
  <c r="D30" i="25" s="1"/>
  <c r="B5" i="29" l="1"/>
  <c r="C5" i="29" s="1"/>
  <c r="F3" i="13"/>
  <c r="B6" i="29" s="1"/>
  <c r="B19" i="28"/>
  <c r="A19" i="25"/>
  <c r="A32" i="25"/>
  <c r="E31" i="25"/>
  <c r="C31" i="25"/>
  <c r="D31" i="25" s="1"/>
  <c r="B20" i="28" l="1"/>
  <c r="G3" i="13"/>
  <c r="B21" i="28" s="1"/>
  <c r="C18" i="29"/>
  <c r="E32" i="25"/>
  <c r="C32" i="25"/>
  <c r="D32" i="25" s="1"/>
  <c r="C19" i="29"/>
  <c r="C6" i="29"/>
  <c r="A33" i="25"/>
  <c r="A20" i="25"/>
  <c r="A34" i="25" s="1"/>
  <c r="B7" i="29" l="1"/>
  <c r="H3" i="13"/>
  <c r="C34" i="25"/>
  <c r="D34" i="25" s="1"/>
  <c r="E34" i="25"/>
  <c r="E35" i="25" s="1"/>
  <c r="D37" i="25" s="1"/>
  <c r="D39" i="25" s="1"/>
  <c r="D40" i="25" s="1"/>
  <c r="E33" i="25"/>
  <c r="C33" i="25"/>
  <c r="D33" i="25" s="1"/>
  <c r="C20" i="29"/>
  <c r="C7" i="29"/>
  <c r="D35" i="25" l="1"/>
  <c r="B22" i="28"/>
  <c r="B8" i="29"/>
  <c r="C21" i="29" s="1"/>
  <c r="I3" i="13"/>
  <c r="B23" i="28" l="1"/>
  <c r="B9" i="29"/>
  <c r="C22" i="29" s="1"/>
  <c r="J3" i="13"/>
  <c r="B10" i="29" s="1"/>
  <c r="C8" i="29"/>
  <c r="B24" i="28" l="1"/>
  <c r="C9" i="29"/>
  <c r="K3" i="13"/>
  <c r="B25" i="28" s="1"/>
  <c r="C23" i="29"/>
  <c r="C10" i="29"/>
  <c r="L3" i="13" l="1"/>
  <c r="B12" i="29" s="1"/>
  <c r="B11" i="29"/>
  <c r="C11" i="29" s="1"/>
  <c r="B26" i="28" l="1"/>
  <c r="M3" i="13"/>
  <c r="J30" i="11" s="1"/>
  <c r="C24" i="29"/>
  <c r="C12" i="29"/>
  <c r="C25" i="29"/>
  <c r="B27" i="28" l="1"/>
  <c r="I5" i="19"/>
  <c r="K5" i="19" s="1"/>
  <c r="K18" i="19" s="1"/>
  <c r="B15" i="19" s="1"/>
  <c r="D5" i="23"/>
  <c r="D37" i="28" l="1"/>
  <c r="B30" i="13"/>
  <c r="D12" i="28"/>
  <c r="C38" i="13"/>
  <c r="D16" i="29" s="1"/>
  <c r="E16" i="29" s="1"/>
  <c r="C8" i="13" l="1"/>
  <c r="D38" i="13"/>
  <c r="D8" i="13" s="1"/>
  <c r="F18" i="28" s="1"/>
  <c r="F17" i="28"/>
  <c r="D17" i="29" l="1"/>
  <c r="E17" i="29" s="1"/>
  <c r="E38" i="13"/>
  <c r="D18" i="29" s="1"/>
  <c r="E18" i="29" s="1"/>
  <c r="F38" i="13"/>
  <c r="E8" i="13" l="1"/>
  <c r="F19" i="28" s="1"/>
  <c r="G38" i="13"/>
  <c r="F8" i="13"/>
  <c r="F20" i="28" s="1"/>
  <c r="D19" i="29"/>
  <c r="E19" i="29" s="1"/>
  <c r="H38" i="13" l="1"/>
  <c r="G8" i="13"/>
  <c r="F21" i="28" s="1"/>
  <c r="D20" i="29"/>
  <c r="E20" i="29" s="1"/>
  <c r="I38" i="13" l="1"/>
  <c r="D21" i="29"/>
  <c r="E21" i="29" s="1"/>
  <c r="H8" i="13"/>
  <c r="F22" i="28" l="1"/>
  <c r="D22" i="29"/>
  <c r="E22" i="29" s="1"/>
  <c r="J38" i="13"/>
  <c r="I8" i="13"/>
  <c r="F23" i="28" s="1"/>
  <c r="D23" i="29" l="1"/>
  <c r="E23" i="29" s="1"/>
  <c r="K38" i="13"/>
  <c r="J8" i="13"/>
  <c r="F24" i="28" s="1"/>
  <c r="L38" i="13" l="1"/>
  <c r="K8" i="13"/>
  <c r="F25" i="28" s="1"/>
  <c r="D24" i="29"/>
  <c r="E24" i="29" s="1"/>
  <c r="L8" i="13" l="1"/>
  <c r="F26" i="28" s="1"/>
  <c r="D25" i="29"/>
  <c r="E25" i="29" s="1"/>
  <c r="B33" i="19"/>
  <c r="C43" i="19"/>
  <c r="F5" i="20"/>
  <c r="F6" i="20"/>
  <c r="D9" i="20" s="1"/>
  <c r="E4" i="13"/>
  <c r="B5" i="13"/>
  <c r="B4" i="13" s="1"/>
  <c r="B7" i="13"/>
  <c r="B25" i="13"/>
  <c r="D34" i="28" s="1"/>
  <c r="B39" i="13"/>
  <c r="G15" i="29" s="1"/>
  <c r="G16" i="29" s="1"/>
  <c r="G17" i="29" s="1"/>
  <c r="G18" i="29" s="1"/>
  <c r="G19" i="29" s="1"/>
  <c r="G20" i="29" s="1"/>
  <c r="G21" i="29" s="1"/>
  <c r="G22" i="29" s="1"/>
  <c r="G23" i="29" s="1"/>
  <c r="G24" i="29" s="1"/>
  <c r="G25" i="29" s="1"/>
  <c r="B40" i="13" l="1"/>
  <c r="B13" i="28" s="1"/>
  <c r="I25" i="11"/>
  <c r="E5" i="13"/>
  <c r="C19" i="28"/>
  <c r="D19" i="28" s="1"/>
  <c r="D5" i="29"/>
  <c r="E5" i="29" s="1"/>
  <c r="F4" i="13"/>
  <c r="D4" i="13"/>
  <c r="D2" i="29"/>
  <c r="E2" i="29" s="1"/>
  <c r="G2" i="29" s="1"/>
  <c r="G4" i="13"/>
  <c r="I23" i="11"/>
  <c r="H4" i="13"/>
  <c r="B10" i="28"/>
  <c r="C10" i="28" s="1"/>
  <c r="I4" i="13"/>
  <c r="K4" i="13"/>
  <c r="L4" i="13"/>
  <c r="J4" i="13"/>
  <c r="C4" i="13"/>
  <c r="D11" i="20"/>
  <c r="D13" i="20" s="1"/>
  <c r="B25" i="19" s="1"/>
  <c r="D10" i="20"/>
  <c r="C39" i="13"/>
  <c r="D39" i="13" s="1"/>
  <c r="E39" i="13" s="1"/>
  <c r="F39" i="13" s="1"/>
  <c r="G39" i="13" s="1"/>
  <c r="H39" i="13" s="1"/>
  <c r="I39" i="13" s="1"/>
  <c r="J39" i="13" s="1"/>
  <c r="K39" i="13" s="1"/>
  <c r="L39" i="13" s="1"/>
  <c r="B3" i="12" s="1"/>
  <c r="H2" i="29"/>
  <c r="B15" i="29" s="1"/>
  <c r="H15" i="29" s="1"/>
  <c r="I24" i="11"/>
  <c r="B2" i="12"/>
  <c r="C50" i="19" l="1"/>
  <c r="C15" i="18"/>
  <c r="C41" i="19"/>
  <c r="C42" i="19"/>
  <c r="C44" i="19" s="1"/>
  <c r="D7" i="29"/>
  <c r="E7" i="29" s="1"/>
  <c r="C21" i="28"/>
  <c r="D21" i="28" s="1"/>
  <c r="G5" i="13"/>
  <c r="C24" i="28"/>
  <c r="D24" i="28" s="1"/>
  <c r="D10" i="29"/>
  <c r="E10" i="29" s="1"/>
  <c r="J5" i="13"/>
  <c r="C26" i="28"/>
  <c r="D26" i="28" s="1"/>
  <c r="L5" i="13"/>
  <c r="D12" i="29"/>
  <c r="E12" i="29" s="1"/>
  <c r="M4" i="13"/>
  <c r="C18" i="28"/>
  <c r="D18" i="28" s="1"/>
  <c r="D5" i="13"/>
  <c r="D4" i="29"/>
  <c r="E4" i="29" s="1"/>
  <c r="C20" i="28"/>
  <c r="D20" i="28" s="1"/>
  <c r="D6" i="29"/>
  <c r="E6" i="29" s="1"/>
  <c r="F5" i="13"/>
  <c r="D9" i="29"/>
  <c r="E9" i="29" s="1"/>
  <c r="C23" i="28"/>
  <c r="D23" i="28" s="1"/>
  <c r="I5" i="13"/>
  <c r="C5" i="13"/>
  <c r="D3" i="29"/>
  <c r="E3" i="29" s="1"/>
  <c r="C17" i="28"/>
  <c r="D17" i="28" s="1"/>
  <c r="K5" i="13"/>
  <c r="C25" i="28"/>
  <c r="D25" i="28" s="1"/>
  <c r="D11" i="29"/>
  <c r="E11" i="29" s="1"/>
  <c r="B4" i="12"/>
  <c r="C22" i="28"/>
  <c r="D22" i="28" s="1"/>
  <c r="D8" i="29"/>
  <c r="E8" i="29" s="1"/>
  <c r="H5" i="13"/>
  <c r="C48" i="19" l="1"/>
  <c r="M5" i="13"/>
  <c r="C27" i="28"/>
  <c r="F10" i="28"/>
  <c r="D10" i="28" s="1"/>
  <c r="B5" i="12"/>
  <c r="B6" i="12" s="1"/>
  <c r="D13" i="28" s="1"/>
  <c r="C22" i="18"/>
  <c r="C28" i="18" s="1"/>
  <c r="C23" i="18"/>
  <c r="C27" i="18"/>
  <c r="C24" i="18"/>
  <c r="C25" i="18"/>
  <c r="C26" i="18"/>
  <c r="C7" i="13"/>
  <c r="C10" i="13"/>
  <c r="F3" i="29" s="1"/>
  <c r="D7" i="13" l="1"/>
  <c r="D40" i="13" s="1"/>
  <c r="M7" i="13"/>
  <c r="N5" i="13"/>
  <c r="J31" i="11"/>
  <c r="F31" i="18"/>
  <c r="F32" i="18" s="1"/>
  <c r="F33" i="18"/>
  <c r="F34" i="18"/>
  <c r="H3" i="29"/>
  <c r="E17" i="28"/>
  <c r="G17" i="28" s="1"/>
  <c r="C9" i="13"/>
  <c r="C40" i="13"/>
  <c r="D10" i="13"/>
  <c r="C45" i="19"/>
  <c r="B50" i="19" s="1"/>
  <c r="E48" i="19"/>
  <c r="H4" i="29" l="1"/>
  <c r="E18" i="28"/>
  <c r="G18" i="28" s="1"/>
  <c r="D9" i="13"/>
  <c r="B49" i="19"/>
  <c r="D49" i="19"/>
  <c r="C49" i="19"/>
  <c r="F4" i="29"/>
  <c r="E7" i="13"/>
  <c r="E10" i="13"/>
  <c r="B16" i="29"/>
  <c r="G3" i="29"/>
  <c r="B17" i="29"/>
  <c r="G4" i="29"/>
  <c r="E27" i="28"/>
  <c r="F16" i="29" l="1"/>
  <c r="D40" i="29" s="1"/>
  <c r="H16" i="29"/>
  <c r="E40" i="13"/>
  <c r="E9" i="13"/>
  <c r="H5" i="29"/>
  <c r="E19" i="28"/>
  <c r="G19" i="28" s="1"/>
  <c r="F5" i="29"/>
  <c r="F7" i="13"/>
  <c r="F10" i="13"/>
  <c r="H17" i="29"/>
  <c r="F17" i="29"/>
  <c r="D41" i="29" s="1"/>
  <c r="E50" i="19"/>
  <c r="B29" i="11" s="1"/>
  <c r="C12" i="13" s="1"/>
  <c r="E49" i="19"/>
  <c r="B18" i="29" l="1"/>
  <c r="G5" i="29"/>
  <c r="H28" i="29"/>
  <c r="B40" i="29" s="1"/>
  <c r="C40" i="29" s="1"/>
  <c r="D12" i="13"/>
  <c r="C14" i="28"/>
  <c r="H6" i="29"/>
  <c r="F40" i="13"/>
  <c r="E20" i="28"/>
  <c r="G20" i="28" s="1"/>
  <c r="F9" i="13"/>
  <c r="F6" i="29"/>
  <c r="G10" i="13"/>
  <c r="G7" i="13"/>
  <c r="F40" i="29"/>
  <c r="B19" i="29" l="1"/>
  <c r="G6" i="29"/>
  <c r="H29" i="29"/>
  <c r="B41" i="29" s="1"/>
  <c r="E12" i="13"/>
  <c r="C41" i="29"/>
  <c r="E21" i="28"/>
  <c r="G21" i="28" s="1"/>
  <c r="G40" i="13"/>
  <c r="H7" i="29"/>
  <c r="G9" i="13"/>
  <c r="D13" i="13"/>
  <c r="F7" i="29"/>
  <c r="H10" i="13"/>
  <c r="H7" i="13"/>
  <c r="F18" i="29"/>
  <c r="D42" i="29" s="1"/>
  <c r="H18" i="29"/>
  <c r="B20" i="29" l="1"/>
  <c r="G7" i="29"/>
  <c r="H9" i="13"/>
  <c r="E22" i="28"/>
  <c r="G22" i="28" s="1"/>
  <c r="H8" i="29"/>
  <c r="H40" i="13"/>
  <c r="F8" i="29"/>
  <c r="I7" i="13"/>
  <c r="I10" i="13"/>
  <c r="F41" i="29"/>
  <c r="H30" i="29"/>
  <c r="B42" i="29" s="1"/>
  <c r="C42" i="29" s="1"/>
  <c r="F12" i="13"/>
  <c r="E13" i="13"/>
  <c r="D14" i="13"/>
  <c r="H19" i="29"/>
  <c r="F19" i="29"/>
  <c r="D43" i="29" s="1"/>
  <c r="C43" i="29" l="1"/>
  <c r="F43" i="29" s="1"/>
  <c r="F42" i="29"/>
  <c r="G12" i="13"/>
  <c r="H31" i="29"/>
  <c r="B43" i="29" s="1"/>
  <c r="B21" i="29"/>
  <c r="G8" i="29"/>
  <c r="I9" i="13"/>
  <c r="I40" i="13"/>
  <c r="E23" i="28"/>
  <c r="G23" i="28" s="1"/>
  <c r="H9" i="29"/>
  <c r="F13" i="13"/>
  <c r="E14" i="13"/>
  <c r="F9" i="29"/>
  <c r="J7" i="13"/>
  <c r="J10" i="13"/>
  <c r="F20" i="29"/>
  <c r="D44" i="29" s="1"/>
  <c r="H20" i="29"/>
  <c r="G13" i="13" l="1"/>
  <c r="F14" i="13"/>
  <c r="J9" i="13"/>
  <c r="E24" i="28"/>
  <c r="G24" i="28" s="1"/>
  <c r="H10" i="29"/>
  <c r="J40" i="13"/>
  <c r="H21" i="29"/>
  <c r="F21" i="29"/>
  <c r="D45" i="29" s="1"/>
  <c r="B22" i="29"/>
  <c r="G9" i="29"/>
  <c r="H32" i="29"/>
  <c r="B44" i="29" s="1"/>
  <c r="C44" i="29" s="1"/>
  <c r="H12" i="13"/>
  <c r="F10" i="29"/>
  <c r="K10" i="13"/>
  <c r="K7" i="13"/>
  <c r="F44" i="29" l="1"/>
  <c r="F22" i="29"/>
  <c r="D46" i="29" s="1"/>
  <c r="H22" i="29"/>
  <c r="H33" i="29"/>
  <c r="B45" i="29" s="1"/>
  <c r="C45" i="29" s="1"/>
  <c r="I12" i="13"/>
  <c r="B23" i="29"/>
  <c r="G10" i="29"/>
  <c r="E25" i="28"/>
  <c r="G25" i="28" s="1"/>
  <c r="H11" i="29"/>
  <c r="K9" i="13"/>
  <c r="K40" i="13"/>
  <c r="H13" i="13"/>
  <c r="G14" i="13"/>
  <c r="F11" i="29"/>
  <c r="L10" i="13"/>
  <c r="L7" i="13"/>
  <c r="F45" i="29" l="1"/>
  <c r="H23" i="29"/>
  <c r="F23" i="29"/>
  <c r="D47" i="29" s="1"/>
  <c r="I13" i="13"/>
  <c r="H14" i="13"/>
  <c r="B24" i="29"/>
  <c r="G11" i="29"/>
  <c r="F12" i="29"/>
  <c r="M10" i="13"/>
  <c r="H34" i="29"/>
  <c r="B46" i="29" s="1"/>
  <c r="C46" i="29" s="1"/>
  <c r="J12" i="13"/>
  <c r="L40" i="13"/>
  <c r="E26" i="28"/>
  <c r="G26" i="28" s="1"/>
  <c r="H12" i="29"/>
  <c r="L9" i="13"/>
  <c r="F46" i="29" l="1"/>
  <c r="J13" i="13"/>
  <c r="I14" i="13"/>
  <c r="J32" i="11"/>
  <c r="B7" i="12"/>
  <c r="F24" i="29"/>
  <c r="D48" i="29" s="1"/>
  <c r="H24" i="29"/>
  <c r="H35" i="29"/>
  <c r="B47" i="29" s="1"/>
  <c r="C47" i="29" s="1"/>
  <c r="F47" i="29" s="1"/>
  <c r="K12" i="13"/>
  <c r="B25" i="29"/>
  <c r="G12" i="29"/>
  <c r="H36" i="29" l="1"/>
  <c r="B48" i="29" s="1"/>
  <c r="L12" i="13"/>
  <c r="H25" i="29"/>
  <c r="F25" i="29"/>
  <c r="D49" i="29" s="1"/>
  <c r="K13" i="13"/>
  <c r="J14" i="13"/>
  <c r="C48" i="29"/>
  <c r="L13" i="13" l="1"/>
  <c r="K14" i="13"/>
  <c r="F48" i="29"/>
  <c r="M40" i="13"/>
  <c r="H37" i="29"/>
  <c r="B49" i="29" s="1"/>
  <c r="C49" i="29" s="1"/>
  <c r="M8" i="13" l="1"/>
  <c r="F13" i="28"/>
  <c r="F12" i="28"/>
  <c r="B8" i="12"/>
  <c r="L14" i="13"/>
  <c r="B20" i="13" s="1"/>
  <c r="D31" i="28" s="1"/>
  <c r="N8" i="13" l="1"/>
  <c r="F27" i="28"/>
  <c r="G27" i="28" s="1"/>
  <c r="M9" i="13"/>
  <c r="B16" i="13" s="1"/>
  <c r="B18" i="13" s="1"/>
  <c r="D29" i="28" l="1"/>
  <c r="E49" i="29"/>
  <c r="F49" i="29" s="1"/>
  <c r="F50" i="29" s="1"/>
  <c r="D30" i="28" l="1"/>
  <c r="B21" i="13"/>
  <c r="D32" i="28" l="1"/>
  <c r="B23" i="13"/>
  <c r="B24" i="13" s="1"/>
  <c r="B29" i="13" s="1"/>
  <c r="B31" i="13" s="1"/>
  <c r="B9" i="12" l="1"/>
  <c r="B10" i="12" s="1"/>
  <c r="B35" i="13"/>
  <c r="D33" i="28"/>
  <c r="D36" i="28" s="1"/>
  <c r="D39" i="28" s="1"/>
  <c r="D27" i="14"/>
  <c r="B21" i="14"/>
  <c r="C26" i="14"/>
  <c r="C15" i="14"/>
  <c r="B20" i="14"/>
  <c r="B23" i="14"/>
  <c r="B24" i="14"/>
</calcChain>
</file>

<file path=xl/comments1.xml><?xml version="1.0" encoding="utf-8"?>
<comments xmlns="http://schemas.openxmlformats.org/spreadsheetml/2006/main">
  <authors>
    <author>Aswath Damodaran</author>
  </authors>
  <commentList>
    <comment ref="C4" authorId="0" shapeId="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text>
        <r>
          <rPr>
            <b/>
            <sz val="9"/>
            <color rgb="FF000000"/>
            <rFont val="Geneva"/>
            <family val="2"/>
          </rPr>
          <t>Aswath Damodaran:</t>
        </r>
        <r>
          <rPr>
            <sz val="9"/>
            <color rgb="FF000000"/>
            <rFont val="Geneva"/>
            <family val="2"/>
          </rPr>
          <t xml:space="preserve">
</t>
        </r>
        <r>
          <rPr>
            <sz val="9"/>
            <color rgb="FF000000"/>
            <rFont val="Geneva"/>
            <family val="2"/>
          </rPr>
          <t>If you are in multiple businesses, you can construct your own weighted averages using the industry average table from this spreadsheet and your company's business breakdown.</t>
        </r>
      </text>
    </comment>
    <comment ref="D7" authorId="0" shapeId="0">
      <text>
        <r>
          <rPr>
            <b/>
            <sz val="10"/>
            <color indexed="81"/>
            <rFont val="Calibri"/>
            <family val="2"/>
          </rPr>
          <t>Aswath Damodaran:</t>
        </r>
        <r>
          <rPr>
            <sz val="10"/>
            <color indexed="81"/>
            <rFont val="Calibri"/>
            <family val="2"/>
          </rPr>
          <t xml:space="preserve">
If you have trailing 12 month numbers, the last year's numbers may be only 3 months, 6 months or 9 months ago.</t>
        </r>
      </text>
    </comment>
    <comment ref="B8" authorId="0" shapeId="0">
      <text>
        <r>
          <rPr>
            <b/>
            <sz val="9"/>
            <color rgb="FF000000"/>
            <rFont val="Geneva"/>
            <family val="2"/>
          </rPr>
          <t>Aswath Damodaran:</t>
        </r>
        <r>
          <rPr>
            <sz val="9"/>
            <color rgb="FF000000"/>
            <rFont val="Geneva"/>
            <family val="2"/>
          </rPr>
          <t xml:space="preserve">
</t>
        </r>
        <r>
          <rPr>
            <sz val="9"/>
            <color rgb="FF000000"/>
            <rFont val="Geneva"/>
            <family val="2"/>
          </rPr>
          <t>Enter the revenues from the most recent period (you can either use annual or the trailing 12 months). If your company had no revenues, enter a very small positive number. (You need a base for your growth rate)</t>
        </r>
      </text>
    </comment>
    <comment ref="C8" authorId="0" shapeId="0">
      <text>
        <r>
          <rPr>
            <b/>
            <sz val="9"/>
            <color rgb="FF000000"/>
            <rFont val="Geneva"/>
            <family val="2"/>
          </rPr>
          <t>Aswath Damodaran:</t>
        </r>
        <r>
          <rPr>
            <sz val="9"/>
            <color rgb="FF000000"/>
            <rFont val="Geneva"/>
            <family val="2"/>
          </rPr>
          <t xml:space="preserve">
</t>
        </r>
        <r>
          <rPr>
            <sz val="9"/>
            <color rgb="FF000000"/>
            <rFont val="Geneva"/>
            <family val="2"/>
          </rPr>
          <t>Enter the revenues from the most recent period (you can either use annual or the trailing 12 months). If your company had no revenues, enter a very small positive number. (You need a base for your growth rate)</t>
        </r>
      </text>
    </comment>
    <comment ref="B9" authorId="0" shapeId="0">
      <text>
        <r>
          <rPr>
            <b/>
            <sz val="9"/>
            <color rgb="FF000000"/>
            <rFont val="Geneva"/>
            <family val="2"/>
          </rPr>
          <t>Aswath Damodaran:</t>
        </r>
        <r>
          <rPr>
            <sz val="9"/>
            <color rgb="FF000000"/>
            <rFont val="Geneva"/>
            <family val="2"/>
          </rPr>
          <t xml:space="preserve">
</t>
        </r>
        <r>
          <rPr>
            <sz val="9"/>
            <color rgb="FF000000"/>
            <rFont val="Geneva"/>
            <family val="2"/>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9" authorId="0" shapeId="0">
      <text>
        <r>
          <rPr>
            <b/>
            <sz val="9"/>
            <color rgb="FF000000"/>
            <rFont val="Geneva"/>
            <family val="2"/>
          </rPr>
          <t>Aswath Damodaran:</t>
        </r>
        <r>
          <rPr>
            <sz val="9"/>
            <color rgb="FF000000"/>
            <rFont val="Geneva"/>
            <family val="2"/>
          </rPr>
          <t xml:space="preserve">
</t>
        </r>
        <r>
          <rPr>
            <sz val="9"/>
            <color rgb="FF000000"/>
            <rFont val="Geneva"/>
            <family val="2"/>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shapeId="0">
      <text>
        <r>
          <rPr>
            <b/>
            <sz val="9"/>
            <color rgb="FF000000"/>
            <rFont val="Geneva"/>
            <family val="2"/>
          </rPr>
          <t>Aswath Damodaran:</t>
        </r>
        <r>
          <rPr>
            <sz val="9"/>
            <color rgb="FF000000"/>
            <rFont val="Geneva"/>
            <family val="2"/>
          </rPr>
          <t xml:space="preserve">
</t>
        </r>
        <r>
          <rPr>
            <sz val="9"/>
            <color rgb="FF000000"/>
            <rFont val="Geneva"/>
            <family val="2"/>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1" authorId="0" shapeId="0">
      <text>
        <r>
          <rPr>
            <b/>
            <sz val="9"/>
            <color rgb="FF000000"/>
            <rFont val="Geneva"/>
            <family val="2"/>
          </rPr>
          <t>Aswath Damodaran:</t>
        </r>
        <r>
          <rPr>
            <sz val="9"/>
            <color rgb="FF000000"/>
            <rFont val="Geneva"/>
            <family val="2"/>
          </rPr>
          <t xml:space="preserve">
</t>
        </r>
        <r>
          <rPr>
            <sz val="9"/>
            <color rgb="FF000000"/>
            <rFont val="Geneva"/>
            <family val="2"/>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shapeId="0">
      <text>
        <r>
          <rPr>
            <b/>
            <sz val="9"/>
            <color rgb="FF000000"/>
            <rFont val="Geneva"/>
            <family val="2"/>
          </rPr>
          <t>Aswath Damodaran:</t>
        </r>
        <r>
          <rPr>
            <sz val="9"/>
            <color rgb="FF000000"/>
            <rFont val="Geneva"/>
            <family val="2"/>
          </rPr>
          <t xml:space="preserve">
</t>
        </r>
        <r>
          <rPr>
            <sz val="9"/>
            <color rgb="FF000000"/>
            <rFont val="Geneva"/>
            <family val="2"/>
          </rPr>
          <t xml:space="preserve">Enter the book value of interest bearing debt (short and long term) at your company from the most recent balance sheet. (Do not include accounts payable, supplier credit or other non-interest bearing liabilities.) </t>
        </r>
      </text>
    </comment>
    <comment ref="C12" authorId="0" shapeId="0">
      <text>
        <r>
          <rPr>
            <b/>
            <sz val="9"/>
            <color rgb="FF000000"/>
            <rFont val="Geneva"/>
            <family val="2"/>
          </rPr>
          <t>Aswath Damodaran:</t>
        </r>
        <r>
          <rPr>
            <sz val="9"/>
            <color rgb="FF000000"/>
            <rFont val="Geneva"/>
            <family val="2"/>
          </rPr>
          <t xml:space="preserve">
</t>
        </r>
        <r>
          <rPr>
            <sz val="9"/>
            <color rgb="FF000000"/>
            <rFont val="Geneva"/>
            <family val="2"/>
          </rPr>
          <t xml:space="preserve">Enter the book value of interest bearing debt (short and long term) at your company from the most recent balance sheet. (Do not include accounts payable, supplier credit or other non-interest bearing liabilities.) </t>
        </r>
      </text>
    </comment>
    <comment ref="B15" authorId="0" shapeId="0">
      <text>
        <r>
          <rPr>
            <b/>
            <sz val="9"/>
            <color rgb="FF000000"/>
            <rFont val="Geneva"/>
            <family val="2"/>
          </rPr>
          <t>Aswath Damodaran:</t>
        </r>
        <r>
          <rPr>
            <sz val="9"/>
            <color rgb="FF000000"/>
            <rFont val="Geneva"/>
            <family val="2"/>
          </rPr>
          <t xml:space="preserve">
</t>
        </r>
        <r>
          <rPr>
            <sz val="9"/>
            <color rgb="FF000000"/>
            <rFont val="Geneva"/>
            <family val="2"/>
          </rPr>
          <t>Enter the cash balance from the most recent balance sheet. This should include marketable securities.</t>
        </r>
      </text>
    </comment>
    <comment ref="C15" authorId="0" shapeId="0">
      <text>
        <r>
          <rPr>
            <b/>
            <sz val="9"/>
            <color rgb="FF000000"/>
            <rFont val="Geneva"/>
            <family val="2"/>
          </rPr>
          <t>Aswath Damodaran:</t>
        </r>
        <r>
          <rPr>
            <sz val="9"/>
            <color rgb="FF000000"/>
            <rFont val="Geneva"/>
            <family val="2"/>
          </rPr>
          <t xml:space="preserve">
</t>
        </r>
        <r>
          <rPr>
            <sz val="9"/>
            <color rgb="FF000000"/>
            <rFont val="Geneva"/>
            <family val="2"/>
          </rPr>
          <t>Enter the cash balance from the most recent balance sheet. This should include marketable securities.</t>
        </r>
      </text>
    </comment>
    <comment ref="B16" authorId="0" shapeId="0">
      <text>
        <r>
          <rPr>
            <b/>
            <sz val="9"/>
            <color rgb="FF000000"/>
            <rFont val="Geneva"/>
            <family val="2"/>
          </rPr>
          <t>Aswath Damodaran:</t>
        </r>
        <r>
          <rPr>
            <sz val="9"/>
            <color rgb="FF000000"/>
            <rFont val="Geneva"/>
            <family val="2"/>
          </rPr>
          <t xml:space="preserve">
</t>
        </r>
        <r>
          <rPr>
            <sz val="9"/>
            <color rgb="FF000000"/>
            <rFont val="Geneva"/>
            <family val="2"/>
          </rPr>
          <t>Enter the cash balance from the most recent balance sheet. This should include marketable securities.</t>
        </r>
      </text>
    </comment>
    <comment ref="C16" authorId="0" shapeId="0">
      <text>
        <r>
          <rPr>
            <b/>
            <sz val="9"/>
            <color rgb="FF000000"/>
            <rFont val="Geneva"/>
            <family val="2"/>
          </rPr>
          <t>Aswath Damodaran:</t>
        </r>
        <r>
          <rPr>
            <sz val="9"/>
            <color rgb="FF000000"/>
            <rFont val="Geneva"/>
            <family val="2"/>
          </rPr>
          <t xml:space="preserve">
</t>
        </r>
        <r>
          <rPr>
            <sz val="9"/>
            <color rgb="FF000000"/>
            <rFont val="Geneva"/>
            <family val="2"/>
          </rPr>
          <t>Enter the cash balance from the most recent balance sheet. This should include marketable securities.</t>
        </r>
      </text>
    </comment>
    <comment ref="B17" authorId="0" shapeId="0">
      <text>
        <r>
          <rPr>
            <b/>
            <sz val="9"/>
            <color rgb="FF000000"/>
            <rFont val="Geneva"/>
            <family val="2"/>
          </rPr>
          <t>Aswath Damodaran:</t>
        </r>
        <r>
          <rPr>
            <sz val="9"/>
            <color rgb="FF000000"/>
            <rFont val="Geneva"/>
            <family val="2"/>
          </rPr>
          <t xml:space="preserve">
</t>
        </r>
        <r>
          <rPr>
            <sz val="9"/>
            <color rgb="FF000000"/>
            <rFont val="Geneva"/>
            <family val="2"/>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8" authorId="0" shapeId="0">
      <text>
        <r>
          <rPr>
            <b/>
            <sz val="9"/>
            <color rgb="FF000000"/>
            <rFont val="Geneva"/>
            <family val="2"/>
          </rPr>
          <t>Aswath Damodaran:</t>
        </r>
        <r>
          <rPr>
            <sz val="9"/>
            <color rgb="FF000000"/>
            <rFont val="Geneva"/>
            <family val="2"/>
          </rPr>
          <t xml:space="preserve">
</t>
        </r>
        <r>
          <rPr>
            <sz val="9"/>
            <color rgb="FF000000"/>
            <rFont val="Geneva"/>
            <family val="2"/>
          </rPr>
          <t>Enter the most recent update you have on the number of shares. If you have different classes of shares, aggregate them all and enter one number. Count restricted stock units (RSUs) as shares but don't count shares underlying employee options.</t>
        </r>
      </text>
    </comment>
    <comment ref="B19" authorId="0" shapeId="0">
      <text>
        <r>
          <rPr>
            <b/>
            <sz val="9"/>
            <color rgb="FF000000"/>
            <rFont val="Geneva"/>
            <family val="2"/>
          </rPr>
          <t>Aswath Damodaran:</t>
        </r>
        <r>
          <rPr>
            <sz val="9"/>
            <color rgb="FF000000"/>
            <rFont val="Geneva"/>
            <family val="2"/>
          </rPr>
          <t xml:space="preserve">
</t>
        </r>
        <r>
          <rPr>
            <sz val="9"/>
            <color rgb="FF000000"/>
            <rFont val="Geneva"/>
            <family val="2"/>
          </rPr>
          <t xml:space="preserve">Enter the most recent stock price (how about today's?) in here. </t>
        </r>
      </text>
    </comment>
    <comment ref="B20" authorId="0" shapeId="0">
      <text>
        <r>
          <rPr>
            <b/>
            <sz val="9"/>
            <color rgb="FF000000"/>
            <rFont val="Geneva"/>
            <family val="2"/>
          </rPr>
          <t>Aswath Damodaran:</t>
        </r>
        <r>
          <rPr>
            <sz val="9"/>
            <color rgb="FF000000"/>
            <rFont val="Geneva"/>
            <family val="2"/>
          </rPr>
          <t xml:space="preserve">
</t>
        </r>
        <r>
          <rPr>
            <sz val="9"/>
            <color rgb="FF000000"/>
            <rFont val="Geneva"/>
            <family val="2"/>
          </rPr>
          <t xml:space="preserve">Enter your effective (not marginal) tax rate for your firm. You will find this in your company's annual report. If you cannot, you can compute it as follows, from the income statement:
</t>
        </r>
        <r>
          <rPr>
            <sz val="9"/>
            <color rgb="FF000000"/>
            <rFont val="Geneva"/>
            <family val="2"/>
          </rPr>
          <t xml:space="preserve">Effective tax rate = Taxes paid/ Taxable income
</t>
        </r>
        <r>
          <rPr>
            <sz val="9"/>
            <color rgb="FF000000"/>
            <rFont val="Geneva"/>
            <family val="2"/>
          </rPr>
          <t xml:space="preserve">If your effective tax rate varies across years, you can use an average. If the effective tax rate is less than zero, enter zero.
</t>
        </r>
        <r>
          <rPr>
            <sz val="9"/>
            <color rgb="FF000000"/>
            <rFont val="Geneva"/>
            <family val="2"/>
          </rPr>
          <t>If you have a money losing company, don't enter zero but enter the tax rate that you will have when you start making money.</t>
        </r>
      </text>
    </comment>
    <comment ref="B21" authorId="0" shapeId="0">
      <text>
        <r>
          <rPr>
            <b/>
            <sz val="9"/>
            <color rgb="FF000000"/>
            <rFont val="Geneva"/>
            <family val="2"/>
          </rPr>
          <t>Aswath Damodaran:</t>
        </r>
        <r>
          <rPr>
            <sz val="9"/>
            <color rgb="FF000000"/>
            <rFont val="Geneva"/>
            <family val="2"/>
          </rPr>
          <t xml:space="preserve">
</t>
        </r>
        <r>
          <rPr>
            <sz val="9"/>
            <color rgb="FF000000"/>
            <rFont val="Geneva"/>
            <family val="2"/>
          </rPr>
          <t>This is a statutory tax rate. I use the tax rate of the country the company is domiciled in. See worksheet embedded in this spreadshseet for country tax rates.</t>
        </r>
      </text>
    </comment>
    <comment ref="B23" authorId="0" shapeId="0">
      <text>
        <r>
          <rPr>
            <b/>
            <sz val="9"/>
            <color rgb="FF000000"/>
            <rFont val="Geneva"/>
            <family val="2"/>
          </rPr>
          <t>Aswath Damodaran:</t>
        </r>
        <r>
          <rPr>
            <sz val="9"/>
            <color rgb="FF000000"/>
            <rFont val="Geneva"/>
            <family val="2"/>
          </rPr>
          <t xml:space="preserve">
</t>
        </r>
        <r>
          <rPr>
            <sz val="9"/>
            <color rgb="FF000000"/>
            <rFont val="Geneva"/>
            <family val="2"/>
          </rPr>
          <t xml:space="preserve">I don't have a crystal ball but you should look at 
</t>
        </r>
        <r>
          <rPr>
            <sz val="9"/>
            <color rgb="FF000000"/>
            <rFont val="Geneva"/>
            <family val="2"/>
          </rPr>
          <t xml:space="preserve">a. Revenue growth in your company in recent years
</t>
        </r>
        <r>
          <rPr>
            <sz val="9"/>
            <color rgb="FF000000"/>
            <rFont val="Geneva"/>
            <family val="2"/>
          </rPr>
          <t xml:space="preserve">b. Your company's revenues, relative to the overall market size and larger players in the sector. 
</t>
        </r>
        <r>
          <rPr>
            <sz val="9"/>
            <color rgb="FF000000"/>
            <rFont val="Geneva"/>
            <family val="2"/>
          </rPr>
          <t xml:space="preserve">Suggestion: Check your revenues in year 10 against the overall market and see what market share are you giving your company. Check your company's revenues against other companies in the sector.
</t>
        </r>
        <r>
          <rPr>
            <sz val="9"/>
            <color rgb="FF000000"/>
            <rFont val="Geneva"/>
            <family val="2"/>
          </rPr>
          <t>Note that this number can be negative for a declining firm.</t>
        </r>
      </text>
    </comment>
    <comment ref="B24" authorId="0" shapeId="0">
      <text>
        <r>
          <rPr>
            <b/>
            <sz val="9"/>
            <color rgb="FF000000"/>
            <rFont val="Geneva"/>
            <family val="2"/>
          </rPr>
          <t>Aswath Damodaran:</t>
        </r>
        <r>
          <rPr>
            <sz val="9"/>
            <color rgb="FF000000"/>
            <rFont val="Geneva"/>
            <family val="2"/>
          </rPr>
          <t xml:space="preserve">
</t>
        </r>
        <r>
          <rPr>
            <sz val="9"/>
            <color rgb="FF000000"/>
            <rFont val="Geneva"/>
            <family val="2"/>
          </rPr>
          <t xml:space="preserve">You should start by looking at your company's current pre-tax operating margin  but also look at the average for your industry. (You can check my estimates of industry averages in the last worksheet on this spreadsheet.) </t>
        </r>
      </text>
    </comment>
    <comment ref="B25" authorId="0" shapeId="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26" authorId="0" shapeId="0">
      <text>
        <r>
          <rPr>
            <b/>
            <sz val="9"/>
            <color rgb="FF000000"/>
            <rFont val="Geneva"/>
            <family val="2"/>
          </rPr>
          <t>Aswath Damodaran:</t>
        </r>
        <r>
          <rPr>
            <sz val="9"/>
            <color rgb="FF000000"/>
            <rFont val="Geneva"/>
            <family val="2"/>
          </rPr>
          <t xml:space="preserve">
</t>
        </r>
        <r>
          <rPr>
            <sz val="9"/>
            <color rgb="FF000000"/>
            <rFont val="Geneva"/>
            <family val="2"/>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28" authorId="0" shapeId="0">
      <text>
        <r>
          <rPr>
            <b/>
            <sz val="9"/>
            <color rgb="FF000000"/>
            <rFont val="Geneva"/>
            <family val="2"/>
          </rPr>
          <t>Aswath Damodaran:</t>
        </r>
        <r>
          <rPr>
            <sz val="9"/>
            <color rgb="FF000000"/>
            <rFont val="Geneva"/>
            <family val="2"/>
          </rPr>
          <t xml:space="preserve">
</t>
        </r>
        <r>
          <rPr>
            <sz val="9"/>
            <color rgb="FF000000"/>
            <rFont val="Geneva"/>
            <family val="2"/>
          </rPr>
          <t>This should be today's long term riskfree rate. If you are working with a currency where the government has default risk, clean up the government bond rate to make it riskfree (by subtracting the default spread for the government).</t>
        </r>
      </text>
    </comment>
    <comment ref="B29" authorId="0" shapeId="0">
      <text>
        <r>
          <rPr>
            <b/>
            <sz val="9"/>
            <color rgb="FF000000"/>
            <rFont val="Geneva"/>
            <family val="2"/>
          </rPr>
          <t>Aswath Damodaran:</t>
        </r>
        <r>
          <rPr>
            <sz val="9"/>
            <color rgb="FF000000"/>
            <rFont val="Geneva"/>
            <family val="2"/>
          </rPr>
          <t xml:space="preserve">
</t>
        </r>
        <r>
          <rPr>
            <sz val="9"/>
            <color rgb="FF000000"/>
            <rFont val="Geneva"/>
            <family val="2"/>
          </rPr>
          <t xml:space="preserve">Enter the current cost of capital for your firm. If you don't know what it is, you can use the built-in worksheet to compute it. </t>
        </r>
      </text>
    </comment>
    <comment ref="J30" authorId="0" shapeId="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J31" authorId="0" shapeId="0">
      <text>
        <r>
          <rPr>
            <b/>
            <sz val="10"/>
            <color indexed="81"/>
            <rFont val="Calibri"/>
            <family val="2"/>
          </rPr>
          <t>Aswath Damodaran:</t>
        </r>
        <r>
          <rPr>
            <sz val="10"/>
            <color indexed="81"/>
            <rFont val="Calibri"/>
            <family val="2"/>
          </rPr>
          <t xml:space="preserve">
Determined by your target margin. </t>
        </r>
      </text>
    </comment>
    <comment ref="B32" authorId="0" shapeId="0">
      <text>
        <r>
          <rPr>
            <b/>
            <sz val="9"/>
            <color rgb="FF000000"/>
            <rFont val="Geneva"/>
            <family val="2"/>
          </rPr>
          <t>Aswath Damodaran:</t>
        </r>
        <r>
          <rPr>
            <sz val="9"/>
            <color rgb="FF000000"/>
            <rFont val="Geneva"/>
            <family val="2"/>
          </rPr>
          <t xml:space="preserve">
</t>
        </r>
        <r>
          <rPr>
            <sz val="9"/>
            <color rgb="FF000000"/>
            <rFont val="Geneva"/>
            <family val="2"/>
          </rPr>
          <t>Check your company's annual report or 10K. If it does have options outstanding, enter the total number here (vested and non vested, in the money and out…)</t>
        </r>
      </text>
    </comment>
    <comment ref="J32" authorId="0" shapeId="0">
      <text>
        <r>
          <rPr>
            <b/>
            <sz val="10"/>
            <color rgb="FF000000"/>
            <rFont val="Calibri"/>
            <family val="2"/>
          </rPr>
          <t>Aswath Damodaran:</t>
        </r>
        <r>
          <rPr>
            <sz val="10"/>
            <color rgb="FF000000"/>
            <rFont val="Calibri"/>
            <family val="2"/>
          </rPr>
          <t xml:space="preserve">
</t>
        </r>
        <r>
          <rPr>
            <sz val="10"/>
            <color rgb="FF000000"/>
            <rFont val="Calibri"/>
            <family val="2"/>
          </rPr>
          <t>Function of both your target margin and your sales to capital ratio.</t>
        </r>
      </text>
    </comment>
    <comment ref="B33" authorId="0" shapeId="0">
      <text>
        <r>
          <rPr>
            <b/>
            <sz val="9"/>
            <color rgb="FF000000"/>
            <rFont val="Geneva"/>
            <family val="2"/>
          </rPr>
          <t>Aswath Damodaran:</t>
        </r>
        <r>
          <rPr>
            <sz val="9"/>
            <color rgb="FF000000"/>
            <rFont val="Geneva"/>
            <family val="2"/>
          </rPr>
          <t xml:space="preserve">
</t>
        </r>
        <r>
          <rPr>
            <sz val="9"/>
            <color rgb="FF000000"/>
            <rFont val="Geneva"/>
            <family val="2"/>
          </rPr>
          <t>Enter the weighted average strike price of your options. (Should be in your 10K or annual report.)</t>
        </r>
      </text>
    </comment>
    <comment ref="B34" authorId="0" shapeId="0">
      <text>
        <r>
          <rPr>
            <b/>
            <sz val="9"/>
            <color rgb="FF000000"/>
            <rFont val="Geneva"/>
            <family val="2"/>
          </rPr>
          <t>Aswath Damodaran:</t>
        </r>
        <r>
          <rPr>
            <sz val="9"/>
            <color rgb="FF000000"/>
            <rFont val="Geneva"/>
            <family val="2"/>
          </rPr>
          <t xml:space="preserve">
</t>
        </r>
        <r>
          <rPr>
            <sz val="9"/>
            <color rgb="FF000000"/>
            <rFont val="Geneva"/>
            <family val="2"/>
          </rPr>
          <t>The weighted average maturity of your options should be reported in your financial statements.</t>
        </r>
      </text>
    </comment>
    <comment ref="B35" authorId="0" shapeId="0">
      <text>
        <r>
          <rPr>
            <b/>
            <sz val="9"/>
            <color rgb="FF000000"/>
            <rFont val="Geneva"/>
            <family val="2"/>
          </rPr>
          <t>Aswath Damodaran:</t>
        </r>
        <r>
          <rPr>
            <sz val="9"/>
            <color rgb="FF000000"/>
            <rFont val="Geneva"/>
            <family val="2"/>
          </rPr>
          <t xml:space="preserve">
</t>
        </r>
        <r>
          <rPr>
            <sz val="9"/>
            <color rgb="FF000000"/>
            <rFont val="Geneva"/>
            <family val="2"/>
          </rPr>
          <t>If you have a standard deviation for your stock, enter that number. If not, use the industry average standard deviation from the worksheet.</t>
        </r>
      </text>
    </comment>
    <comment ref="B39" authorId="0" shapeId="0">
      <text>
        <r>
          <rPr>
            <b/>
            <sz val="9"/>
            <color rgb="FF000000"/>
            <rFont val="Geneva"/>
            <family val="2"/>
          </rPr>
          <t>Aswath Damodaran:</t>
        </r>
        <r>
          <rPr>
            <sz val="9"/>
            <color rgb="FF000000"/>
            <rFont val="Geneva"/>
            <family val="2"/>
          </rPr>
          <t xml:space="preserve">
</t>
        </r>
        <r>
          <rPr>
            <sz val="9"/>
            <color rgb="FF000000"/>
            <rFont val="Geneva"/>
            <family val="2"/>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2" authorId="0" shapeId="0">
      <text>
        <r>
          <rPr>
            <b/>
            <sz val="9"/>
            <color rgb="FF000000"/>
            <rFont val="Geneva"/>
            <family val="2"/>
          </rPr>
          <t>Aswath Damodaran:</t>
        </r>
        <r>
          <rPr>
            <sz val="9"/>
            <color rgb="FF000000"/>
            <rFont val="Geneva"/>
            <family val="2"/>
          </rPr>
          <t xml:space="preserve">
</t>
        </r>
        <r>
          <rPr>
            <sz val="9"/>
            <color rgb="FF000000"/>
            <rFont val="Geneva"/>
            <family val="2"/>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3" authorId="0" shapeId="0">
      <text>
        <r>
          <rPr>
            <b/>
            <sz val="9"/>
            <color rgb="FF000000"/>
            <rFont val="Geneva"/>
            <family val="2"/>
          </rPr>
          <t>Aswath Damodaran:</t>
        </r>
        <r>
          <rPr>
            <sz val="9"/>
            <color rgb="FF000000"/>
            <rFont val="Geneva"/>
            <family val="2"/>
          </rPr>
          <t xml:space="preserve">
</t>
        </r>
        <r>
          <rPr>
            <sz val="9"/>
            <color rgb="FF000000"/>
            <rFont val="Geneva"/>
            <family val="2"/>
          </rPr>
          <t xml:space="preserve">Even if you believe your firm has significant competitive advantages, don't set this number to more than 5% more than your cost of capital. </t>
        </r>
      </text>
    </comment>
    <comment ref="B45" authorId="0" shapeId="0">
      <text>
        <r>
          <rPr>
            <b/>
            <sz val="9"/>
            <color rgb="FF000000"/>
            <rFont val="Geneva"/>
            <family val="2"/>
          </rPr>
          <t>Aswath Damodaran:</t>
        </r>
        <r>
          <rPr>
            <sz val="9"/>
            <color rgb="FF000000"/>
            <rFont val="Geneva"/>
            <family val="2"/>
          </rPr>
          <t xml:space="preserve">
</t>
        </r>
        <r>
          <rPr>
            <sz val="9"/>
            <color rgb="FF000000"/>
            <rFont val="Geneva"/>
            <family val="2"/>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6" authorId="0" shapeId="0">
      <text>
        <r>
          <rPr>
            <b/>
            <sz val="9"/>
            <color indexed="81"/>
            <rFont val="Geneva"/>
            <family val="2"/>
          </rPr>
          <t>Aswath Damodaran</t>
        </r>
        <r>
          <rPr>
            <sz val="9"/>
            <color indexed="81"/>
            <rFont val="Geneva"/>
            <family val="2"/>
          </rPr>
          <t xml:space="preserve">
If you want to look at ways of estimating this probability, try these papers I have on the topic:
For young growth companies: http://papers.ssrn.com/sol3/papers.cfm?abstract_id=1418687  
For declining, distressed companies: http://papers.ssrn.com/sol3/papers.cfm?abstract_id=1428022 </t>
        </r>
      </text>
    </comment>
    <comment ref="B47" authorId="0" shapeId="0">
      <text>
        <r>
          <rPr>
            <b/>
            <sz val="9"/>
            <color indexed="81"/>
            <rFont val="Geneva"/>
            <family val="2"/>
          </rPr>
          <t>Aswath Damodaran:</t>
        </r>
        <r>
          <rPr>
            <sz val="9"/>
            <color indexed="81"/>
            <rFont val="Geneva"/>
            <family val="2"/>
          </rPr>
          <t xml:space="preserve">
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48" authorId="0" shapeId="0">
      <text>
        <r>
          <rPr>
            <b/>
            <sz val="9"/>
            <color rgb="FF000000"/>
            <rFont val="Geneva"/>
            <family val="2"/>
          </rPr>
          <t>Aswath Damodaran:</t>
        </r>
        <r>
          <rPr>
            <sz val="9"/>
            <color rgb="FF000000"/>
            <rFont val="Geneva"/>
            <family val="2"/>
          </rPr>
          <t xml:space="preserve">
</t>
        </r>
        <r>
          <rPr>
            <sz val="9"/>
            <color rgb="FF000000"/>
            <rFont val="Genev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0" authorId="0" shapeId="0">
      <text>
        <r>
          <rPr>
            <b/>
            <sz val="9"/>
            <color rgb="FF000000"/>
            <rFont val="Geneva"/>
            <family val="2"/>
          </rPr>
          <t>Aswath Damodaran:</t>
        </r>
        <r>
          <rPr>
            <sz val="9"/>
            <color rgb="FF000000"/>
            <rFont val="Geneva"/>
            <family val="2"/>
          </rPr>
          <t xml:space="preserve">
</t>
        </r>
        <r>
          <rPr>
            <sz val="9"/>
            <color rgb="FF000000"/>
            <rFont val="Geneva"/>
            <family val="2"/>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2" authorId="0" shapeId="0">
      <text>
        <r>
          <rPr>
            <b/>
            <sz val="9"/>
            <color rgb="FF000000"/>
            <rFont val="Geneva"/>
            <family val="2"/>
          </rPr>
          <t>Aswath Damodaran:</t>
        </r>
        <r>
          <rPr>
            <sz val="9"/>
            <color rgb="FF000000"/>
            <rFont val="Geneva"/>
            <family val="2"/>
          </rPr>
          <t xml:space="preserve">
</t>
        </r>
        <r>
          <rPr>
            <sz val="9"/>
            <color rgb="FF000000"/>
            <rFont val="Geneva"/>
            <family val="2"/>
          </rPr>
          <t>If your company has been losing money for a while, there will be accumulated losses from prior periods. Check your financial statements.</t>
        </r>
      </text>
    </comment>
    <comment ref="B53" authorId="0" shapeId="0">
      <text>
        <r>
          <rPr>
            <b/>
            <sz val="9"/>
            <color rgb="FF000000"/>
            <rFont val="Geneva"/>
            <family val="2"/>
          </rPr>
          <t>Aswath Damodaran:</t>
        </r>
        <r>
          <rPr>
            <sz val="9"/>
            <color rgb="FF000000"/>
            <rFont val="Geneva"/>
            <family val="2"/>
          </rPr>
          <t xml:space="preserve">
</t>
        </r>
        <r>
          <rPr>
            <sz val="9"/>
            <color rgb="FF000000"/>
            <rFont val="Geneva"/>
            <family val="2"/>
          </rPr>
          <t>This is the NOL from prior years carried forward into this year.</t>
        </r>
      </text>
    </comment>
    <comment ref="B56" authorId="0" shapeId="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59" authorId="0" shapeId="0">
      <text>
        <r>
          <rPr>
            <b/>
            <sz val="10"/>
            <color indexed="81"/>
            <rFont val="Calibri"/>
            <family val="2"/>
          </rPr>
          <t>Aswath Damodaran:</t>
        </r>
        <r>
          <rPr>
            <sz val="10"/>
            <color indexed="81"/>
            <rFont val="Calibri"/>
            <family val="2"/>
          </rPr>
          <t xml:space="preserve">
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0" authorId="0" shapeId="0">
      <text>
        <r>
          <rPr>
            <b/>
            <sz val="10"/>
            <color indexed="81"/>
            <rFont val="Calibri"/>
            <family val="2"/>
          </rPr>
          <t>Aswath Damodaran:</t>
        </r>
        <r>
          <rPr>
            <sz val="10"/>
            <color indexed="81"/>
            <rFont val="Calibri"/>
            <family val="2"/>
          </rPr>
          <t xml:space="preserve">
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authors>
    <author>Aswath Damodaran</author>
  </authors>
  <commentList>
    <comment ref="B11" authorId="0" shapeId="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13" authorId="0" shapeId="0">
      <text>
        <r>
          <rPr>
            <b/>
            <sz val="9"/>
            <color rgb="FF000000"/>
            <rFont val="Geneva"/>
            <family val="2"/>
          </rPr>
          <t>Aswath Damodaran:</t>
        </r>
        <r>
          <rPr>
            <sz val="9"/>
            <color rgb="FF000000"/>
            <rFont val="Geneva"/>
            <family val="2"/>
          </rPr>
          <t xml:space="preserve">
</t>
        </r>
        <r>
          <rPr>
            <sz val="9"/>
            <color rgb="FF000000"/>
            <rFont val="Geneva"/>
            <family val="2"/>
          </rPr>
          <t>If you pick operating regions or countries, please input the revenues by country or region in the table to the right.</t>
        </r>
      </text>
    </comment>
    <comment ref="B15" authorId="0" shapeId="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19" authorId="0" shapeId="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B20" authorId="0" shapeId="0">
      <text>
        <r>
          <rPr>
            <b/>
            <sz val="9"/>
            <color indexed="81"/>
            <rFont val="Geneva"/>
            <family val="2"/>
          </rPr>
          <t>Aswath Damodaran:</t>
        </r>
        <r>
          <rPr>
            <sz val="9"/>
            <color indexed="81"/>
            <rFont val="Geneva"/>
            <family val="2"/>
          </rPr>
          <t xml:space="preserve">
Generally found in footnotes to financial statements.</t>
        </r>
      </text>
    </comment>
    <comment ref="B24" authorId="0" shapeId="0">
      <text>
        <r>
          <rPr>
            <b/>
            <sz val="9"/>
            <color rgb="FF000000"/>
            <rFont val="Geneva"/>
            <family val="2"/>
          </rPr>
          <t>Aswath Damodaran:</t>
        </r>
        <r>
          <rPr>
            <sz val="9"/>
            <color rgb="FF000000"/>
            <rFont val="Geneva"/>
            <family val="2"/>
          </rPr>
          <t xml:space="preserve">
</t>
        </r>
        <r>
          <rPr>
            <sz val="9"/>
            <color rgb="FF000000"/>
            <rFont val="Geneva"/>
            <family val="2"/>
          </rPr>
          <t xml:space="preserve">1: Large market cap (&gt;$5 billion) and safe.
</t>
        </r>
        <r>
          <rPr>
            <sz val="9"/>
            <color rgb="FF000000"/>
            <rFont val="Geneva"/>
            <family val="2"/>
          </rPr>
          <t xml:space="preserve">2: Small market cap (&lt;$5 billion) or risky.
</t>
        </r>
        <r>
          <rPr>
            <sz val="9"/>
            <color rgb="FF000000"/>
            <rFont val="Geneva"/>
            <family val="2"/>
          </rPr>
          <t>If company has volatile earnings or is in risky business, use 2, even if large market cap.</t>
        </r>
      </text>
    </comment>
    <comment ref="B25" authorId="0" shapeId="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3.xml><?xml version="1.0" encoding="utf-8"?>
<comments xmlns="http://schemas.openxmlformats.org/spreadsheetml/2006/main">
  <authors>
    <author>Aswath Damodaran</author>
  </authors>
  <commentList>
    <comment ref="D40" authorId="0" shapeId="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authors>
    <author>Microsoft Office User</author>
  </authors>
  <commentList>
    <comment ref="B1" authorId="0" shapeId="0">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comments5.xml><?xml version="1.0" encoding="utf-8"?>
<comments xmlns="http://schemas.openxmlformats.org/spreadsheetml/2006/main">
  <authors>
    <author>Aswath Damodaran</author>
  </authors>
  <commentList>
    <comment ref="F5" authorId="0" shapeId="0">
      <text>
        <r>
          <rPr>
            <b/>
            <sz val="9"/>
            <color indexed="81"/>
            <rFont val="Geneva"/>
            <family val="2"/>
          </rPr>
          <t>Aswath Damodaran:</t>
        </r>
        <r>
          <rPr>
            <sz val="9"/>
            <color indexed="81"/>
            <rFont val="Geneva"/>
            <family val="2"/>
          </rPr>
          <t xml:space="preserve">
If your most recent year's operating income is unusually low or high, you can use the average operating income from the last few years. </t>
        </r>
      </text>
    </comment>
    <comment ref="F6" authorId="0" shapeId="0">
      <text>
        <r>
          <rPr>
            <b/>
            <sz val="9"/>
            <color indexed="81"/>
            <rFont val="Geneva"/>
            <family val="2"/>
          </rPr>
          <t>Aswath Damodaran:</t>
        </r>
        <r>
          <rPr>
            <sz val="9"/>
            <color indexed="81"/>
            <rFont val="Geneva"/>
            <family val="2"/>
          </rPr>
          <t xml:space="preserve">
Enter the interest expense from the most recent income statement.</t>
        </r>
      </text>
    </comment>
    <comment ref="F7" authorId="0" shapeId="0">
      <text>
        <r>
          <rPr>
            <b/>
            <sz val="9"/>
            <color indexed="81"/>
            <rFont val="Geneva"/>
            <family val="2"/>
          </rPr>
          <t>Aswath Damodaran:</t>
        </r>
        <r>
          <rPr>
            <sz val="9"/>
            <color indexed="81"/>
            <rFont val="Geneva"/>
            <family val="2"/>
          </rPr>
          <t xml:space="preserve">
I use a 10 year government bond rate.</t>
        </r>
      </text>
    </comment>
  </commentList>
</comments>
</file>

<file path=xl/sharedStrings.xml><?xml version="1.0" encoding="utf-8"?>
<sst xmlns="http://schemas.openxmlformats.org/spreadsheetml/2006/main" count="1397" uniqueCount="763">
  <si>
    <t>If calculated value is negative or looks too low</t>
    <phoneticPr fontId="6" type="noConversion"/>
  </si>
  <si>
    <t>If calculated value looks too high</t>
    <phoneticPr fontId="6" type="noConversion"/>
  </si>
  <si>
    <t>Increase revenue growth rate</t>
    <phoneticPr fontId="6" type="noConversion"/>
  </si>
  <si>
    <t>Decrease revenue growth rate</t>
    <phoneticPr fontId="6" type="noConversion"/>
  </si>
  <si>
    <t>Marginal ROIC over 10 years</t>
    <phoneticPr fontId="6" type="noConversion"/>
  </si>
  <si>
    <t>ROIC at end of valuation</t>
    <phoneticPr fontId="6" type="noConversion"/>
  </si>
  <si>
    <t>Inputs</t>
  </si>
  <si>
    <t>Invested capital at start of valuation</t>
    <phoneticPr fontId="6" type="noConversion"/>
  </si>
  <si>
    <t>Invested capital at end of valuation</t>
    <phoneticPr fontId="6" type="noConversion"/>
  </si>
  <si>
    <t>Change in invested capital over 10 years</t>
    <phoneticPr fontId="6" type="noConversion"/>
  </si>
  <si>
    <t>Change in EBIT*(1–t) (after-tax operating income) over 10 years</t>
    <phoneticPr fontId="6" type="noConversion"/>
  </si>
  <si>
    <t>Revenues</t>
  </si>
  <si>
    <t>EBIT(1-t)</t>
  </si>
  <si>
    <t>Number of shares</t>
    <phoneticPr fontId="5" type="noConversion"/>
  </si>
  <si>
    <t>Base year</t>
    <phoneticPr fontId="5" type="noConversion"/>
  </si>
  <si>
    <t xml:space="preserve"> - Reinvestment</t>
    <phoneticPr fontId="5" type="noConversion"/>
  </si>
  <si>
    <t>FCFF</t>
  </si>
  <si>
    <t>Implied variables</t>
    <phoneticPr fontId="5" type="noConversion"/>
  </si>
  <si>
    <t>Invested capital</t>
    <phoneticPr fontId="5" type="noConversion"/>
  </si>
  <si>
    <t>ROIC</t>
    <phoneticPr fontId="5" type="noConversion"/>
  </si>
  <si>
    <t>Revenue growth rate</t>
    <phoneticPr fontId="5" type="noConversion"/>
  </si>
  <si>
    <t>PV(FCFF)</t>
    <phoneticPr fontId="5" type="noConversion"/>
  </si>
  <si>
    <t>Terminal cash flow</t>
    <phoneticPr fontId="5" type="noConversion"/>
  </si>
  <si>
    <t>Terminal value</t>
    <phoneticPr fontId="5" type="noConversion"/>
  </si>
  <si>
    <t>PV(Terminal value)</t>
    <phoneticPr fontId="5" type="noConversion"/>
  </si>
  <si>
    <t>EBIT (Operating income)</t>
    <phoneticPr fontId="5" type="noConversion"/>
  </si>
  <si>
    <t>EBIT (Operating) margin</t>
    <phoneticPr fontId="5" type="noConversion"/>
  </si>
  <si>
    <t>Riskfree rate</t>
    <phoneticPr fontId="6" type="noConversion"/>
  </si>
  <si>
    <t>Your calculated value as a percent of current price</t>
    <phoneticPr fontId="6"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</si>
  <si>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</si>
  <si>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</si>
  <si>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</si>
  <si>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</si>
  <si>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</si>
  <si>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</si>
  <si>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</si>
  <si>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</si>
  <si>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</si>
  <si>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</si>
  <si>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</si>
  <si>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</si>
  <si>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</si>
  <si>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</si>
  <si>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</si>
  <si>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</si>
  <si>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</si>
  <si>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</si>
  <si>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</si>
  <si>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</si>
  <si>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Compounded annual revenue growth rate over next 5 years =</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</si>
  <si>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</si>
  <si>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</si>
  <si>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</si>
  <si>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</si>
  <si>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</si>
  <si>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</si>
  <si>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</si>
  <si>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</si>
  <si>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</si>
  <si>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</si>
  <si>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</si>
  <si>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</si>
  <si>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</si>
  <si>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</si>
  <si>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</si>
  <si>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</si>
  <si>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</si>
  <si>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</si>
  <si>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</si>
  <si>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</si>
  <si>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</si>
  <si>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</si>
  <si>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</si>
  <si>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</si>
  <si>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</si>
  <si>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</si>
  <si>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</si>
  <si>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</si>
  <si>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</si>
  <si>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</si>
  <si>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</si>
  <si>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</si>
  <si>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</si>
  <si>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</si>
  <si>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</si>
  <si>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</si>
  <si>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</si>
  <si>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</si>
  <si>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</si>
  <si>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</si>
  <si>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</si>
  <si>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</si>
  <si>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</si>
  <si>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</si>
  <si>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</si>
  <si>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</si>
  <si>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</si>
  <si>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</si>
  <si>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</si>
  <si>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</si>
  <si>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</si>
  <si>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</si>
  <si>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</si>
  <si>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</si>
  <si>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</si>
  <si>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</si>
  <si>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</si>
  <si>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</si>
  <si>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</si>
  <si>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</si>
  <si>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</si>
  <si>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</si>
  <si>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</si>
  <si>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</si>
  <si>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</si>
  <si>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</si>
  <si>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</si>
  <si>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</si>
  <si>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</si>
  <si>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</si>
  <si>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</si>
  <si>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</si>
  <si>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</si>
  <si>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</si>
  <si>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</si>
  <si>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</si>
  <si>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</si>
  <si>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</si>
  <si>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</si>
  <si>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</si>
  <si>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</si>
  <si>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</si>
  <si>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</si>
  <si>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</si>
  <si>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</si>
  <si>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</si>
  <si>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</si>
  <si>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</si>
  <si>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</si>
  <si>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</si>
  <si>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</si>
  <si>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</si>
  <si>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</si>
  <si>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</si>
  <si>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</si>
  <si>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Though some sectors, even in stable growth, may have higher risk.</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</si>
  <si>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</si>
  <si>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</si>
  <si>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</si>
  <si>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</si>
  <si>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</si>
  <si>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</si>
  <si>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</si>
  <si>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</si>
  <si>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</si>
  <si>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</si>
  <si>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</si>
  <si>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</si>
  <si>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</si>
  <si>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</si>
  <si>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</si>
  <si>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</si>
  <si>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</si>
  <si>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</si>
  <si>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</si>
  <si>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</si>
  <si>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</si>
  <si>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</si>
  <si>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</si>
  <si>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</si>
  <si>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</si>
  <si>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</si>
  <si>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</si>
  <si>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</si>
  <si>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</si>
  <si>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</si>
  <si>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</si>
  <si>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</si>
  <si>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</si>
  <si>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</si>
  <si>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</si>
  <si>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</si>
  <si>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</si>
  <si>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</si>
  <si>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</si>
  <si>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</si>
  <si>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</si>
  <si>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</si>
  <si>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</si>
  <si>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</si>
  <si>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</si>
  <si>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</si>
  <si>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</si>
  <si>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</si>
  <si>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</si>
  <si>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</si>
  <si>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</si>
  <si>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</si>
  <si>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</si>
  <si>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</si>
  <si>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</si>
  <si>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</si>
  <si>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</si>
  <si>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</si>
  <si>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</si>
  <si>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</si>
  <si>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</si>
  <si>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</si>
  <si>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</si>
  <si>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</si>
  <si>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</si>
  <si>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</si>
  <si>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</si>
  <si>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</si>
  <si>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</si>
  <si>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</si>
  <si>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</si>
  <si>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</si>
  <si>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</si>
  <si>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</si>
  <si>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</si>
  <si>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</si>
  <si>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</si>
  <si>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</si>
  <si>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</si>
  <si>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</si>
  <si>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</si>
  <si>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9"/>
  </si>
  <si>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</si>
  <si>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</si>
  <si>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</si>
  <si>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</si>
  <si>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</si>
  <si>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</si>
  <si>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</si>
  <si>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</si>
  <si>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</si>
  <si>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</si>
  <si>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</si>
  <si>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</si>
  <si>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</si>
  <si>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</si>
  <si>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</si>
  <si>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</si>
  <si>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</si>
  <si>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</si>
  <si>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</si>
  <si>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</si>
  <si>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</si>
  <si>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</si>
  <si>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</si>
  <si>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</si>
  <si>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</si>
  <si>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</si>
  <si>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</si>
  <si>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</si>
  <si>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</si>
  <si>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</si>
  <si>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</si>
  <si>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</si>
  <si>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</si>
  <si>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</si>
  <si>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</si>
  <si>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</si>
  <si>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</si>
  <si>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</si>
  <si>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</si>
  <si>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</si>
  <si>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</si>
  <si>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</si>
  <si>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</si>
  <si>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</si>
  <si>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</si>
  <si>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</si>
  <si>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</si>
  <si>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</si>
  <si>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</si>
  <si>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</si>
  <si>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</si>
  <si>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</si>
  <si>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</si>
  <si>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</si>
  <si>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</si>
  <si>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</si>
  <si>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</si>
  <si>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</si>
  <si>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</si>
  <si>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</si>
  <si>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</si>
  <si>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</si>
  <si>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</si>
  <si>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</si>
  <si>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</si>
  <si>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</si>
  <si>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</si>
  <si>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</si>
  <si>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</si>
  <si>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</si>
  <si>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</si>
  <si>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</si>
  <si>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</si>
  <si>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</si>
  <si>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</si>
  <si>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</si>
  <si>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</si>
  <si>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</si>
  <si>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</si>
  <si>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</si>
  <si>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</si>
  <si>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</si>
  <si>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</si>
  <si>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</si>
  <si>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</si>
  <si>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</si>
  <si>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</si>
  <si>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</si>
  <si>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</si>
  <si>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</si>
  <si>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</si>
  <si>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</si>
  <si>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</si>
  <si>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</si>
  <si>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</si>
  <si>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</si>
  <si>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</si>
  <si>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</si>
  <si>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</si>
  <si>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</si>
  <si>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</si>
  <si>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</si>
  <si>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</si>
  <si>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</si>
  <si>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</si>
  <si>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</si>
  <si>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</si>
  <si>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</si>
  <si>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</si>
  <si>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</si>
  <si>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</si>
  <si>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</si>
  <si>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</si>
  <si>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</si>
  <si>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</si>
  <si>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</si>
  <si>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</si>
  <si>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</si>
  <si>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</si>
  <si>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</si>
  <si>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</si>
  <si>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</si>
  <si>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</si>
  <si>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</si>
  <si>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</si>
  <si>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</si>
  <si>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</si>
  <si>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</si>
  <si>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</si>
  <si>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</si>
  <si>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</si>
  <si>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</si>
  <si>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</si>
  <si>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</si>
  <si>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</si>
  <si>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</si>
  <si>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</si>
  <si>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</si>
  <si>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</si>
  <si>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</si>
  <si>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</si>
  <si>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</si>
  <si>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</si>
  <si>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</si>
  <si>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</si>
  <si>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</si>
  <si>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</si>
  <si>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</si>
  <si>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</si>
  <si>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</si>
  <si>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</si>
  <si>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</si>
  <si>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</si>
  <si>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</si>
  <si>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</si>
  <si>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</si>
  <si>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</si>
  <si>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</si>
  <si>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</si>
  <si>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</si>
  <si>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</si>
  <si>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</si>
  <si>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</si>
  <si>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</si>
  <si>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</si>
  <si>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</si>
  <si>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</si>
  <si>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</si>
  <si>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</si>
  <si>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</si>
  <si>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</si>
  <si>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</si>
  <si>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</si>
  <si>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</si>
  <si>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</si>
  <si>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</si>
  <si>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</si>
  <si>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</si>
  <si>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</si>
  <si>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</si>
  <si>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</si>
  <si>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</si>
  <si>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</si>
  <si>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</si>
  <si>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</si>
  <si>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</si>
  <si>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</si>
  <si>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</si>
  <si>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</si>
  <si>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</si>
  <si>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</si>
  <si>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</si>
  <si>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</si>
  <si>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</si>
  <si>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</si>
  <si>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</si>
  <si>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</si>
  <si>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</si>
  <si>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</si>
  <si>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</si>
  <si>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</si>
  <si>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</si>
  <si>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</si>
  <si>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</si>
  <si>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</si>
  <si>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</si>
  <si>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</si>
  <si>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</si>
  <si>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</si>
  <si>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</si>
  <si>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Industry (Global data)</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</si>
  <si>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</si>
  <si>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</si>
  <si>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</si>
  <si>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</si>
  <si>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</si>
  <si>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</si>
  <si>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</si>
  <si>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</si>
  <si>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</si>
  <si>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</si>
  <si>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</si>
  <si>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</si>
  <si>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</si>
  <si>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</si>
  <si>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</si>
  <si>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</si>
  <si>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</si>
  <si>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</si>
  <si>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</si>
  <si>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</si>
  <si>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</si>
  <si>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</si>
  <si>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</si>
  <si>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</si>
  <si>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</si>
  <si>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</si>
  <si>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</si>
  <si>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</si>
  <si>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</si>
  <si>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</si>
  <si>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</si>
  <si>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</si>
  <si>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</si>
  <si>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</si>
  <si>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</si>
  <si>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</si>
  <si>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</si>
  <si>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</si>
  <si>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</si>
  <si>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</si>
  <si>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</si>
  <si>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</si>
  <si>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</si>
  <si>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</si>
  <si>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</si>
  <si>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</si>
  <si>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</si>
  <si>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</si>
  <si>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</si>
  <si>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</si>
  <si>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</si>
  <si>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</si>
  <si>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</si>
  <si>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</si>
  <si>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</si>
  <si>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</si>
  <si>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</si>
  <si>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</si>
  <si>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Korea</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</si>
  <si>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</si>
  <si>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</si>
  <si>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</si>
  <si>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</si>
  <si>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</si>
  <si>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</si>
  <si>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</si>
  <si>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</si>
  <si>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</si>
  <si>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</si>
  <si>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Guernsey (States of)</t>
  </si>
  <si>
    <t>Jersey (States of)</t>
  </si>
  <si>
    <t>Ras Al Khaimah (Emirate of)</t>
  </si>
  <si>
    <t>Sharjah</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</si>
  <si>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</si>
  <si>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</si>
  <si>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</si>
  <si>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</si>
  <si>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</si>
  <si>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</si>
  <si>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</si>
  <si>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</si>
  <si>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</si>
  <si>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</si>
  <si>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</si>
  <si>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</si>
  <si>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</si>
  <si>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</si>
  <si>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</si>
  <si>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</si>
  <si>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</si>
  <si>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</si>
  <si>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</si>
  <si>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</si>
  <si>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</si>
  <si>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</si>
  <si>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</si>
  <si>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</si>
  <si>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</si>
  <si>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</si>
  <si>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</si>
  <si>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</si>
  <si>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</si>
  <si>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</si>
  <si>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</si>
  <si>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</si>
  <si>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</si>
  <si>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</si>
  <si>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</si>
  <si>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</si>
  <si>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</si>
  <si>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</si>
  <si>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</si>
  <si>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</si>
  <si>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</si>
  <si>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</si>
  <si>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</si>
  <si>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</si>
  <si>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</si>
  <si>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</si>
  <si>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</si>
  <si>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</si>
  <si>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</si>
  <si>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</si>
  <si>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</si>
  <si>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</si>
  <si>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</si>
  <si>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</si>
  <si>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</si>
  <si>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</si>
  <si>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</si>
  <si>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</si>
  <si>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</si>
  <si>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</si>
  <si>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</si>
  <si>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</si>
  <si>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</si>
  <si>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</si>
  <si>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</si>
  <si>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</si>
  <si>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</si>
  <si>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</si>
  <si>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</si>
  <si>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</si>
  <si>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</si>
  <si>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</si>
  <si>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</si>
  <si>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</si>
  <si>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</si>
  <si>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</si>
  <si>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</si>
  <si>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</si>
  <si>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</si>
  <si>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</si>
  <si>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</si>
  <si>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</si>
  <si>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</si>
  <si>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</si>
  <si>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</si>
  <si>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</si>
  <si>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</si>
  <si>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</si>
  <si>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</si>
  <si>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</si>
  <si>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</si>
  <si>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</si>
  <si>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</si>
  <si>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</si>
  <si>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</si>
  <si>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</si>
  <si>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</si>
  <si>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</si>
  <si>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</si>
  <si>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</si>
  <si>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</si>
  <si>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</si>
  <si>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</si>
  <si>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</si>
  <si>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</si>
  <si>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</si>
  <si>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</si>
  <si>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</si>
  <si>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</si>
  <si>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</si>
  <si>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</si>
  <si>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</si>
  <si>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</si>
  <si>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</si>
  <si>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</si>
  <si>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Story</t>
  </si>
  <si>
    <t>The Assumptions</t>
  </si>
  <si>
    <t>Base year</t>
  </si>
  <si>
    <t>Years 1-5</t>
  </si>
  <si>
    <t>Years 6-10</t>
  </si>
  <si>
    <t>Operating Margin</t>
  </si>
  <si>
    <t>The Cash Flows</t>
  </si>
  <si>
    <t>EBIT (1-t)</t>
  </si>
  <si>
    <t>The Value</t>
  </si>
  <si>
    <t>Terminal value</t>
  </si>
  <si>
    <t>PV(Terminal value)</t>
  </si>
  <si>
    <t>Link to story</t>
  </si>
  <si>
    <t>Revenues (a)</t>
  </si>
  <si>
    <t>Operating margin (b)</t>
  </si>
  <si>
    <t>Reinvestment (c )</t>
  </si>
  <si>
    <t>Cost of capital (d)</t>
  </si>
  <si>
    <t xml:space="preserve">Reinvestment </t>
  </si>
  <si>
    <t>Number of shares</t>
  </si>
  <si>
    <t>Sales to capital ratio =</t>
  </si>
  <si>
    <t>EBIT</t>
  </si>
  <si>
    <t>Adjustment for distress</t>
  </si>
  <si>
    <t xml:space="preserve"> - Debt &amp; Mnority Interests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</si>
  <si>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</si>
  <si>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</si>
  <si>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</si>
  <si>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</si>
  <si>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</si>
  <si>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</si>
  <si>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</si>
  <si>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</si>
  <si>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RIR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</si>
  <si>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</si>
  <si>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Publishing &amp; Newspapers</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</si>
  <si>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</si>
  <si>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</si>
  <si>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</si>
  <si>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</si>
  <si>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</si>
  <si>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</si>
  <si>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</si>
  <si>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</si>
  <si>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</si>
  <si>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</si>
  <si>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</si>
  <si>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</si>
  <si>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</si>
  <si>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</si>
  <si>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</si>
  <si>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</si>
  <si>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</si>
  <si>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</si>
  <si>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</si>
  <si>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</si>
  <si>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</si>
  <si>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</si>
  <si>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</si>
  <si>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Year of convergence</t>
  </si>
  <si>
    <t>Speed of convergence level</t>
  </si>
  <si>
    <t>Moody's rating</t>
  </si>
  <si>
    <t>Equity Risk Premium</t>
  </si>
  <si>
    <t>Aa2</t>
  </si>
  <si>
    <t>B1</t>
  </si>
  <si>
    <t>Algeria</t>
  </si>
  <si>
    <t>Baa2</t>
  </si>
  <si>
    <t>B2</t>
  </si>
  <si>
    <t>Baa1</t>
  </si>
  <si>
    <t>Aaa</t>
  </si>
  <si>
    <t>Aa1</t>
  </si>
  <si>
    <t>Ba2</t>
  </si>
  <si>
    <t>Baa3</t>
  </si>
  <si>
    <t>Ba3</t>
  </si>
  <si>
    <t>Caa3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</si>
  <si>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</si>
  <si>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</si>
  <si>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</si>
  <si>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</si>
  <si>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</si>
  <si>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</si>
  <si>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</si>
  <si>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</si>
  <si>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</si>
  <si>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</si>
  <si>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</si>
  <si>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</si>
  <si>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</si>
  <si>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</si>
  <si>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</si>
  <si>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</si>
  <si>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</si>
  <si>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</si>
  <si>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</si>
  <si>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</si>
  <si>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</si>
  <si>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</si>
  <si>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</si>
  <si>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</si>
  <si>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</si>
  <si>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</si>
  <si>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</si>
  <si>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</si>
  <si>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</si>
  <si>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</si>
  <si>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</si>
  <si>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</si>
  <si>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</si>
  <si>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Yemen, Republic</t>
  </si>
  <si>
    <t>Zimbabwe</t>
  </si>
  <si>
    <t>Default Spread</t>
  </si>
  <si>
    <t>Africa &amp; Mid East</t>
  </si>
  <si>
    <t>Australia, NZ &amp; Canada</t>
  </si>
  <si>
    <t>Latin America &amp; Caribbean</t>
  </si>
  <si>
    <t>US</t>
  </si>
  <si>
    <t>Europe</t>
  </si>
  <si>
    <t>Emerging Markets</t>
  </si>
  <si>
    <t>Mature Market ERP +</t>
  </si>
  <si>
    <t>CRP</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</si>
  <si>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</si>
  <si>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Côte d'Ivoire</t>
  </si>
  <si>
    <t>Curacao</t>
  </si>
  <si>
    <t>Macao</t>
  </si>
  <si>
    <t>Maldives</t>
  </si>
  <si>
    <t>Trinidad and Tobago</t>
  </si>
  <si>
    <t>Turks and Caicos Islands</t>
  </si>
  <si>
    <t>C</t>
  </si>
  <si>
    <t>Pre-tax Operating Margin (Unadjusted)</t>
  </si>
  <si>
    <t xml:space="preserve">Total Market </t>
  </si>
  <si>
    <t>Total Market (without financials)</t>
  </si>
  <si>
    <t>Rest of the World</t>
  </si>
  <si>
    <t>Technology &amp; Content</t>
  </si>
  <si>
    <t>G&amp;A</t>
  </si>
  <si>
    <t>Marketing Costs</t>
  </si>
  <si>
    <t>Content Costs</t>
  </si>
  <si>
    <t>Content Costs (Cash Flows)</t>
  </si>
  <si>
    <t>Beximco Pharma</t>
  </si>
  <si>
    <t>Inflation in Taka= 5.5%, US $ = 1%</t>
  </si>
  <si>
    <t>Beximco Pharma will continue its revenue growth path, but it will continue  earning less than its cost of capital in the near future, while seeing its margins drop to global industry averages. Over time, the cost of capital for the firm will drift down and its returns on capital will improve, but only to the point where the company  earns its cost of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</si>
</sst>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00000000000000%"/>
    <numFmt numFmtId="173" formatCode="_([$BDT]\ * #,##0_);_([$BDT]\ * \(#,##0\);_([$BDT]\ * &quot;-&quot;_);_(@_)"/>
    <numFmt numFmtId="174" formatCode="[$BDT]\ #,##0_);\([$BDT]\ #,##0\)"/>
    <numFmt numFmtId="175" formatCode="_([$BDT]\ * #,##0.00_);_([$BDT]\ * \(#,##0.00\);_([$BDT]\ * &quot;-&quot;??_);_(@_)"/>
  </numFmts>
  <fonts count="68">
    <font>
      <sz val="9"/>
      <name val="Geneva"/>
      <family val="2"/>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b/>
      <sz val="10"/>
      <name val="Helv"/>
    </font>
    <font>
      <sz val="10"/>
      <name val="Helv"/>
    </font>
    <font>
      <b/>
      <i/>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b/>
      <sz val="9"/>
      <name val="Helv"/>
    </font>
    <font>
      <i/>
      <sz val="14"/>
      <name val="Times"/>
      <family val="1"/>
    </font>
    <font>
      <sz val="8"/>
      <name val="Arial"/>
      <family val="2"/>
    </font>
    <font>
      <sz val="10"/>
      <color indexed="81"/>
      <name val="Calibri"/>
      <family val="2"/>
    </font>
    <font>
      <b/>
      <sz val="10"/>
      <color indexed="81"/>
      <name val="Calibri"/>
      <family val="2"/>
    </font>
    <font>
      <i/>
      <sz val="9"/>
      <name val="Helv"/>
    </font>
    <font>
      <sz val="12"/>
      <name val="Calibri"/>
      <family val="2"/>
    </font>
    <font>
      <sz val="9"/>
      <name val="Calibri"/>
      <family val="2"/>
    </font>
    <font>
      <i/>
      <sz val="12"/>
      <name val="Calibri"/>
      <family val="2"/>
    </font>
    <font>
      <b/>
      <sz val="12"/>
      <color theme="1"/>
      <name val="Calibri"/>
      <family val="2"/>
      <scheme val="minor"/>
    </font>
    <font>
      <sz val="12"/>
      <color rgb="FFFF0000"/>
      <name val="Calibri"/>
      <family val="2"/>
      <scheme val="minor"/>
    </font>
    <font>
      <i/>
      <sz val="10"/>
      <color rgb="FFFF0000"/>
      <name val="Helv"/>
    </font>
    <font>
      <sz val="12"/>
      <color rgb="FFFF0000"/>
      <name val="Times"/>
      <family val="1"/>
    </font>
    <font>
      <b/>
      <sz val="10"/>
      <color theme="1"/>
      <name val="Helv"/>
    </font>
    <font>
      <sz val="10"/>
      <name val="Calibri"/>
      <family val="2"/>
      <scheme val="minor"/>
    </font>
    <font>
      <i/>
      <sz val="9"/>
      <color rgb="FFFF0000"/>
      <name val="Helv"/>
    </font>
    <font>
      <i/>
      <sz val="12"/>
      <color theme="1"/>
      <name val="Calibri"/>
      <family val="2"/>
      <scheme val="minor"/>
    </font>
    <font>
      <sz val="12"/>
      <name val="Calibri"/>
      <family val="2"/>
      <scheme val="minor"/>
    </font>
    <font>
      <sz val="10"/>
      <color theme="1"/>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sz val="10"/>
      <color rgb="FFFF0000"/>
      <name val="Arial"/>
      <family val="2"/>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437">
    <xf numFmtId="0" fontId="0" fillId="0" borderId="0" xfId="0"/>
    <xf numFmtId="0" fontId="0" fillId="0" borderId="1" xfId="0" applyBorder="1"/>
    <xf numFmtId="0" fontId="2" fillId="0" borderId="0" xfId="0" applyFont="1"/>
    <xf numFmtId="10" fontId="0" fillId="0" borderId="1" xfId="0" applyNumberFormat="1" applyBorder="1" applyAlignment="1">
      <alignment horizontal="center"/>
    </xf>
    <xf numFmtId="0" fontId="7" fillId="0" borderId="0" xfId="0" applyFont="1"/>
    <xf numFmtId="0" fontId="8" fillId="0" borderId="0" xfId="0" applyFont="1"/>
    <xf numFmtId="0" fontId="10" fillId="0" borderId="0" xfId="0" applyFont="1"/>
    <xf numFmtId="0" fontId="11" fillId="0" borderId="0" xfId="0" applyFont="1"/>
    <xf numFmtId="0" fontId="12" fillId="0" borderId="0" xfId="0" applyFont="1"/>
    <xf numFmtId="44" fontId="12" fillId="2" borderId="1" xfId="2" applyFont="1" applyFill="1" applyBorder="1"/>
    <xf numFmtId="10" fontId="12" fillId="2" borderId="1" xfId="3" applyNumberFormat="1" applyFont="1" applyFill="1" applyBorder="1"/>
    <xf numFmtId="10" fontId="12" fillId="2" borderId="1" xfId="0" applyNumberFormat="1" applyFont="1" applyFill="1" applyBorder="1"/>
    <xf numFmtId="2" fontId="12" fillId="2" borderId="1" xfId="0" applyNumberFormat="1" applyFont="1" applyFill="1" applyBorder="1"/>
    <xf numFmtId="4" fontId="12" fillId="2" borderId="1" xfId="0" applyNumberFormat="1" applyFont="1" applyFill="1" applyBorder="1"/>
    <xf numFmtId="0" fontId="13" fillId="0" borderId="0" xfId="0" applyFont="1"/>
    <xf numFmtId="0" fontId="14" fillId="0" borderId="0" xfId="0" applyFont="1"/>
    <xf numFmtId="0" fontId="15" fillId="0" borderId="0" xfId="0" applyFont="1"/>
    <xf numFmtId="0" fontId="16" fillId="0" borderId="0" xfId="0" applyFont="1"/>
    <xf numFmtId="0" fontId="16" fillId="0" borderId="1" xfId="0" applyFont="1" applyBorder="1"/>
    <xf numFmtId="0" fontId="12" fillId="0" borderId="1" xfId="0" applyFont="1" applyBorder="1"/>
    <xf numFmtId="10" fontId="16" fillId="0" borderId="0" xfId="0" applyNumberFormat="1" applyFont="1"/>
    <xf numFmtId="3" fontId="12" fillId="0" borderId="1" xfId="0" applyNumberFormat="1" applyFont="1" applyBorder="1"/>
    <xf numFmtId="10" fontId="16" fillId="0" borderId="1" xfId="0" applyNumberFormat="1" applyFont="1" applyBorder="1"/>
    <xf numFmtId="165" fontId="16" fillId="0" borderId="1" xfId="1" applyNumberFormat="1" applyFont="1" applyBorder="1"/>
    <xf numFmtId="10" fontId="12" fillId="0" borderId="1" xfId="0" applyNumberFormat="1" applyFont="1" applyBorder="1"/>
    <xf numFmtId="44" fontId="12" fillId="0" borderId="2" xfId="2" applyFont="1" applyBorder="1"/>
    <xf numFmtId="44" fontId="12" fillId="0" borderId="0" xfId="2" applyFont="1"/>
    <xf numFmtId="8" fontId="12" fillId="0" borderId="2" xfId="0" applyNumberFormat="1" applyFont="1" applyBorder="1"/>
    <xf numFmtId="44" fontId="12" fillId="2" borderId="1" xfId="0" applyNumberFormat="1" applyFont="1" applyFill="1" applyBorder="1"/>
    <xf numFmtId="0" fontId="10" fillId="0" borderId="0" xfId="0" applyFont="1" applyAlignment="1">
      <alignment horizontal="centerContinuous"/>
    </xf>
    <xf numFmtId="0" fontId="12" fillId="0" borderId="1" xfId="0" applyFont="1" applyBorder="1" applyAlignment="1">
      <alignment horizontal="center"/>
    </xf>
    <xf numFmtId="0" fontId="19" fillId="0" borderId="0" xfId="0" applyFont="1"/>
    <xf numFmtId="0" fontId="12" fillId="0" borderId="2" xfId="0" applyFont="1" applyBorder="1"/>
    <xf numFmtId="44" fontId="12" fillId="3" borderId="1" xfId="2" applyFont="1" applyFill="1" applyBorder="1"/>
    <xf numFmtId="44" fontId="12" fillId="0" borderId="0" xfId="2" applyFont="1" applyBorder="1"/>
    <xf numFmtId="0" fontId="12" fillId="2" borderId="1" xfId="0" applyFont="1" applyFill="1" applyBorder="1" applyAlignment="1">
      <alignment horizontal="center"/>
    </xf>
    <xf numFmtId="0" fontId="12" fillId="0" borderId="3" xfId="0" applyFont="1" applyBorder="1"/>
    <xf numFmtId="44" fontId="12" fillId="2" borderId="3" xfId="0" applyNumberFormat="1" applyFont="1" applyFill="1" applyBorder="1"/>
    <xf numFmtId="44" fontId="12" fillId="2" borderId="3" xfId="2" applyFont="1" applyFill="1" applyBorder="1"/>
    <xf numFmtId="0" fontId="12" fillId="2" borderId="2" xfId="0" applyFont="1" applyFill="1" applyBorder="1"/>
    <xf numFmtId="44" fontId="12" fillId="2" borderId="2" xfId="0" applyNumberFormat="1" applyFont="1" applyFill="1" applyBorder="1"/>
    <xf numFmtId="44" fontId="12" fillId="2" borderId="4" xfId="0" applyNumberFormat="1" applyFont="1" applyFill="1" applyBorder="1"/>
    <xf numFmtId="0" fontId="21" fillId="0" borderId="5" xfId="0" applyFont="1" applyBorder="1" applyAlignment="1">
      <alignment horizontal="center"/>
    </xf>
    <xf numFmtId="0" fontId="21" fillId="0" borderId="1" xfId="0" applyFont="1" applyBorder="1" applyAlignment="1">
      <alignment horizontal="center"/>
    </xf>
    <xf numFmtId="0" fontId="22" fillId="0" borderId="1" xfId="0" applyFont="1" applyBorder="1"/>
    <xf numFmtId="0" fontId="22" fillId="0" borderId="0" xfId="0" applyFont="1" applyBorder="1"/>
    <xf numFmtId="0" fontId="22" fillId="0" borderId="0" xfId="0" applyFont="1" applyFill="1" applyBorder="1"/>
    <xf numFmtId="0" fontId="22" fillId="0" borderId="0" xfId="0" applyFont="1"/>
    <xf numFmtId="0" fontId="22" fillId="0" borderId="1" xfId="0" applyFont="1" applyFill="1" applyBorder="1"/>
    <xf numFmtId="0" fontId="23" fillId="0" borderId="1" xfId="0" applyFont="1" applyBorder="1"/>
    <xf numFmtId="0" fontId="22" fillId="0" borderId="1" xfId="0" applyFont="1" applyBorder="1" applyAlignment="1">
      <alignment horizontal="center"/>
    </xf>
    <xf numFmtId="0" fontId="22" fillId="0" borderId="0" xfId="0" applyFont="1" applyBorder="1" applyAlignment="1">
      <alignment horizontal="center"/>
    </xf>
    <xf numFmtId="0" fontId="22" fillId="0" borderId="0" xfId="0" applyFont="1" applyAlignment="1">
      <alignment horizontal="center"/>
    </xf>
    <xf numFmtId="0" fontId="24" fillId="0" borderId="0" xfId="0" applyFont="1"/>
    <xf numFmtId="0" fontId="25" fillId="0" borderId="6" xfId="0" applyFont="1" applyBorder="1"/>
    <xf numFmtId="0" fontId="25" fillId="0" borderId="7" xfId="0" applyFont="1" applyBorder="1"/>
    <xf numFmtId="0" fontId="25" fillId="0" borderId="0" xfId="0" applyFont="1"/>
    <xf numFmtId="0" fontId="24" fillId="0" borderId="0" xfId="0" applyFont="1" applyAlignment="1"/>
    <xf numFmtId="0" fontId="25" fillId="0" borderId="8" xfId="0" applyFont="1" applyBorder="1"/>
    <xf numFmtId="0" fontId="25" fillId="0" borderId="9" xfId="0" applyFont="1" applyBorder="1"/>
    <xf numFmtId="0" fontId="25" fillId="0" borderId="1" xfId="0" applyFont="1" applyFill="1" applyBorder="1"/>
    <xf numFmtId="44" fontId="25" fillId="4" borderId="1" xfId="2" applyFont="1" applyFill="1" applyBorder="1" applyAlignment="1">
      <alignment horizontal="center"/>
    </xf>
    <xf numFmtId="0" fontId="47" fillId="0" borderId="0" xfId="0" applyFont="1"/>
    <xf numFmtId="0" fontId="25" fillId="0" borderId="0" xfId="0" applyFont="1" applyFill="1" applyBorder="1"/>
    <xf numFmtId="10" fontId="25" fillId="4" borderId="1" xfId="2" applyNumberFormat="1" applyFont="1" applyFill="1" applyBorder="1" applyAlignment="1">
      <alignment horizontal="center"/>
    </xf>
    <xf numFmtId="0" fontId="24" fillId="0" borderId="0" xfId="0" applyFont="1" applyFill="1" applyBorder="1"/>
    <xf numFmtId="44" fontId="25" fillId="0" borderId="0" xfId="2" applyFont="1" applyFill="1" applyBorder="1" applyAlignment="1">
      <alignment horizontal="center"/>
    </xf>
    <xf numFmtId="10" fontId="25" fillId="4" borderId="1" xfId="0" applyNumberFormat="1" applyFont="1" applyFill="1" applyBorder="1" applyAlignment="1">
      <alignment horizontal="center"/>
    </xf>
    <xf numFmtId="2" fontId="25" fillId="4" borderId="1" xfId="0" applyNumberFormat="1" applyFont="1" applyFill="1" applyBorder="1" applyAlignment="1">
      <alignment horizontal="center"/>
    </xf>
    <xf numFmtId="10" fontId="25" fillId="0" borderId="0" xfId="0" applyNumberFormat="1" applyFont="1" applyFill="1" applyBorder="1"/>
    <xf numFmtId="10" fontId="25" fillId="5" borderId="0" xfId="0" applyNumberFormat="1" applyFont="1" applyFill="1" applyBorder="1" applyAlignment="1">
      <alignment horizontal="center"/>
    </xf>
    <xf numFmtId="164" fontId="25" fillId="4" borderId="1" xfId="0" applyNumberFormat="1" applyFont="1" applyFill="1" applyBorder="1" applyAlignment="1">
      <alignment horizontal="center"/>
    </xf>
    <xf numFmtId="10" fontId="25" fillId="0" borderId="0" xfId="0" applyNumberFormat="1" applyFont="1" applyFill="1" applyBorder="1" applyAlignment="1">
      <alignment horizontal="center"/>
    </xf>
    <xf numFmtId="0" fontId="27" fillId="0" borderId="0" xfId="0" applyFont="1" applyFill="1" applyBorder="1" applyAlignment="1"/>
    <xf numFmtId="0" fontId="27" fillId="0" borderId="0" xfId="0" applyFont="1"/>
    <xf numFmtId="0" fontId="25" fillId="0" borderId="0" xfId="0" applyFont="1" applyFill="1" applyBorder="1" applyAlignment="1"/>
    <xf numFmtId="0" fontId="25" fillId="4" borderId="1" xfId="0" applyFont="1" applyFill="1" applyBorder="1" applyAlignment="1">
      <alignment horizontal="center"/>
    </xf>
    <xf numFmtId="9" fontId="25" fillId="4" borderId="1" xfId="0" applyNumberFormat="1" applyFont="1" applyFill="1" applyBorder="1" applyAlignment="1">
      <alignment horizontal="center"/>
    </xf>
    <xf numFmtId="9" fontId="25" fillId="5" borderId="0" xfId="0" applyNumberFormat="1" applyFont="1" applyFill="1" applyBorder="1" applyAlignment="1">
      <alignment horizontal="center"/>
    </xf>
    <xf numFmtId="0" fontId="8" fillId="0" borderId="0" xfId="0" applyFont="1" applyAlignment="1">
      <alignment horizontal="left"/>
    </xf>
    <xf numFmtId="10" fontId="12" fillId="4" borderId="2" xfId="0" applyNumberFormat="1" applyFont="1" applyFill="1" applyBorder="1" applyAlignment="1">
      <alignment horizontal="center"/>
    </xf>
    <xf numFmtId="8" fontId="12" fillId="2" borderId="2" xfId="0" applyNumberFormat="1" applyFont="1" applyFill="1" applyBorder="1"/>
    <xf numFmtId="0" fontId="25" fillId="0" borderId="0" xfId="0" applyFont="1" applyBorder="1"/>
    <xf numFmtId="0" fontId="26" fillId="5" borderId="0" xfId="0" applyFont="1" applyFill="1" applyBorder="1" applyAlignment="1"/>
    <xf numFmtId="0" fontId="27" fillId="5" borderId="0" xfId="0" applyFont="1" applyFill="1" applyBorder="1" applyAlignment="1"/>
    <xf numFmtId="44" fontId="25" fillId="4" borderId="1" xfId="2" applyFont="1" applyFill="1" applyBorder="1" applyAlignment="1">
      <alignment horizontal="center"/>
    </xf>
    <xf numFmtId="0" fontId="24" fillId="0" borderId="10" xfId="0" applyFont="1" applyBorder="1"/>
    <xf numFmtId="0" fontId="25" fillId="0" borderId="11" xfId="0" applyFont="1" applyBorder="1"/>
    <xf numFmtId="0" fontId="25" fillId="0" borderId="12" xfId="0" applyFont="1" applyBorder="1"/>
    <xf numFmtId="0" fontId="22" fillId="6" borderId="1" xfId="0" applyFont="1" applyFill="1" applyBorder="1"/>
    <xf numFmtId="10" fontId="22" fillId="6" borderId="1" xfId="3" applyNumberFormat="1" applyFont="1" applyFill="1" applyBorder="1" applyAlignment="1">
      <alignment horizontal="center"/>
    </xf>
    <xf numFmtId="10" fontId="22" fillId="6" borderId="1" xfId="0" applyNumberFormat="1" applyFont="1" applyFill="1" applyBorder="1" applyAlignment="1">
      <alignment horizontal="center"/>
    </xf>
    <xf numFmtId="44" fontId="22" fillId="6" borderId="1" xfId="2" applyFont="1" applyFill="1" applyBorder="1"/>
    <xf numFmtId="44" fontId="22" fillId="6" borderId="1" xfId="2" applyFont="1" applyFill="1" applyBorder="1" applyAlignment="1">
      <alignment horizontal="center"/>
    </xf>
    <xf numFmtId="10" fontId="22" fillId="6" borderId="1" xfId="3" applyNumberFormat="1" applyFont="1" applyFill="1" applyBorder="1"/>
    <xf numFmtId="10" fontId="22" fillId="6" borderId="1" xfId="2" applyNumberFormat="1" applyFont="1" applyFill="1" applyBorder="1"/>
    <xf numFmtId="10" fontId="22" fillId="6" borderId="1" xfId="2" applyNumberFormat="1" applyFont="1" applyFill="1" applyBorder="1" applyAlignment="1">
      <alignment horizontal="center"/>
    </xf>
    <xf numFmtId="44" fontId="22" fillId="6" borderId="1" xfId="0" applyNumberFormat="1" applyFont="1" applyFill="1" applyBorder="1" applyAlignment="1">
      <alignment horizontal="center"/>
    </xf>
    <xf numFmtId="0" fontId="22" fillId="6" borderId="1" xfId="0" applyFont="1" applyFill="1" applyBorder="1" applyAlignment="1">
      <alignment horizontal="center"/>
    </xf>
    <xf numFmtId="44" fontId="22" fillId="6" borderId="1" xfId="0" applyNumberFormat="1" applyFont="1" applyFill="1" applyBorder="1"/>
    <xf numFmtId="10" fontId="22" fillId="6" borderId="1" xfId="0" applyNumberFormat="1" applyFont="1" applyFill="1" applyBorder="1"/>
    <xf numFmtId="164" fontId="22" fillId="6" borderId="1" xfId="0" applyNumberFormat="1" applyFont="1" applyFill="1" applyBorder="1"/>
    <xf numFmtId="8" fontId="22" fillId="6" borderId="1" xfId="0" applyNumberFormat="1" applyFont="1" applyFill="1" applyBorder="1"/>
    <xf numFmtId="43" fontId="22" fillId="6" borderId="1" xfId="1" applyNumberFormat="1" applyFont="1" applyFill="1" applyBorder="1"/>
    <xf numFmtId="44" fontId="48" fillId="6" borderId="1" xfId="2" applyNumberFormat="1" applyFont="1" applyFill="1" applyBorder="1"/>
    <xf numFmtId="44" fontId="22" fillId="6" borderId="1" xfId="2" applyNumberFormat="1" applyFont="1" applyFill="1" applyBorder="1"/>
    <xf numFmtId="2" fontId="22" fillId="6" borderId="1" xfId="0" applyNumberFormat="1" applyFont="1" applyFill="1" applyBorder="1" applyAlignment="1">
      <alignment horizontal="center"/>
    </xf>
    <xf numFmtId="168" fontId="22" fillId="6" borderId="1" xfId="0" applyNumberFormat="1" applyFont="1" applyFill="1" applyBorder="1"/>
    <xf numFmtId="168" fontId="22" fillId="6" borderId="1" xfId="0" applyNumberFormat="1" applyFont="1" applyFill="1" applyBorder="1" applyAlignment="1">
      <alignment horizontal="center"/>
    </xf>
    <xf numFmtId="44" fontId="22" fillId="7" borderId="1" xfId="2" applyFont="1" applyFill="1" applyBorder="1" applyAlignment="1">
      <alignment horizontal="center"/>
    </xf>
    <xf numFmtId="10" fontId="22" fillId="7" borderId="1" xfId="3" applyNumberFormat="1" applyFont="1" applyFill="1" applyBorder="1" applyAlignment="1">
      <alignment horizontal="center"/>
    </xf>
    <xf numFmtId="44" fontId="0" fillId="7" borderId="1" xfId="0" applyNumberFormat="1" applyFill="1" applyBorder="1"/>
    <xf numFmtId="0" fontId="28" fillId="0" borderId="0" xfId="0" applyFont="1"/>
    <xf numFmtId="0" fontId="16" fillId="0" borderId="0" xfId="0" applyFont="1" applyBorder="1"/>
    <xf numFmtId="0" fontId="12" fillId="0" borderId="0" xfId="0" applyFont="1" applyBorder="1"/>
    <xf numFmtId="0" fontId="12" fillId="3" borderId="1" xfId="0" applyFont="1" applyFill="1" applyBorder="1"/>
    <xf numFmtId="0" fontId="12" fillId="0" borderId="0" xfId="0" applyFont="1" applyFill="1"/>
    <xf numFmtId="0" fontId="12" fillId="0" borderId="0" xfId="0" applyFont="1" applyFill="1" applyBorder="1"/>
    <xf numFmtId="0" fontId="14" fillId="0" borderId="0" xfId="0" applyFont="1" applyAlignment="1">
      <alignment horizontal="center"/>
    </xf>
    <xf numFmtId="0" fontId="14" fillId="0" borderId="1" xfId="0" applyFont="1" applyBorder="1" applyAlignment="1">
      <alignment horizontal="center"/>
    </xf>
    <xf numFmtId="2" fontId="12" fillId="6" borderId="1" xfId="0" applyNumberFormat="1" applyFont="1" applyFill="1" applyBorder="1"/>
    <xf numFmtId="44" fontId="12" fillId="6" borderId="1" xfId="0" applyNumberFormat="1" applyFont="1" applyFill="1" applyBorder="1"/>
    <xf numFmtId="44" fontId="12" fillId="6" borderId="1" xfId="2" applyFont="1" applyFill="1" applyBorder="1"/>
    <xf numFmtId="10" fontId="12" fillId="6" borderId="1" xfId="3" applyNumberFormat="1" applyFont="1" applyFill="1" applyBorder="1"/>
    <xf numFmtId="10" fontId="12" fillId="6" borderId="3" xfId="0" applyNumberFormat="1" applyFont="1" applyFill="1" applyBorder="1"/>
    <xf numFmtId="10" fontId="12" fillId="6" borderId="1" xfId="0" applyNumberFormat="1" applyFont="1" applyFill="1" applyBorder="1"/>
    <xf numFmtId="10" fontId="12" fillId="6" borderId="13" xfId="3" applyNumberFormat="1" applyFont="1" applyFill="1" applyBorder="1"/>
    <xf numFmtId="10" fontId="12" fillId="6" borderId="2" xfId="3" applyNumberFormat="1" applyFont="1" applyFill="1" applyBorder="1"/>
    <xf numFmtId="2" fontId="12" fillId="6" borderId="1" xfId="2" applyNumberFormat="1" applyFont="1" applyFill="1" applyBorder="1"/>
    <xf numFmtId="0" fontId="29" fillId="0" borderId="0" xfId="0" applyFont="1"/>
    <xf numFmtId="0" fontId="30" fillId="0" borderId="0" xfId="0" applyFont="1"/>
    <xf numFmtId="0" fontId="20" fillId="0" borderId="0" xfId="0" applyFont="1"/>
    <xf numFmtId="0" fontId="12" fillId="3" borderId="1" xfId="0" applyFont="1" applyFill="1" applyBorder="1" applyAlignment="1">
      <alignment horizontal="center"/>
    </xf>
    <xf numFmtId="10" fontId="16" fillId="0" borderId="0" xfId="0" applyNumberFormat="1" applyFont="1" applyBorder="1" applyAlignment="1">
      <alignment horizontal="center"/>
    </xf>
    <xf numFmtId="10" fontId="13" fillId="0" borderId="0" xfId="0" applyNumberFormat="1" applyFont="1" applyBorder="1" applyAlignment="1">
      <alignment horizontal="center"/>
    </xf>
    <xf numFmtId="0" fontId="14" fillId="0" borderId="1" xfId="0" applyFont="1" applyBorder="1" applyAlignment="1">
      <alignment horizontal="centerContinuous"/>
    </xf>
    <xf numFmtId="0" fontId="14" fillId="0" borderId="1" xfId="0" applyFont="1" applyBorder="1"/>
    <xf numFmtId="2" fontId="12" fillId="0" borderId="1" xfId="0" applyNumberFormat="1" applyFont="1" applyBorder="1" applyAlignment="1">
      <alignment horizontal="center"/>
    </xf>
    <xf numFmtId="0" fontId="12" fillId="0" borderId="1" xfId="0" applyFont="1" applyBorder="1" applyAlignment="1">
      <alignment horizontal="centerContinuous"/>
    </xf>
    <xf numFmtId="10" fontId="12" fillId="6" borderId="2" xfId="0" applyNumberFormat="1" applyFont="1" applyFill="1" applyBorder="1"/>
    <xf numFmtId="2" fontId="16" fillId="6" borderId="2" xfId="0" applyNumberFormat="1" applyFont="1" applyFill="1" applyBorder="1" applyAlignment="1">
      <alignment horizontal="center"/>
    </xf>
    <xf numFmtId="0" fontId="31" fillId="6" borderId="4" xfId="0" applyFont="1" applyFill="1" applyBorder="1" applyAlignment="1">
      <alignment horizontal="center"/>
    </xf>
    <xf numFmtId="10" fontId="16" fillId="6" borderId="2" xfId="3" applyNumberFormat="1" applyFont="1" applyFill="1" applyBorder="1" applyAlignment="1">
      <alignment horizontal="center"/>
    </xf>
    <xf numFmtId="10" fontId="16" fillId="6" borderId="2" xfId="0" applyNumberFormat="1" applyFont="1" applyFill="1" applyBorder="1" applyAlignment="1">
      <alignment horizontal="center"/>
    </xf>
    <xf numFmtId="0" fontId="33" fillId="0" borderId="0" xfId="0" applyFont="1"/>
    <xf numFmtId="0" fontId="7" fillId="5" borderId="0" xfId="0" applyFont="1" applyFill="1"/>
    <xf numFmtId="0" fontId="32" fillId="6" borderId="1" xfId="0" applyFont="1" applyFill="1" applyBorder="1"/>
    <xf numFmtId="0" fontId="33" fillId="6" borderId="1" xfId="0" applyFont="1" applyFill="1" applyBorder="1"/>
    <xf numFmtId="44" fontId="33" fillId="6" borderId="1" xfId="2" applyFont="1" applyFill="1" applyBorder="1"/>
    <xf numFmtId="10" fontId="33" fillId="6" borderId="1" xfId="0" applyNumberFormat="1" applyFont="1" applyFill="1" applyBorder="1"/>
    <xf numFmtId="0" fontId="33" fillId="6" borderId="3" xfId="0" applyFont="1" applyFill="1" applyBorder="1"/>
    <xf numFmtId="10" fontId="33" fillId="6" borderId="3" xfId="0" applyNumberFormat="1" applyFont="1" applyFill="1" applyBorder="1" applyAlignment="1">
      <alignment horizontal="right"/>
    </xf>
    <xf numFmtId="0" fontId="33" fillId="0" borderId="10" xfId="0" applyFont="1" applyBorder="1"/>
    <xf numFmtId="169" fontId="22" fillId="6" borderId="1" xfId="0" applyNumberFormat="1" applyFont="1" applyFill="1" applyBorder="1" applyAlignment="1">
      <alignment horizontal="center"/>
    </xf>
    <xf numFmtId="0" fontId="22" fillId="0" borderId="0" xfId="0" applyFont="1" applyBorder="1" applyAlignment="1">
      <alignment horizontal="left"/>
    </xf>
    <xf numFmtId="0" fontId="24" fillId="0" borderId="11" xfId="0" applyFont="1" applyBorder="1"/>
    <xf numFmtId="0" fontId="25" fillId="0" borderId="0" xfId="0" applyFont="1" applyAlignment="1"/>
    <xf numFmtId="0" fontId="25" fillId="4" borderId="1" xfId="0" applyFont="1" applyFill="1" applyBorder="1" applyAlignment="1"/>
    <xf numFmtId="2" fontId="25" fillId="4" borderId="14" xfId="2" applyNumberFormat="1" applyFont="1" applyFill="1" applyBorder="1" applyAlignment="1">
      <alignment horizontal="center"/>
    </xf>
    <xf numFmtId="10" fontId="25" fillId="4" borderId="1" xfId="0" applyNumberFormat="1" applyFont="1" applyFill="1" applyBorder="1" applyAlignment="1">
      <alignment horizontal="center"/>
    </xf>
    <xf numFmtId="0" fontId="25" fillId="0" borderId="1" xfId="0" applyFont="1" applyBorder="1"/>
    <xf numFmtId="0" fontId="0" fillId="0" borderId="1" xfId="0" applyBorder="1" applyAlignment="1">
      <alignment horizontal="center"/>
    </xf>
    <xf numFmtId="0" fontId="12" fillId="4" borderId="1" xfId="0" applyFont="1" applyFill="1" applyBorder="1"/>
    <xf numFmtId="0" fontId="12" fillId="6" borderId="1" xfId="0" applyFont="1" applyFill="1" applyBorder="1"/>
    <xf numFmtId="0" fontId="13" fillId="0" borderId="1" xfId="0" applyFont="1" applyBorder="1"/>
    <xf numFmtId="167" fontId="12" fillId="6" borderId="1" xfId="3" applyNumberFormat="1" applyFont="1" applyFill="1" applyBorder="1"/>
    <xf numFmtId="167" fontId="12" fillId="6" borderId="1" xfId="0" applyNumberFormat="1" applyFont="1" applyFill="1" applyBorder="1"/>
    <xf numFmtId="2" fontId="12" fillId="3" borderId="1" xfId="0" applyNumberFormat="1" applyFont="1" applyFill="1" applyBorder="1"/>
    <xf numFmtId="10" fontId="25" fillId="5" borderId="0" xfId="3" applyNumberFormat="1" applyFont="1" applyFill="1" applyBorder="1"/>
    <xf numFmtId="0" fontId="25" fillId="0" borderId="15" xfId="0" applyFont="1" applyBorder="1"/>
    <xf numFmtId="0" fontId="7" fillId="0" borderId="16" xfId="0" applyFont="1" applyBorder="1"/>
    <xf numFmtId="0" fontId="7" fillId="0" borderId="17" xfId="0" applyFont="1" applyBorder="1"/>
    <xf numFmtId="0" fontId="24" fillId="0" borderId="0" xfId="0" applyFont="1" applyBorder="1"/>
    <xf numFmtId="44" fontId="25" fillId="4" borderId="14" xfId="2" applyFont="1" applyFill="1" applyBorder="1" applyAlignment="1">
      <alignment horizontal="center"/>
    </xf>
    <xf numFmtId="0" fontId="12" fillId="4" borderId="1" xfId="0" applyFont="1" applyFill="1" applyBorder="1"/>
    <xf numFmtId="171" fontId="12" fillId="4" borderId="1" xfId="2" applyNumberFormat="1" applyFont="1" applyFill="1" applyBorder="1"/>
    <xf numFmtId="169" fontId="12" fillId="6" borderId="1" xfId="0" applyNumberFormat="1" applyFont="1" applyFill="1" applyBorder="1"/>
    <xf numFmtId="171" fontId="12" fillId="6" borderId="1" xfId="0" applyNumberFormat="1" applyFont="1" applyFill="1" applyBorder="1"/>
    <xf numFmtId="0" fontId="0" fillId="6" borderId="1" xfId="0" applyFill="1" applyBorder="1"/>
    <xf numFmtId="171" fontId="3"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34" fillId="0" borderId="1" xfId="0" applyNumberFormat="1" applyFont="1" applyBorder="1" applyAlignment="1">
      <alignment horizontal="center"/>
    </xf>
    <xf numFmtId="2" fontId="34" fillId="0" borderId="0" xfId="0" applyNumberFormat="1" applyFont="1"/>
    <xf numFmtId="2" fontId="12" fillId="0" borderId="0" xfId="0" applyNumberFormat="1" applyFont="1"/>
    <xf numFmtId="1" fontId="34" fillId="0" borderId="1" xfId="0" applyNumberFormat="1" applyFont="1" applyBorder="1" applyAlignment="1">
      <alignment horizontal="center"/>
    </xf>
    <xf numFmtId="2" fontId="34" fillId="3" borderId="1" xfId="0" applyNumberFormat="1" applyFont="1" applyFill="1" applyBorder="1" applyAlignment="1">
      <alignment horizontal="center"/>
    </xf>
    <xf numFmtId="2" fontId="35" fillId="0" borderId="0" xfId="0" applyNumberFormat="1" applyFont="1"/>
    <xf numFmtId="2" fontId="34" fillId="0" borderId="13" xfId="0" applyNumberFormat="1" applyFont="1" applyBorder="1" applyAlignment="1">
      <alignment horizontal="centerContinuous"/>
    </xf>
    <xf numFmtId="2" fontId="34" fillId="0" borderId="18" xfId="0" applyNumberFormat="1" applyFont="1" applyBorder="1" applyAlignment="1">
      <alignment horizontal="centerContinuous"/>
    </xf>
    <xf numFmtId="44" fontId="34" fillId="0" borderId="1" xfId="2" applyFont="1" applyBorder="1"/>
    <xf numFmtId="2" fontId="34" fillId="0" borderId="3" xfId="0" applyNumberFormat="1" applyFont="1" applyBorder="1" applyAlignment="1">
      <alignment horizontal="center"/>
    </xf>
    <xf numFmtId="44" fontId="34" fillId="0" borderId="3" xfId="2" applyFont="1" applyBorder="1"/>
    <xf numFmtId="164" fontId="12" fillId="0" borderId="2" xfId="0" applyNumberFormat="1" applyFont="1" applyBorder="1"/>
    <xf numFmtId="164" fontId="12" fillId="0" borderId="19" xfId="0" applyNumberFormat="1" applyFont="1" applyBorder="1"/>
    <xf numFmtId="6" fontId="12" fillId="0" borderId="1" xfId="2" applyNumberFormat="1" applyFont="1" applyBorder="1"/>
    <xf numFmtId="44" fontId="25" fillId="8" borderId="18" xfId="0" applyNumberFormat="1" applyFont="1" applyFill="1" applyBorder="1" applyAlignment="1">
      <alignment horizontal="center"/>
    </xf>
    <xf numFmtId="44" fontId="47" fillId="9" borderId="18" xfId="0" applyNumberFormat="1" applyFont="1" applyFill="1" applyBorder="1" applyAlignment="1">
      <alignment horizontal="left"/>
    </xf>
    <xf numFmtId="0" fontId="0" fillId="0" borderId="1" xfId="0" applyFill="1" applyBorder="1" applyAlignment="1">
      <alignment horizontal="center"/>
    </xf>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12" fillId="6" borderId="2" xfId="0" applyNumberFormat="1" applyFont="1" applyFill="1" applyBorder="1"/>
    <xf numFmtId="0" fontId="27" fillId="0" borderId="11" xfId="0" applyFont="1" applyBorder="1"/>
    <xf numFmtId="0" fontId="36" fillId="0" borderId="0" xfId="0" applyFont="1"/>
    <xf numFmtId="0" fontId="25" fillId="0" borderId="20" xfId="0" applyFont="1" applyBorder="1"/>
    <xf numFmtId="0" fontId="25" fillId="0" borderId="21" xfId="0" applyFont="1" applyBorder="1"/>
    <xf numFmtId="0" fontId="16" fillId="5" borderId="22" xfId="0" applyFont="1" applyFill="1" applyBorder="1" applyAlignment="1">
      <alignment vertical="center" wrapText="1"/>
    </xf>
    <xf numFmtId="0" fontId="13" fillId="5" borderId="14" xfId="0" applyFont="1" applyFill="1" applyBorder="1" applyAlignment="1">
      <alignment horizontal="center" vertical="center" wrapText="1"/>
    </xf>
    <xf numFmtId="0" fontId="13" fillId="5" borderId="23" xfId="0" applyFont="1" applyFill="1" applyBorder="1" applyAlignment="1">
      <alignment horizontal="center" vertical="center" wrapText="1"/>
    </xf>
    <xf numFmtId="0" fontId="12" fillId="6" borderId="1" xfId="0" applyFont="1" applyFill="1" applyBorder="1" applyAlignment="1">
      <alignment horizontal="left" vertical="center" wrapText="1"/>
    </xf>
    <xf numFmtId="0" fontId="12" fillId="6" borderId="24" xfId="0" applyFont="1" applyFill="1" applyBorder="1" applyAlignment="1">
      <alignment horizontal="left" vertical="center" wrapText="1"/>
    </xf>
    <xf numFmtId="9" fontId="12" fillId="6" borderId="1" xfId="3" applyFont="1" applyFill="1" applyBorder="1" applyAlignment="1">
      <alignment horizontal="left" vertical="center" wrapText="1"/>
    </xf>
    <xf numFmtId="0" fontId="12" fillId="6" borderId="24" xfId="0" applyFont="1" applyFill="1" applyBorder="1" applyAlignment="1">
      <alignment horizontal="left" vertical="center"/>
    </xf>
    <xf numFmtId="0" fontId="12" fillId="6" borderId="1" xfId="0" applyFont="1" applyFill="1" applyBorder="1" applyAlignment="1">
      <alignment horizontal="left"/>
    </xf>
    <xf numFmtId="0" fontId="12" fillId="6" borderId="24" xfId="0" applyFont="1" applyFill="1" applyBorder="1" applyAlignment="1">
      <alignment horizontal="left"/>
    </xf>
    <xf numFmtId="10" fontId="12" fillId="6" borderId="25" xfId="3" applyNumberFormat="1" applyFont="1" applyFill="1" applyBorder="1" applyAlignment="1">
      <alignment horizontal="left"/>
    </xf>
    <xf numFmtId="0" fontId="12" fillId="6" borderId="26" xfId="0" applyFont="1" applyFill="1" applyBorder="1" applyAlignment="1">
      <alignment horizontal="left"/>
    </xf>
    <xf numFmtId="0" fontId="12" fillId="5" borderId="22" xfId="0" applyFont="1" applyFill="1" applyBorder="1" applyAlignment="1">
      <alignment vertical="center"/>
    </xf>
    <xf numFmtId="0" fontId="12" fillId="5" borderId="27" xfId="0" applyFont="1" applyFill="1" applyBorder="1"/>
    <xf numFmtId="0" fontId="12" fillId="5" borderId="28" xfId="0" applyFont="1" applyFill="1" applyBorder="1"/>
    <xf numFmtId="0" fontId="27" fillId="0" borderId="0" xfId="0" applyFont="1" applyFill="1" applyBorder="1"/>
    <xf numFmtId="164" fontId="2" fillId="0" borderId="0" xfId="0" applyNumberFormat="1" applyFont="1" applyAlignment="1">
      <alignment horizontal="center"/>
    </xf>
    <xf numFmtId="164" fontId="2" fillId="0" borderId="0" xfId="0" applyNumberFormat="1" applyFont="1"/>
    <xf numFmtId="17" fontId="24" fillId="4" borderId="1" xfId="0" applyNumberFormat="1" applyFont="1" applyFill="1" applyBorder="1" applyAlignment="1">
      <alignment horizontal="center"/>
    </xf>
    <xf numFmtId="0" fontId="49" fillId="4" borderId="1" xfId="0" applyFont="1" applyFill="1" applyBorder="1" applyAlignment="1">
      <alignment horizontal="center"/>
    </xf>
    <xf numFmtId="0" fontId="12" fillId="4" borderId="1" xfId="0" applyFont="1" applyFill="1" applyBorder="1"/>
    <xf numFmtId="10" fontId="12" fillId="4" borderId="1" xfId="0" applyNumberFormat="1" applyFont="1" applyFill="1" applyBorder="1" applyAlignment="1">
      <alignment horizontal="center"/>
    </xf>
    <xf numFmtId="0" fontId="25" fillId="4" borderId="1" xfId="0" applyFont="1" applyFill="1" applyBorder="1" applyAlignment="1"/>
    <xf numFmtId="10" fontId="12" fillId="6" borderId="1" xfId="0" applyNumberFormat="1" applyFont="1" applyFill="1" applyBorder="1" applyAlignment="1">
      <alignment horizontal="center"/>
    </xf>
    <xf numFmtId="166" fontId="12" fillId="3" borderId="1" xfId="0" applyNumberFormat="1" applyFont="1" applyFill="1" applyBorder="1"/>
    <xf numFmtId="0" fontId="50" fillId="0" borderId="1" xfId="0" applyFont="1" applyBorder="1" applyAlignment="1">
      <alignment horizontal="center"/>
    </xf>
    <xf numFmtId="9" fontId="12" fillId="6" borderId="1" xfId="0" applyNumberFormat="1" applyFont="1" applyFill="1" applyBorder="1" applyAlignment="1">
      <alignment horizontal="center"/>
    </xf>
    <xf numFmtId="0" fontId="12" fillId="6" borderId="2" xfId="0" applyFont="1" applyFill="1" applyBorder="1" applyAlignment="1">
      <alignment horizontal="center"/>
    </xf>
    <xf numFmtId="0" fontId="37" fillId="0" borderId="0" xfId="0" applyFont="1"/>
    <xf numFmtId="2" fontId="12" fillId="4" borderId="1" xfId="0" applyNumberFormat="1" applyFont="1" applyFill="1" applyBorder="1"/>
    <xf numFmtId="0" fontId="28" fillId="0" borderId="0" xfId="0" applyFont="1" applyFill="1" applyBorder="1" applyAlignment="1">
      <alignment horizontal="left"/>
    </xf>
    <xf numFmtId="164" fontId="0" fillId="6" borderId="1" xfId="0" applyNumberFormat="1" applyFill="1" applyBorder="1"/>
    <xf numFmtId="0" fontId="2" fillId="0" borderId="1" xfId="0" applyFont="1" applyBorder="1" applyAlignment="1">
      <alignment horizontal="center" wrapText="1"/>
    </xf>
    <xf numFmtId="0" fontId="13" fillId="5" borderId="0" xfId="0" applyFont="1" applyFill="1" applyBorder="1"/>
    <xf numFmtId="0" fontId="37" fillId="5" borderId="0" xfId="0" applyFont="1" applyFill="1" applyBorder="1"/>
    <xf numFmtId="0" fontId="25" fillId="4" borderId="1" xfId="0" applyFont="1" applyFill="1" applyBorder="1"/>
    <xf numFmtId="0" fontId="27" fillId="0" borderId="1" xfId="0" applyFont="1" applyBorder="1"/>
    <xf numFmtId="0" fontId="25" fillId="0" borderId="11" xfId="0" applyFont="1" applyFill="1" applyBorder="1"/>
    <xf numFmtId="0" fontId="27" fillId="0" borderId="8" xfId="0" applyFont="1" applyBorder="1"/>
    <xf numFmtId="0" fontId="25" fillId="0" borderId="29" xfId="0" applyFont="1" applyBorder="1"/>
    <xf numFmtId="0" fontId="41" fillId="0" borderId="0" xfId="0" applyFont="1"/>
    <xf numFmtId="0" fontId="7" fillId="4" borderId="1" xfId="0" applyFont="1" applyFill="1" applyBorder="1" applyAlignment="1">
      <alignment horizontal="center"/>
    </xf>
    <xf numFmtId="9" fontId="7" fillId="4" borderId="1" xfId="0" applyNumberFormat="1" applyFont="1" applyFill="1" applyBorder="1" applyAlignment="1">
      <alignment horizontal="center"/>
    </xf>
    <xf numFmtId="0" fontId="2" fillId="0" borderId="1" xfId="0" applyFont="1" applyBorder="1"/>
    <xf numFmtId="10" fontId="50" fillId="0" borderId="30" xfId="0" applyNumberFormat="1" applyFont="1" applyBorder="1" applyAlignment="1">
      <alignment horizontal="center"/>
    </xf>
    <xf numFmtId="10" fontId="25" fillId="4" borderId="1" xfId="3" applyNumberFormat="1" applyFont="1" applyFill="1" applyBorder="1" applyAlignment="1">
      <alignment horizontal="center"/>
    </xf>
    <xf numFmtId="164" fontId="25" fillId="0" borderId="0" xfId="0" applyNumberFormat="1" applyFont="1" applyFill="1" applyBorder="1" applyAlignment="1">
      <alignment horizontal="center"/>
    </xf>
    <xf numFmtId="2" fontId="25" fillId="0" borderId="0" xfId="0" applyNumberFormat="1" applyFont="1" applyFill="1" applyBorder="1" applyAlignment="1">
      <alignment horizontal="center"/>
    </xf>
    <xf numFmtId="168" fontId="25" fillId="10" borderId="1" xfId="0" applyNumberFormat="1" applyFont="1" applyFill="1" applyBorder="1"/>
    <xf numFmtId="10" fontId="25" fillId="10" borderId="1" xfId="0" applyNumberFormat="1" applyFont="1" applyFill="1" applyBorder="1"/>
    <xf numFmtId="10" fontId="25" fillId="10" borderId="1" xfId="3" applyNumberFormat="1" applyFont="1" applyFill="1" applyBorder="1"/>
    <xf numFmtId="2" fontId="25" fillId="10" borderId="1" xfId="0" applyNumberFormat="1" applyFont="1" applyFill="1" applyBorder="1"/>
    <xf numFmtId="10" fontId="25" fillId="10" borderId="3" xfId="3" applyNumberFormat="1" applyFont="1" applyFill="1" applyBorder="1"/>
    <xf numFmtId="10" fontId="25" fillId="10" borderId="25" xfId="3" applyNumberFormat="1" applyFont="1" applyFill="1" applyBorder="1"/>
    <xf numFmtId="0" fontId="7" fillId="0" borderId="1" xfId="0" applyFont="1" applyBorder="1"/>
    <xf numFmtId="0" fontId="51" fillId="0" borderId="0" xfId="0" applyFont="1"/>
    <xf numFmtId="0" fontId="52" fillId="0" borderId="31" xfId="0" applyFont="1" applyBorder="1" applyAlignment="1">
      <alignment horizontal="center"/>
    </xf>
    <xf numFmtId="0" fontId="52" fillId="0" borderId="14" xfId="0" applyFont="1" applyBorder="1" applyAlignment="1">
      <alignment horizontal="center"/>
    </xf>
    <xf numFmtId="16" fontId="52" fillId="0" borderId="14" xfId="0" applyNumberFormat="1" applyFont="1" applyBorder="1" applyAlignment="1">
      <alignment horizontal="center"/>
    </xf>
    <xf numFmtId="0" fontId="52" fillId="0" borderId="32" xfId="0" applyFont="1" applyFill="1" applyBorder="1" applyAlignment="1">
      <alignment horizontal="center"/>
    </xf>
    <xf numFmtId="0" fontId="52" fillId="0" borderId="33" xfId="0" applyFont="1" applyBorder="1"/>
    <xf numFmtId="0" fontId="53" fillId="0" borderId="35" xfId="0" applyFont="1" applyBorder="1"/>
    <xf numFmtId="0" fontId="53" fillId="0" borderId="36" xfId="0" applyFont="1" applyBorder="1"/>
    <xf numFmtId="168" fontId="53" fillId="0" borderId="1" xfId="2" applyNumberFormat="1" applyFont="1" applyBorder="1" applyAlignment="1">
      <alignment horizontal="center"/>
    </xf>
    <xf numFmtId="10" fontId="53" fillId="0" borderId="1" xfId="0" applyNumberFormat="1" applyFont="1" applyBorder="1" applyAlignment="1">
      <alignment horizontal="center"/>
    </xf>
    <xf numFmtId="0" fontId="53" fillId="0" borderId="1" xfId="0" applyFont="1" applyBorder="1" applyAlignment="1">
      <alignment horizontal="center"/>
    </xf>
    <xf numFmtId="10" fontId="53" fillId="0" borderId="13" xfId="0" applyNumberFormat="1" applyFont="1" applyBorder="1" applyAlignment="1">
      <alignment horizontal="center"/>
    </xf>
    <xf numFmtId="10" fontId="53" fillId="0" borderId="18" xfId="0" applyNumberFormat="1" applyFont="1" applyBorder="1" applyAlignment="1">
      <alignment horizontal="center"/>
    </xf>
    <xf numFmtId="2" fontId="53" fillId="0" borderId="13" xfId="0" applyNumberFormat="1" applyFont="1" applyBorder="1" applyAlignment="1"/>
    <xf numFmtId="2" fontId="53" fillId="0" borderId="18" xfId="0" applyNumberFormat="1" applyFont="1" applyBorder="1" applyAlignment="1">
      <alignment horizontal="left"/>
    </xf>
    <xf numFmtId="10" fontId="53" fillId="0" borderId="13" xfId="3" applyNumberFormat="1" applyFont="1" applyBorder="1" applyAlignment="1">
      <alignment horizontal="right"/>
    </xf>
    <xf numFmtId="10" fontId="53" fillId="0" borderId="18" xfId="3" applyNumberFormat="1" applyFont="1" applyBorder="1" applyAlignment="1">
      <alignment horizontal="center"/>
    </xf>
    <xf numFmtId="0" fontId="53" fillId="0" borderId="37" xfId="0" applyFont="1" applyFill="1" applyBorder="1"/>
    <xf numFmtId="10" fontId="53" fillId="0" borderId="25" xfId="0" applyNumberFormat="1" applyFont="1" applyBorder="1" applyAlignment="1">
      <alignment horizontal="center"/>
    </xf>
    <xf numFmtId="0" fontId="53" fillId="0" borderId="36" xfId="0" applyFont="1" applyBorder="1" applyAlignment="1">
      <alignment horizontal="center"/>
    </xf>
    <xf numFmtId="10" fontId="53" fillId="0" borderId="1" xfId="3" applyNumberFormat="1" applyFont="1" applyBorder="1" applyAlignment="1">
      <alignment horizontal="center"/>
    </xf>
    <xf numFmtId="0" fontId="53" fillId="0" borderId="37" xfId="0" applyFont="1" applyBorder="1" applyAlignment="1">
      <alignment horizontal="center"/>
    </xf>
    <xf numFmtId="10" fontId="53" fillId="0" borderId="25" xfId="3" applyNumberFormat="1" applyFont="1" applyBorder="1" applyAlignment="1">
      <alignment horizontal="center"/>
    </xf>
    <xf numFmtId="168" fontId="53" fillId="0" borderId="6" xfId="2" applyNumberFormat="1" applyFont="1" applyFill="1" applyBorder="1"/>
    <xf numFmtId="0" fontId="53" fillId="0" borderId="6" xfId="0" applyFont="1" applyBorder="1"/>
    <xf numFmtId="0" fontId="53" fillId="0" borderId="7" xfId="0" applyFont="1" applyBorder="1"/>
    <xf numFmtId="168" fontId="53" fillId="0" borderId="0" xfId="2" applyNumberFormat="1" applyFont="1" applyFill="1" applyBorder="1"/>
    <xf numFmtId="0" fontId="53" fillId="0" borderId="0" xfId="0" applyFont="1" applyBorder="1"/>
    <xf numFmtId="0" fontId="53" fillId="0" borderId="12" xfId="0" applyFont="1" applyBorder="1"/>
    <xf numFmtId="0" fontId="53" fillId="0" borderId="5" xfId="0" applyFont="1" applyFill="1" applyBorder="1" applyAlignment="1">
      <alignment horizontal="left"/>
    </xf>
    <xf numFmtId="0" fontId="53" fillId="0" borderId="0" xfId="0" applyFont="1" applyBorder="1" applyAlignment="1">
      <alignment horizontal="left"/>
    </xf>
    <xf numFmtId="0" fontId="53" fillId="0" borderId="0" xfId="0" applyFont="1"/>
    <xf numFmtId="0" fontId="53" fillId="0" borderId="0" xfId="0" applyFont="1" applyAlignment="1">
      <alignment horizontal="left"/>
    </xf>
    <xf numFmtId="43" fontId="53" fillId="0" borderId="1" xfId="0" applyNumberFormat="1" applyFont="1" applyBorder="1"/>
    <xf numFmtId="0" fontId="53" fillId="0" borderId="5" xfId="0" applyFont="1" applyBorder="1"/>
    <xf numFmtId="0" fontId="53" fillId="0" borderId="38" xfId="0" applyFont="1" applyBorder="1"/>
    <xf numFmtId="0" fontId="53" fillId="0" borderId="39" xfId="0" applyFont="1" applyBorder="1"/>
    <xf numFmtId="10" fontId="53" fillId="0" borderId="20" xfId="3" applyNumberFormat="1" applyFont="1" applyBorder="1" applyAlignment="1">
      <alignment horizontal="right"/>
    </xf>
    <xf numFmtId="10" fontId="53" fillId="0" borderId="17" xfId="3" applyNumberFormat="1" applyFont="1" applyBorder="1" applyAlignment="1">
      <alignment horizontal="center"/>
    </xf>
    <xf numFmtId="0" fontId="53" fillId="0" borderId="16" xfId="0" applyFont="1" applyBorder="1"/>
    <xf numFmtId="10" fontId="53" fillId="0" borderId="3" xfId="0" applyNumberFormat="1" applyFont="1" applyBorder="1" applyAlignment="1">
      <alignment horizontal="center"/>
    </xf>
    <xf numFmtId="0" fontId="53" fillId="0" borderId="34" xfId="0" applyFont="1" applyBorder="1" applyAlignment="1">
      <alignment horizontal="center"/>
    </xf>
    <xf numFmtId="0" fontId="53" fillId="0" borderId="40" xfId="0" applyFont="1" applyBorder="1" applyAlignment="1">
      <alignment horizontal="center"/>
    </xf>
    <xf numFmtId="2" fontId="53" fillId="0" borderId="15" xfId="0" applyNumberFormat="1" applyFont="1" applyBorder="1" applyAlignment="1"/>
    <xf numFmtId="10" fontId="53" fillId="0" borderId="17" xfId="3" applyNumberFormat="1" applyFont="1" applyBorder="1" applyAlignment="1">
      <alignment horizontal="left"/>
    </xf>
    <xf numFmtId="0" fontId="52" fillId="0" borderId="42" xfId="0" applyFont="1" applyBorder="1" applyAlignment="1">
      <alignment horizontal="left"/>
    </xf>
    <xf numFmtId="10" fontId="53" fillId="0" borderId="18" xfId="0" applyNumberFormat="1" applyFont="1" applyBorder="1" applyAlignment="1">
      <alignment horizontal="left"/>
    </xf>
    <xf numFmtId="0" fontId="38" fillId="0" borderId="1" xfId="0" applyFont="1" applyBorder="1" applyAlignment="1">
      <alignment horizontal="center"/>
    </xf>
    <xf numFmtId="0" fontId="0" fillId="4" borderId="1" xfId="0" applyFill="1" applyBorder="1"/>
    <xf numFmtId="10" fontId="12" fillId="4" borderId="1" xfId="0" applyNumberFormat="1" applyFont="1" applyFill="1" applyBorder="1"/>
    <xf numFmtId="10" fontId="50" fillId="0" borderId="30" xfId="3" applyNumberFormat="1" applyFont="1" applyBorder="1" applyAlignment="1">
      <alignment horizontal="center"/>
    </xf>
    <xf numFmtId="10" fontId="0" fillId="0" borderId="0" xfId="0" applyNumberFormat="1"/>
    <xf numFmtId="44" fontId="3" fillId="4" borderId="1" xfId="2" applyFont="1" applyFill="1" applyBorder="1" applyAlignment="1">
      <alignment horizontal="center"/>
    </xf>
    <xf numFmtId="0" fontId="50" fillId="4" borderId="1" xfId="0" applyFont="1" applyFill="1" applyBorder="1"/>
    <xf numFmtId="170" fontId="38" fillId="0" borderId="0" xfId="0" applyNumberFormat="1" applyFont="1" applyAlignment="1">
      <alignment horizontal="right"/>
    </xf>
    <xf numFmtId="0" fontId="54" fillId="0" borderId="43" xfId="0" applyFont="1" applyBorder="1" applyAlignment="1">
      <alignment vertical="center" wrapText="1"/>
    </xf>
    <xf numFmtId="0" fontId="55" fillId="0" borderId="0" xfId="0" applyFont="1"/>
    <xf numFmtId="44" fontId="55" fillId="0" borderId="0" xfId="0" applyNumberFormat="1" applyFont="1"/>
    <xf numFmtId="10" fontId="55" fillId="0" borderId="0" xfId="0" applyNumberFormat="1" applyFont="1"/>
    <xf numFmtId="44" fontId="0" fillId="0" borderId="0" xfId="0" applyNumberFormat="1"/>
    <xf numFmtId="44" fontId="43" fillId="0" borderId="0" xfId="0" applyNumberFormat="1" applyFont="1"/>
    <xf numFmtId="44" fontId="55" fillId="0" borderId="0" xfId="2" applyFont="1"/>
    <xf numFmtId="10" fontId="55" fillId="0" borderId="0" xfId="3" applyNumberFormat="1" applyFont="1"/>
    <xf numFmtId="10" fontId="0" fillId="0" borderId="0" xfId="3" applyNumberFormat="1" applyFont="1"/>
    <xf numFmtId="169" fontId="0" fillId="0" borderId="0" xfId="0" applyNumberFormat="1"/>
    <xf numFmtId="0" fontId="44" fillId="0" borderId="1" xfId="0" applyFont="1" applyBorder="1"/>
    <xf numFmtId="0" fontId="44" fillId="0" borderId="13" xfId="0" applyFont="1" applyBorder="1" applyAlignment="1">
      <alignment horizontal="center"/>
    </xf>
    <xf numFmtId="0" fontId="44" fillId="0" borderId="1" xfId="0" applyFont="1" applyFill="1" applyBorder="1"/>
    <xf numFmtId="10" fontId="42" fillId="0" borderId="1" xfId="3" applyNumberFormat="1" applyFont="1" applyBorder="1"/>
    <xf numFmtId="0" fontId="2" fillId="0" borderId="1" xfId="0" applyFont="1" applyBorder="1" applyAlignment="1">
      <alignment horizontal="center"/>
    </xf>
    <xf numFmtId="2" fontId="0" fillId="0" borderId="0" xfId="0" applyNumberFormat="1"/>
    <xf numFmtId="0" fontId="0" fillId="0" borderId="0" xfId="0" applyAlignment="1">
      <alignment wrapText="1"/>
    </xf>
    <xf numFmtId="10" fontId="0" fillId="0" borderId="0" xfId="0" applyNumberFormat="1" applyAlignment="1">
      <alignment wrapText="1"/>
    </xf>
    <xf numFmtId="2" fontId="0" fillId="0" borderId="0" xfId="0" applyNumberFormat="1" applyAlignment="1">
      <alignment wrapText="1"/>
    </xf>
    <xf numFmtId="0" fontId="2" fillId="0" borderId="0" xfId="0" applyFont="1" applyAlignment="1">
      <alignment wrapText="1"/>
    </xf>
    <xf numFmtId="10" fontId="0" fillId="4" borderId="1" xfId="0" applyNumberFormat="1" applyFill="1" applyBorder="1"/>
    <xf numFmtId="10" fontId="0" fillId="10" borderId="1" xfId="0" applyNumberFormat="1" applyFill="1" applyBorder="1" applyAlignment="1">
      <alignment horizontal="center"/>
    </xf>
    <xf numFmtId="0" fontId="2" fillId="0" borderId="1" xfId="0" applyFont="1" applyFill="1" applyBorder="1" applyAlignment="1">
      <alignment horizontal="center"/>
    </xf>
    <xf numFmtId="0" fontId="67" fillId="0" borderId="0" xfId="0" applyFont="1"/>
    <xf numFmtId="0" fontId="21" fillId="0" borderId="1" xfId="0" applyFont="1" applyBorder="1"/>
    <xf numFmtId="10" fontId="22" fillId="0" borderId="1" xfId="3" applyNumberFormat="1" applyFont="1" applyBorder="1" applyAlignment="1">
      <alignment horizontal="center"/>
    </xf>
    <xf numFmtId="0" fontId="53" fillId="0" borderId="1" xfId="0" applyFont="1" applyBorder="1"/>
    <xf numFmtId="10" fontId="22" fillId="0" borderId="1" xfId="0" applyNumberFormat="1" applyFont="1" applyBorder="1" applyAlignment="1">
      <alignment horizontal="center"/>
    </xf>
    <xf numFmtId="10" fontId="3" fillId="0" borderId="1" xfId="3" applyNumberFormat="1" applyBorder="1" applyAlignment="1">
      <alignment horizontal="center"/>
    </xf>
    <xf numFmtId="172" fontId="0" fillId="0" borderId="0" xfId="0" applyNumberFormat="1"/>
    <xf numFmtId="173" fontId="53" fillId="0" borderId="1" xfId="2" applyNumberFormat="1" applyFont="1" applyBorder="1"/>
    <xf numFmtId="173" fontId="53" fillId="0" borderId="25" xfId="2" applyNumberFormat="1" applyFont="1" applyBorder="1"/>
    <xf numFmtId="173" fontId="53" fillId="0" borderId="1" xfId="2" applyNumberFormat="1" applyFont="1" applyBorder="1" applyAlignment="1">
      <alignment horizontal="center"/>
    </xf>
    <xf numFmtId="173" fontId="53" fillId="0" borderId="13" xfId="2" applyNumberFormat="1" applyFont="1" applyBorder="1" applyAlignment="1">
      <alignment horizontal="left"/>
    </xf>
    <xf numFmtId="174" fontId="53" fillId="0" borderId="33" xfId="2" applyNumberFormat="1" applyFont="1" applyFill="1" applyBorder="1"/>
    <xf numFmtId="174" fontId="53" fillId="0" borderId="1" xfId="2" applyNumberFormat="1" applyFont="1" applyFill="1" applyBorder="1"/>
    <xf numFmtId="174" fontId="53" fillId="0" borderId="13" xfId="2" applyNumberFormat="1" applyFont="1" applyFill="1" applyBorder="1"/>
    <xf numFmtId="175" fontId="46" fillId="0" borderId="34" xfId="2" applyNumberFormat="1" applyFont="1" applyBorder="1"/>
    <xf numFmtId="175" fontId="53" fillId="0" borderId="41" xfId="0" applyNumberFormat="1" applyFont="1" applyBorder="1" applyAlignment="1">
      <alignment horizontal="left"/>
    </xf>
    <xf numFmtId="0" fontId="26" fillId="0" borderId="0" xfId="0" applyFont="1" applyFill="1" applyBorder="1" applyAlignment="1"/>
    <xf numFmtId="0" fontId="24" fillId="0" borderId="45" xfId="0" applyFont="1" applyBorder="1" applyAlignment="1">
      <alignment horizontal="center"/>
    </xf>
    <xf numFmtId="0" fontId="24" fillId="0" borderId="9" xfId="0" applyFont="1" applyBorder="1" applyAlignment="1">
      <alignment horizontal="center"/>
    </xf>
    <xf numFmtId="0" fontId="24" fillId="0" borderId="43" xfId="0" applyFont="1" applyBorder="1" applyAlignment="1">
      <alignment horizontal="center"/>
    </xf>
    <xf numFmtId="0" fontId="24" fillId="0" borderId="41" xfId="0" applyFont="1" applyBorder="1" applyAlignment="1">
      <alignment horizontal="center"/>
    </xf>
    <xf numFmtId="0" fontId="24" fillId="0" borderId="10" xfId="0" applyFont="1" applyFill="1" applyBorder="1" applyAlignment="1">
      <alignment horizontal="center"/>
    </xf>
    <xf numFmtId="0" fontId="24" fillId="0" borderId="6" xfId="0" applyFont="1" applyFill="1" applyBorder="1" applyAlignment="1">
      <alignment horizontal="center"/>
    </xf>
    <xf numFmtId="0" fontId="24" fillId="0" borderId="7" xfId="0" applyFont="1" applyFill="1" applyBorder="1" applyAlignment="1">
      <alignment horizontal="center"/>
    </xf>
    <xf numFmtId="0" fontId="53" fillId="0" borderId="22" xfId="0" applyFont="1" applyFill="1" applyBorder="1" applyAlignment="1">
      <alignment horizontal="left"/>
    </xf>
    <xf numFmtId="0" fontId="53" fillId="0" borderId="5" xfId="0" applyFont="1" applyFill="1" applyBorder="1" applyAlignment="1">
      <alignment horizontal="left"/>
    </xf>
    <xf numFmtId="0" fontId="53" fillId="0" borderId="18" xfId="0" applyFont="1" applyFill="1" applyBorder="1" applyAlignment="1">
      <alignment horizontal="left"/>
    </xf>
    <xf numFmtId="0" fontId="45" fillId="0" borderId="0" xfId="0" applyFont="1" applyBorder="1" applyAlignment="1">
      <alignment horizontal="center"/>
    </xf>
    <xf numFmtId="0" fontId="56" fillId="0" borderId="1" xfId="0" applyFont="1" applyBorder="1" applyAlignment="1">
      <alignment horizontal="center"/>
    </xf>
    <xf numFmtId="0" fontId="56" fillId="0" borderId="13" xfId="0" applyFont="1" applyBorder="1" applyAlignment="1">
      <alignment horizontal="center"/>
    </xf>
    <xf numFmtId="0" fontId="56" fillId="0" borderId="5" xfId="0" applyFont="1" applyBorder="1" applyAlignment="1">
      <alignment horizontal="center"/>
    </xf>
    <xf numFmtId="0" fontId="56" fillId="0" borderId="18" xfId="0" applyFont="1" applyBorder="1" applyAlignment="1">
      <alignment horizontal="center"/>
    </xf>
    <xf numFmtId="0" fontId="56" fillId="0" borderId="44" xfId="0" applyFont="1" applyFill="1" applyBorder="1" applyAlignment="1">
      <alignment horizontal="center"/>
    </xf>
    <xf numFmtId="0" fontId="56" fillId="0" borderId="44" xfId="0" applyFont="1" applyBorder="1" applyAlignment="1">
      <alignment horizontal="center"/>
    </xf>
    <xf numFmtId="0" fontId="53" fillId="0" borderId="46" xfId="0" applyFont="1" applyFill="1" applyBorder="1" applyAlignment="1">
      <alignment horizontal="left"/>
    </xf>
    <xf numFmtId="0" fontId="53" fillId="0" borderId="47" xfId="0" applyFont="1" applyFill="1" applyBorder="1" applyAlignment="1">
      <alignment horizontal="left"/>
    </xf>
    <xf numFmtId="0" fontId="53" fillId="0" borderId="48" xfId="0" applyFont="1" applyFill="1" applyBorder="1" applyAlignment="1">
      <alignment horizontal="left"/>
    </xf>
    <xf numFmtId="0" fontId="1" fillId="0" borderId="15" xfId="0" applyFont="1" applyBorder="1" applyAlignment="1">
      <alignment horizontal="left" vertical="top" wrapText="1"/>
    </xf>
    <xf numFmtId="0" fontId="56" fillId="0" borderId="16" xfId="0" applyFont="1" applyBorder="1" applyAlignment="1">
      <alignment horizontal="left" vertical="top" wrapText="1"/>
    </xf>
    <xf numFmtId="0" fontId="56" fillId="0" borderId="17" xfId="0" applyFont="1" applyBorder="1" applyAlignment="1">
      <alignment horizontal="left" vertical="top" wrapText="1"/>
    </xf>
    <xf numFmtId="0" fontId="56" fillId="0" borderId="20" xfId="0" applyFont="1" applyBorder="1" applyAlignment="1">
      <alignment horizontal="left" vertical="top" wrapText="1"/>
    </xf>
    <xf numFmtId="0" fontId="56" fillId="0" borderId="0" xfId="0" applyFont="1" applyBorder="1" applyAlignment="1">
      <alignment horizontal="left" vertical="top" wrapText="1"/>
    </xf>
    <xf numFmtId="0" fontId="56" fillId="0" borderId="21" xfId="0" applyFont="1" applyBorder="1" applyAlignment="1">
      <alignment horizontal="left" vertical="top" wrapText="1"/>
    </xf>
    <xf numFmtId="0" fontId="56" fillId="0" borderId="49" xfId="0" applyFont="1" applyBorder="1" applyAlignment="1">
      <alignment horizontal="left" vertical="top" wrapText="1"/>
    </xf>
    <xf numFmtId="0" fontId="56" fillId="0" borderId="50" xfId="0" applyFont="1" applyBorder="1" applyAlignment="1">
      <alignment horizontal="left" vertical="top" wrapText="1"/>
    </xf>
    <xf numFmtId="0" fontId="56" fillId="0" borderId="30" xfId="0" applyFont="1" applyBorder="1" applyAlignment="1">
      <alignment horizontal="left" vertical="top" wrapText="1"/>
    </xf>
    <xf numFmtId="0" fontId="57" fillId="0" borderId="15" xfId="0" applyFont="1" applyBorder="1" applyAlignment="1">
      <alignment horizontal="left" wrapText="1"/>
    </xf>
    <xf numFmtId="0" fontId="58" fillId="0" borderId="16" xfId="0" applyFont="1" applyBorder="1" applyAlignment="1">
      <alignment horizontal="left" wrapText="1"/>
    </xf>
    <xf numFmtId="0" fontId="58" fillId="0" borderId="17" xfId="0" applyFont="1" applyBorder="1" applyAlignment="1">
      <alignment horizontal="left" wrapText="1"/>
    </xf>
    <xf numFmtId="0" fontId="58" fillId="0" borderId="20" xfId="0" applyFont="1" applyBorder="1" applyAlignment="1">
      <alignment horizontal="left" wrapText="1"/>
    </xf>
    <xf numFmtId="0" fontId="58" fillId="0" borderId="0" xfId="0" applyFont="1" applyBorder="1" applyAlignment="1">
      <alignment horizontal="left" wrapText="1"/>
    </xf>
    <xf numFmtId="0" fontId="58" fillId="0" borderId="21" xfId="0" applyFont="1" applyBorder="1" applyAlignment="1">
      <alignment horizontal="left" wrapText="1"/>
    </xf>
    <xf numFmtId="0" fontId="58" fillId="0" borderId="49" xfId="0" applyFont="1" applyBorder="1" applyAlignment="1">
      <alignment horizontal="left" wrapText="1"/>
    </xf>
    <xf numFmtId="0" fontId="58" fillId="0" borderId="50" xfId="0" applyFont="1" applyBorder="1" applyAlignment="1">
      <alignment horizontal="left" wrapText="1"/>
    </xf>
    <xf numFmtId="0" fontId="58" fillId="0" borderId="30" xfId="0" applyFont="1" applyBorder="1" applyAlignment="1">
      <alignment horizontal="left" wrapText="1"/>
    </xf>
    <xf numFmtId="0" fontId="46" fillId="0" borderId="15" xfId="0" applyFont="1" applyBorder="1" applyAlignment="1">
      <alignment horizontal="left" vertical="center" wrapText="1"/>
    </xf>
    <xf numFmtId="0" fontId="46" fillId="0" borderId="16" xfId="0" applyFont="1" applyBorder="1" applyAlignment="1">
      <alignment horizontal="left" vertical="center" wrapText="1"/>
    </xf>
    <xf numFmtId="0" fontId="46" fillId="0" borderId="17" xfId="0" applyFont="1" applyBorder="1" applyAlignment="1">
      <alignment horizontal="left" vertical="center" wrapText="1"/>
    </xf>
    <xf numFmtId="0" fontId="46" fillId="0" borderId="20" xfId="0" applyFont="1" applyBorder="1" applyAlignment="1">
      <alignment horizontal="left" vertical="center" wrapText="1"/>
    </xf>
    <xf numFmtId="0" fontId="46" fillId="0" borderId="0" xfId="0" applyFont="1" applyBorder="1" applyAlignment="1">
      <alignment horizontal="left" vertical="center" wrapText="1"/>
    </xf>
    <xf numFmtId="0" fontId="46" fillId="0" borderId="21" xfId="0" applyFont="1" applyBorder="1" applyAlignment="1">
      <alignment horizontal="left" vertical="center" wrapText="1"/>
    </xf>
    <xf numFmtId="0" fontId="46" fillId="0" borderId="49" xfId="0" applyFont="1" applyBorder="1" applyAlignment="1">
      <alignment horizontal="left" vertical="center" wrapText="1"/>
    </xf>
    <xf numFmtId="0" fontId="46" fillId="0" borderId="50" xfId="0" applyFont="1" applyBorder="1" applyAlignment="1">
      <alignment horizontal="left" vertical="center" wrapText="1"/>
    </xf>
    <xf numFmtId="0" fontId="46" fillId="0" borderId="30" xfId="0" applyFont="1" applyBorder="1" applyAlignment="1">
      <alignment horizontal="left" vertical="center" wrapText="1"/>
    </xf>
    <xf numFmtId="0" fontId="59" fillId="0" borderId="15" xfId="0" applyFont="1" applyBorder="1" applyAlignment="1">
      <alignment horizontal="left" vertical="center" wrapText="1"/>
    </xf>
    <xf numFmtId="0" fontId="53" fillId="0" borderId="16" xfId="0" applyFont="1" applyBorder="1" applyAlignment="1">
      <alignment horizontal="left" vertical="center" wrapText="1"/>
    </xf>
    <xf numFmtId="0" fontId="53" fillId="0" borderId="17" xfId="0" applyFont="1" applyBorder="1" applyAlignment="1">
      <alignment horizontal="left" vertical="center" wrapText="1"/>
    </xf>
    <xf numFmtId="0" fontId="53" fillId="0" borderId="20" xfId="0" applyFont="1" applyBorder="1" applyAlignment="1">
      <alignment horizontal="left" vertical="center" wrapText="1"/>
    </xf>
    <xf numFmtId="0" fontId="53" fillId="0" borderId="0" xfId="0" applyFont="1" applyBorder="1" applyAlignment="1">
      <alignment horizontal="left" vertical="center" wrapText="1"/>
    </xf>
    <xf numFmtId="0" fontId="53" fillId="0" borderId="21" xfId="0" applyFont="1" applyBorder="1" applyAlignment="1">
      <alignment horizontal="left" vertical="center" wrapText="1"/>
    </xf>
    <xf numFmtId="0" fontId="53" fillId="0" borderId="49" xfId="0" applyFont="1" applyBorder="1" applyAlignment="1">
      <alignment horizontal="left" vertical="center" wrapText="1"/>
    </xf>
    <xf numFmtId="0" fontId="53" fillId="0" borderId="50" xfId="0" applyFont="1" applyBorder="1" applyAlignment="1">
      <alignment horizontal="left" vertical="center" wrapText="1"/>
    </xf>
    <xf numFmtId="0" fontId="53" fillId="0" borderId="30" xfId="0" applyFont="1" applyBorder="1" applyAlignment="1">
      <alignment horizontal="left" vertical="center" wrapText="1"/>
    </xf>
    <xf numFmtId="0" fontId="46" fillId="0" borderId="11" xfId="0" applyFont="1" applyBorder="1" applyAlignment="1">
      <alignment horizontal="left" vertical="center" wrapText="1"/>
    </xf>
    <xf numFmtId="0" fontId="46" fillId="0" borderId="0" xfId="0" applyFont="1" applyAlignment="1">
      <alignment horizontal="left" vertical="center" wrapText="1"/>
    </xf>
    <xf numFmtId="168" fontId="53" fillId="0" borderId="13" xfId="2" applyNumberFormat="1" applyFont="1" applyFill="1" applyBorder="1" applyAlignment="1">
      <alignment horizontal="right"/>
    </xf>
    <xf numFmtId="168" fontId="53" fillId="0" borderId="5" xfId="2" applyNumberFormat="1" applyFont="1" applyFill="1" applyBorder="1" applyAlignment="1">
      <alignment horizontal="right"/>
    </xf>
    <xf numFmtId="0" fontId="53" fillId="0" borderId="36" xfId="0" applyFont="1" applyBorder="1" applyAlignment="1">
      <alignment horizontal="left"/>
    </xf>
    <xf numFmtId="0" fontId="53" fillId="0" borderId="1" xfId="0" applyFont="1" applyBorder="1" applyAlignment="1">
      <alignment horizontal="left"/>
    </xf>
    <xf numFmtId="0" fontId="53" fillId="0" borderId="37" xfId="0" applyFont="1" applyBorder="1" applyAlignment="1">
      <alignment horizontal="left"/>
    </xf>
    <xf numFmtId="0" fontId="53" fillId="0" borderId="25" xfId="0" applyFont="1" applyBorder="1" applyAlignment="1">
      <alignment horizontal="left"/>
    </xf>
    <xf numFmtId="175" fontId="53" fillId="0" borderId="45" xfId="0" applyNumberFormat="1" applyFont="1" applyBorder="1" applyAlignment="1">
      <alignment horizontal="right"/>
    </xf>
    <xf numFmtId="175" fontId="53" fillId="0" borderId="43" xfId="0" applyNumberFormat="1" applyFont="1" applyBorder="1" applyAlignment="1">
      <alignment horizontal="right"/>
    </xf>
    <xf numFmtId="10" fontId="60" fillId="0" borderId="45" xfId="0" applyNumberFormat="1" applyFont="1" applyBorder="1" applyAlignment="1">
      <alignment horizontal="center"/>
    </xf>
    <xf numFmtId="10" fontId="60" fillId="0" borderId="41" xfId="0" applyNumberFormat="1" applyFont="1" applyBorder="1" applyAlignment="1">
      <alignment horizontal="center"/>
    </xf>
    <xf numFmtId="0" fontId="12" fillId="11" borderId="0" xfId="0" applyFont="1" applyFill="1" applyAlignment="1">
      <alignment horizontal="center" vertical="center" wrapText="1"/>
    </xf>
    <xf numFmtId="0" fontId="2" fillId="12" borderId="1" xfId="0" applyFont="1" applyFill="1" applyBorder="1" applyAlignment="1">
      <alignment horizontal="left" vertical="top" wrapText="1"/>
    </xf>
    <xf numFmtId="164" fontId="0" fillId="0" borderId="20" xfId="0" applyNumberFormat="1" applyBorder="1" applyAlignment="1">
      <alignment horizontal="center" vertical="center" wrapText="1"/>
    </xf>
    <xf numFmtId="164" fontId="0" fillId="4" borderId="1" xfId="0" applyNumberFormat="1" applyFill="1" applyBorder="1"/>
    <xf numFmtId="0" fontId="54" fillId="0" borderId="43" xfId="0" applyFont="1" applyBorder="1" applyAlignment="1">
      <alignment horizontal="center" vertical="center" wrapText="1"/>
    </xf>
    <xf numFmtId="10" fontId="55" fillId="0" borderId="0" xfId="0" applyNumberFormat="1" applyFont="1" applyAlignment="1">
      <alignment horizontal="center"/>
    </xf>
    <xf numFmtId="0" fontId="55" fillId="0" borderId="0" xfId="0" applyFont="1" applyAlignment="1">
      <alignment horizontal="center"/>
    </xf>
    <xf numFmtId="2" fontId="55" fillId="0" borderId="0" xfId="0" applyNumberFormat="1" applyFont="1" applyAlignment="1">
      <alignment horizontal="center"/>
    </xf>
    <xf numFmtId="44" fontId="0" fillId="0" borderId="0" xfId="0" applyNumberFormat="1" applyAlignment="1">
      <alignment horizontal="center"/>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1054100</xdr:colOff>
      <xdr:row>9</xdr:row>
      <xdr:rowOff>88900</xdr:rowOff>
    </xdr:from>
    <xdr:to>
      <xdr:col>3</xdr:col>
      <xdr:colOff>381000</xdr:colOff>
      <xdr:row>9</xdr:row>
      <xdr:rowOff>88900</xdr:rowOff>
    </xdr:to>
    <xdr:cxnSp macro="">
      <xdr:nvCxnSpPr>
        <xdr:cNvPr id="113986" name="Straight Arrow Connector 4">
          <a:extLst>
            <a:ext uri="{FF2B5EF4-FFF2-40B4-BE49-F238E27FC236}">
              <a16:creationId xmlns:a16="http://schemas.microsoft.com/office/drawing/2014/main" id="{F3C3383D-3E60-1B4D-B22C-2AACA0377D06}"/>
            </a:ext>
          </a:extLst>
        </xdr:cNvPr>
        <xdr:cNvCxnSpPr>
          <a:cxnSpLocks noChangeShapeType="1"/>
        </xdr:cNvCxnSpPr>
      </xdr:nvCxnSpPr>
      <xdr:spPr bwMode="auto">
        <a:xfrm>
          <a:off x="3581400" y="1816100"/>
          <a:ext cx="6731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1066800</xdr:colOff>
      <xdr:row>10</xdr:row>
      <xdr:rowOff>101600</xdr:rowOff>
    </xdr:from>
    <xdr:to>
      <xdr:col>3</xdr:col>
      <xdr:colOff>381000</xdr:colOff>
      <xdr:row>10</xdr:row>
      <xdr:rowOff>101600</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a:off x="3594100" y="2032000"/>
          <a:ext cx="6604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1066800</xdr:colOff>
      <xdr:row>13</xdr:row>
      <xdr:rowOff>76200</xdr:rowOff>
    </xdr:from>
    <xdr:to>
      <xdr:col>3</xdr:col>
      <xdr:colOff>381000</xdr:colOff>
      <xdr:row>13</xdr:row>
      <xdr:rowOff>76200</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a:off x="3594100" y="2616200"/>
          <a:ext cx="6604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990600</xdr:colOff>
      <xdr:row>8</xdr:row>
      <xdr:rowOff>101600</xdr:rowOff>
    </xdr:from>
    <xdr:to>
      <xdr:col>3</xdr:col>
      <xdr:colOff>317500</xdr:colOff>
      <xdr:row>8</xdr:row>
      <xdr:rowOff>101600</xdr:rowOff>
    </xdr:to>
    <xdr:cxnSp macro="">
      <xdr:nvCxnSpPr>
        <xdr:cNvPr id="113989" name="Straight Arrow Connector 4">
          <a:extLst>
            <a:ext uri="{FF2B5EF4-FFF2-40B4-BE49-F238E27FC236}">
              <a16:creationId xmlns:a16="http://schemas.microsoft.com/office/drawing/2014/main" id="{DBD8894E-2AE1-AD48-BBEC-C22585D3F148}"/>
            </a:ext>
          </a:extLst>
        </xdr:cNvPr>
        <xdr:cNvCxnSpPr>
          <a:cxnSpLocks noChangeShapeType="1"/>
        </xdr:cNvCxnSpPr>
      </xdr:nvCxnSpPr>
      <xdr:spPr bwMode="auto">
        <a:xfrm>
          <a:off x="3517900" y="1625600"/>
          <a:ext cx="6731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1"/>
  <sheetViews>
    <sheetView topLeftCell="C19" zoomScale="145" zoomScaleNormal="145" workbookViewId="0">
      <selection activeCell="J31" sqref="J31"/>
    </sheetView>
  </sheetViews>
  <sheetFormatPr defaultColWidth="10.875" defaultRowHeight="10.199999999999999"/>
  <cols>
    <col min="1" max="1" width="49.625" style="4" customWidth="1"/>
    <col min="2" max="2" width="26.5" style="4" customWidth="1"/>
    <col min="3" max="3" width="17" style="4" customWidth="1"/>
    <col min="4" max="4" width="16.625" style="4" customWidth="1"/>
    <col min="5" max="7" width="10.875" style="4"/>
    <col min="8" max="8" width="11" style="4" bestFit="1" customWidth="1"/>
    <col min="9" max="9" width="13.5" style="4" customWidth="1"/>
    <col min="10" max="10" width="15" style="4" bestFit="1" customWidth="1"/>
    <col min="11" max="11" width="17.5" style="4" bestFit="1" customWidth="1"/>
    <col min="12" max="16384" width="10.875" style="4"/>
  </cols>
  <sheetData>
    <row r="1" spans="1:10" ht="12.6">
      <c r="A1" s="208" t="s">
        <v>386</v>
      </c>
      <c r="B1" s="228">
        <v>42277</v>
      </c>
      <c r="C1" s="169" t="s">
        <v>387</v>
      </c>
      <c r="D1" s="170"/>
      <c r="E1" s="170"/>
      <c r="F1" s="170"/>
      <c r="G1" s="170"/>
      <c r="H1" s="170"/>
      <c r="I1" s="170"/>
      <c r="J1" s="171"/>
    </row>
    <row r="2" spans="1:10" s="56" customFormat="1" ht="13.2" thickBot="1">
      <c r="A2" s="53" t="s">
        <v>34</v>
      </c>
      <c r="B2" s="229" t="s">
        <v>760</v>
      </c>
      <c r="C2" s="209" t="s">
        <v>102</v>
      </c>
      <c r="D2" s="82"/>
      <c r="E2" s="82"/>
      <c r="F2" s="82"/>
      <c r="G2" s="82"/>
      <c r="H2" s="82"/>
      <c r="I2" s="82"/>
      <c r="J2" s="210"/>
    </row>
    <row r="3" spans="1:10" s="56" customFormat="1" ht="13.2" thickBot="1">
      <c r="A3" s="360" t="s">
        <v>431</v>
      </c>
      <c r="B3" s="361"/>
      <c r="C3" s="362"/>
      <c r="D3" s="362"/>
      <c r="E3" s="362"/>
      <c r="F3" s="362"/>
      <c r="G3" s="362"/>
      <c r="H3" s="362"/>
      <c r="I3" s="362"/>
      <c r="J3" s="363"/>
    </row>
    <row r="4" spans="1:10" s="56" customFormat="1" ht="12.6">
      <c r="A4" s="57"/>
      <c r="B4" s="57" t="s">
        <v>180</v>
      </c>
      <c r="C4" s="172" t="s">
        <v>181</v>
      </c>
      <c r="D4" s="82"/>
      <c r="E4" s="82"/>
      <c r="F4" s="82"/>
      <c r="G4" s="82"/>
      <c r="H4" s="82"/>
      <c r="I4" s="82"/>
    </row>
    <row r="5" spans="1:10" s="56" customFormat="1" ht="12.6">
      <c r="A5" s="156" t="s">
        <v>446</v>
      </c>
      <c r="B5" s="232" t="s">
        <v>259</v>
      </c>
      <c r="C5" s="172"/>
      <c r="D5" s="82"/>
      <c r="E5" s="82"/>
      <c r="F5" s="82"/>
      <c r="G5" s="82"/>
      <c r="H5" s="82"/>
      <c r="I5" s="82"/>
    </row>
    <row r="6" spans="1:10" s="56" customFormat="1" ht="12.6">
      <c r="A6" s="156" t="s">
        <v>436</v>
      </c>
      <c r="B6" s="157" t="s">
        <v>535</v>
      </c>
      <c r="C6" s="82"/>
      <c r="D6" s="82"/>
      <c r="E6" s="82"/>
      <c r="F6" s="82"/>
      <c r="G6" s="82"/>
      <c r="H6" s="82"/>
      <c r="I6" s="82"/>
    </row>
    <row r="7" spans="1:10" s="56" customFormat="1" ht="12.6">
      <c r="A7" s="156" t="s">
        <v>437</v>
      </c>
      <c r="B7" s="157" t="s">
        <v>535</v>
      </c>
      <c r="C7" s="246" t="s">
        <v>396</v>
      </c>
      <c r="D7" s="246" t="s">
        <v>622</v>
      </c>
      <c r="E7" s="82"/>
      <c r="F7" s="82"/>
      <c r="G7" s="82"/>
      <c r="H7" s="82"/>
      <c r="I7" s="82"/>
    </row>
    <row r="8" spans="1:10" s="56" customFormat="1" ht="12.6">
      <c r="A8" s="60" t="s">
        <v>11</v>
      </c>
      <c r="B8" s="61">
        <v>21724</v>
      </c>
      <c r="C8" s="85">
        <v>17717</v>
      </c>
      <c r="D8" s="245">
        <v>0.75</v>
      </c>
    </row>
    <row r="9" spans="1:10" s="56" customFormat="1" ht="12.6">
      <c r="A9" s="60" t="s">
        <v>29</v>
      </c>
      <c r="B9" s="61">
        <v>4647</v>
      </c>
      <c r="C9" s="85">
        <v>3858</v>
      </c>
      <c r="D9" s="245">
        <v>0.75</v>
      </c>
    </row>
    <row r="10" spans="1:10" s="56" customFormat="1" ht="12.6">
      <c r="A10" s="60" t="s">
        <v>439</v>
      </c>
      <c r="B10" s="85">
        <v>950</v>
      </c>
      <c r="C10" s="85">
        <v>538</v>
      </c>
      <c r="D10" s="62"/>
    </row>
    <row r="11" spans="1:10" s="56" customFormat="1" ht="12.6">
      <c r="A11" s="60" t="s">
        <v>30</v>
      </c>
      <c r="B11" s="61">
        <v>28791</v>
      </c>
      <c r="C11" s="85">
        <v>27082</v>
      </c>
      <c r="D11" s="62"/>
    </row>
    <row r="12" spans="1:10" s="56" customFormat="1" ht="12.6">
      <c r="A12" s="60" t="s">
        <v>31</v>
      </c>
      <c r="B12" s="61">
        <v>11065</v>
      </c>
      <c r="C12" s="85">
        <v>11187</v>
      </c>
      <c r="D12" s="62"/>
    </row>
    <row r="13" spans="1:10" s="56" customFormat="1" ht="12.6">
      <c r="A13" s="160" t="s">
        <v>426</v>
      </c>
      <c r="B13" s="198" t="s">
        <v>59</v>
      </c>
      <c r="C13" s="199" t="s">
        <v>427</v>
      </c>
      <c r="D13" s="62"/>
    </row>
    <row r="14" spans="1:10" s="56" customFormat="1" ht="12.6">
      <c r="A14" s="60" t="s">
        <v>246</v>
      </c>
      <c r="B14" s="85" t="s">
        <v>53</v>
      </c>
      <c r="C14" s="62" t="s">
        <v>249</v>
      </c>
      <c r="D14" s="62"/>
    </row>
    <row r="15" spans="1:10" s="56" customFormat="1" ht="12.6">
      <c r="A15" s="60" t="s">
        <v>605</v>
      </c>
      <c r="B15" s="85">
        <v>1205</v>
      </c>
      <c r="C15" s="85">
        <v>803</v>
      </c>
      <c r="D15" s="62"/>
    </row>
    <row r="16" spans="1:10" s="56" customFormat="1" ht="12.6">
      <c r="A16" s="60" t="s">
        <v>606</v>
      </c>
      <c r="B16" s="85">
        <v>36.5</v>
      </c>
      <c r="C16" s="85">
        <v>36</v>
      </c>
      <c r="D16" s="62"/>
    </row>
    <row r="17" spans="1:11" s="56" customFormat="1" ht="12.6">
      <c r="A17" s="60" t="s">
        <v>392</v>
      </c>
      <c r="B17" s="173">
        <v>269.89999999999998</v>
      </c>
      <c r="C17" s="85">
        <v>269.2</v>
      </c>
      <c r="D17" s="62"/>
    </row>
    <row r="18" spans="1:11" s="56" customFormat="1" ht="13.2" thickBot="1">
      <c r="A18" s="60" t="s">
        <v>32</v>
      </c>
      <c r="B18" s="158">
        <v>405.6</v>
      </c>
      <c r="C18" s="62"/>
    </row>
    <row r="19" spans="1:11" s="56" customFormat="1" ht="12.6">
      <c r="A19" s="60" t="s">
        <v>33</v>
      </c>
      <c r="B19" s="61">
        <v>83</v>
      </c>
      <c r="C19" s="62"/>
      <c r="E19" s="86" t="s">
        <v>245</v>
      </c>
      <c r="F19" s="54"/>
      <c r="G19" s="54"/>
      <c r="H19" s="54"/>
      <c r="I19" s="54"/>
      <c r="J19" s="54"/>
      <c r="K19" s="55"/>
    </row>
    <row r="20" spans="1:11" s="56" customFormat="1" ht="12.6">
      <c r="A20" s="63" t="s">
        <v>106</v>
      </c>
      <c r="B20" s="64">
        <v>0.24099999999999999</v>
      </c>
      <c r="C20" s="62"/>
      <c r="E20" s="207" t="s">
        <v>430</v>
      </c>
      <c r="F20" s="82"/>
      <c r="G20" s="82"/>
      <c r="H20" s="82"/>
      <c r="I20" s="82"/>
      <c r="J20" s="82"/>
      <c r="K20" s="88"/>
    </row>
    <row r="21" spans="1:11" s="56" customFormat="1" ht="12.6">
      <c r="A21" s="63" t="s">
        <v>107</v>
      </c>
      <c r="B21" s="64">
        <v>0.25</v>
      </c>
      <c r="C21" s="62"/>
      <c r="E21" s="155"/>
      <c r="F21" s="82"/>
      <c r="G21" s="82"/>
      <c r="H21" s="82"/>
      <c r="I21" s="160" t="s">
        <v>241</v>
      </c>
      <c r="J21" s="160" t="s">
        <v>243</v>
      </c>
      <c r="K21" s="88" t="s">
        <v>438</v>
      </c>
    </row>
    <row r="22" spans="1:11" s="56" customFormat="1" ht="12.6">
      <c r="A22" s="65" t="s">
        <v>35</v>
      </c>
      <c r="B22" s="66"/>
      <c r="C22" s="62"/>
      <c r="E22" s="87" t="s">
        <v>176</v>
      </c>
      <c r="F22" s="82"/>
      <c r="G22" s="82"/>
      <c r="H22" s="82"/>
      <c r="I22" s="259">
        <f>IF(C8&gt;0,(B8/C8)^(1/D8)-1, "NA")</f>
        <v>0.3123997689750837</v>
      </c>
      <c r="J22" s="259">
        <f>VLOOKUP(B6,'Industry Average Beta (US)'!A2:S95,3)</f>
        <v>0.7066988333333335</v>
      </c>
      <c r="K22" s="260">
        <f>VLOOKUP(B7,'Industry Average Beta (Global)'!A2:N95,3)</f>
        <v>0.16788050903119886</v>
      </c>
    </row>
    <row r="23" spans="1:11" s="56" customFormat="1" ht="12.6">
      <c r="A23" s="60" t="s">
        <v>49</v>
      </c>
      <c r="B23" s="67">
        <v>0.15</v>
      </c>
      <c r="C23" s="62" t="s">
        <v>609</v>
      </c>
      <c r="E23" s="87" t="s">
        <v>177</v>
      </c>
      <c r="F23" s="82"/>
      <c r="G23" s="82"/>
      <c r="H23" s="82"/>
      <c r="I23" s="259">
        <f>'Valuation output'!B4</f>
        <v>0.21535168477260175</v>
      </c>
      <c r="J23" s="260">
        <f>VLOOKUP(B6,'Industry Average Beta (US)'!A2:S95,4)</f>
        <v>0.23303355862606615</v>
      </c>
      <c r="K23" s="260">
        <f>VLOOKUP(B7,'Industry Average Beta (Global)'!A2:N95,4)</f>
        <v>0.18568549731413431</v>
      </c>
    </row>
    <row r="24" spans="1:11" s="56" customFormat="1" ht="12.6">
      <c r="A24" s="60" t="s">
        <v>51</v>
      </c>
      <c r="B24" s="67">
        <f>K23</f>
        <v>0.18568549731413431</v>
      </c>
      <c r="C24" s="62" t="s">
        <v>607</v>
      </c>
      <c r="E24" s="87" t="s">
        <v>178</v>
      </c>
      <c r="F24" s="82"/>
      <c r="G24" s="82"/>
      <c r="H24" s="82"/>
      <c r="I24" s="261">
        <f>B8/'Valuation output'!B39</f>
        <v>0.55280026260811599</v>
      </c>
      <c r="J24" s="261">
        <f>VLOOKUP(B6,'Industry Average Beta (US)'!A2:S95,14)</f>
        <v>0.70486114020112933</v>
      </c>
      <c r="K24" s="261">
        <f>VLOOKUP(B7,'Industry Average Beta (Global)'!A2:N95,14)</f>
        <v>0.71771995084171836</v>
      </c>
    </row>
    <row r="25" spans="1:11" s="56" customFormat="1" ht="12.6">
      <c r="A25" s="60" t="s">
        <v>683</v>
      </c>
      <c r="B25" s="68">
        <v>10</v>
      </c>
      <c r="C25" s="62" t="s">
        <v>684</v>
      </c>
      <c r="E25" s="87" t="s">
        <v>179</v>
      </c>
      <c r="F25" s="82"/>
      <c r="G25" s="82"/>
      <c r="H25" s="82"/>
      <c r="I25" s="260">
        <f>'Valuation output'!B7/'Valuation output'!B39</f>
        <v>9.0356269132604389E-2</v>
      </c>
      <c r="J25" s="260">
        <f>VLOOKUP(B6,'Industry Average Beta (US)'!A2:S95,5)</f>
        <v>0.16791688065597959</v>
      </c>
      <c r="K25" s="260">
        <f>VLOOKUP(B7,'Industry Average Beta (Global)'!A2:N95,5)</f>
        <v>0.12130742894540185</v>
      </c>
    </row>
    <row r="26" spans="1:11" s="56" customFormat="1" ht="12.6">
      <c r="A26" s="60" t="s">
        <v>37</v>
      </c>
      <c r="B26" s="68">
        <v>1.25</v>
      </c>
      <c r="C26" s="62" t="s">
        <v>608</v>
      </c>
      <c r="E26" s="87" t="s">
        <v>385</v>
      </c>
      <c r="F26" s="82"/>
      <c r="G26" s="82"/>
      <c r="H26" s="82"/>
      <c r="I26" s="168"/>
      <c r="J26" s="262">
        <f>VLOOKUP(B6,'Industry Average Beta (US)'!A2:S95,10)</f>
        <v>0.72446101025919885</v>
      </c>
      <c r="K26" s="260">
        <f>VLOOKUP(B6,'Industry Average Beta (Global)'!A2:Z95,10)</f>
        <v>0.46120352844263335</v>
      </c>
    </row>
    <row r="27" spans="1:11" s="56" customFormat="1" ht="13.2" thickBot="1">
      <c r="A27" s="65" t="s">
        <v>36</v>
      </c>
      <c r="B27" s="69"/>
      <c r="C27" s="62"/>
      <c r="E27" s="58" t="s">
        <v>384</v>
      </c>
      <c r="F27" s="59"/>
      <c r="G27" s="59"/>
      <c r="H27" s="59"/>
      <c r="I27" s="59"/>
      <c r="J27" s="263">
        <f>VLOOKUP(B6,'Industry Average Beta (US)'!A2:S95,13)</f>
        <v>0.10491226752445131</v>
      </c>
      <c r="K27" s="260">
        <f>VLOOKUP(B6,'Industry Average Beta (Global)'!A2:Z95,13)</f>
        <v>0.10980979298120247</v>
      </c>
    </row>
    <row r="28" spans="1:11" s="56" customFormat="1" ht="13.2" thickBot="1">
      <c r="A28" s="60" t="s">
        <v>27</v>
      </c>
      <c r="B28" s="67">
        <f>(1.017)*(1.055/1.01)-1</f>
        <v>6.2311881188118701E-2</v>
      </c>
      <c r="C28" s="62" t="s">
        <v>761</v>
      </c>
    </row>
    <row r="29" spans="1:11" s="56" customFormat="1" ht="12.6">
      <c r="A29" s="60" t="s">
        <v>39</v>
      </c>
      <c r="B29" s="159">
        <f>'Cost of capital worksheet'!E50</f>
        <v>0.18349632642035563</v>
      </c>
      <c r="C29" s="62"/>
      <c r="E29" s="364" t="s">
        <v>610</v>
      </c>
      <c r="F29" s="365"/>
      <c r="G29" s="365"/>
      <c r="H29" s="365"/>
      <c r="I29" s="365"/>
      <c r="J29" s="366"/>
    </row>
    <row r="30" spans="1:11" s="56" customFormat="1" ht="12.6">
      <c r="A30" s="65" t="s">
        <v>91</v>
      </c>
      <c r="B30" s="70"/>
      <c r="C30" s="70"/>
      <c r="D30" s="62"/>
      <c r="E30" s="247" t="s">
        <v>611</v>
      </c>
      <c r="F30" s="63"/>
      <c r="G30" s="63"/>
      <c r="H30" s="63"/>
      <c r="I30" s="63"/>
      <c r="J30" s="258">
        <f>'Valuation output'!M3</f>
        <v>73147.865743016344</v>
      </c>
    </row>
    <row r="31" spans="1:11" s="56" customFormat="1" ht="12.6">
      <c r="A31" s="63" t="s">
        <v>248</v>
      </c>
      <c r="B31" s="159" t="s">
        <v>53</v>
      </c>
      <c r="C31"/>
      <c r="D31" s="62"/>
      <c r="E31" s="247" t="s">
        <v>613</v>
      </c>
      <c r="F31" s="63"/>
      <c r="G31" s="63"/>
      <c r="H31" s="63"/>
      <c r="I31" s="63"/>
      <c r="J31" s="258">
        <f>'Valuation output'!M5</f>
        <v>13582.497827959518</v>
      </c>
    </row>
    <row r="32" spans="1:11" s="56" customFormat="1" ht="12.6">
      <c r="A32" s="63" t="s">
        <v>92</v>
      </c>
      <c r="B32" s="68">
        <v>20.440000000000001</v>
      </c>
      <c r="C32" s="257"/>
      <c r="D32" s="62"/>
      <c r="E32" s="247" t="s">
        <v>612</v>
      </c>
      <c r="F32" s="63"/>
      <c r="G32" s="63"/>
      <c r="H32" s="63"/>
      <c r="I32" s="63"/>
      <c r="J32" s="259">
        <f>'Valuation output'!L40</f>
        <v>0.12460652553056274</v>
      </c>
    </row>
    <row r="33" spans="1:14" s="56" customFormat="1" ht="13.2" thickBot="1">
      <c r="A33" s="63" t="s">
        <v>93</v>
      </c>
      <c r="B33" s="71">
        <v>107.46</v>
      </c>
      <c r="C33" s="256"/>
      <c r="D33" s="62"/>
      <c r="E33" s="248" t="s">
        <v>614</v>
      </c>
      <c r="F33" s="59"/>
      <c r="G33" s="59"/>
      <c r="H33" s="59"/>
      <c r="I33" s="59"/>
      <c r="J33" s="249"/>
    </row>
    <row r="34" spans="1:14" s="56" customFormat="1" ht="12.6">
      <c r="A34" s="63" t="s">
        <v>94</v>
      </c>
      <c r="B34" s="68">
        <v>5.62</v>
      </c>
      <c r="C34" s="257"/>
      <c r="D34" s="62"/>
    </row>
    <row r="35" spans="1:14" s="56" customFormat="1" ht="12.6">
      <c r="A35" s="63" t="s">
        <v>95</v>
      </c>
      <c r="B35" s="67">
        <v>0.42</v>
      </c>
      <c r="C35" s="62"/>
    </row>
    <row r="36" spans="1:14" s="56" customFormat="1" ht="12.6">
      <c r="A36" s="63"/>
      <c r="B36" s="72"/>
      <c r="C36" s="70"/>
      <c r="D36" s="62"/>
    </row>
    <row r="37" spans="1:14" s="74" customFormat="1" ht="12.6">
      <c r="A37" s="359" t="s">
        <v>108</v>
      </c>
      <c r="B37" s="359"/>
      <c r="C37" s="83"/>
      <c r="D37" s="62"/>
      <c r="H37" s="56"/>
      <c r="I37" s="56"/>
      <c r="J37" s="56"/>
      <c r="K37" s="56"/>
      <c r="L37" s="56"/>
      <c r="M37" s="56"/>
      <c r="N37" s="56"/>
    </row>
    <row r="38" spans="1:14" s="56" customFormat="1" ht="12.6">
      <c r="A38" s="73" t="s">
        <v>109</v>
      </c>
      <c r="B38" s="73"/>
      <c r="C38" s="84"/>
      <c r="D38" s="62"/>
    </row>
    <row r="39" spans="1:14" s="56" customFormat="1" ht="12.6">
      <c r="A39" s="75" t="s">
        <v>40</v>
      </c>
      <c r="B39" s="76" t="s">
        <v>59</v>
      </c>
      <c r="C39" s="62" t="s">
        <v>56</v>
      </c>
      <c r="N39" s="74"/>
    </row>
    <row r="40" spans="1:14" s="74" customFormat="1" ht="12.6">
      <c r="A40" s="75" t="s">
        <v>42</v>
      </c>
      <c r="B40" s="77">
        <v>0.12</v>
      </c>
      <c r="C40" s="62" t="s">
        <v>145</v>
      </c>
      <c r="D40" s="56"/>
      <c r="N40" s="56"/>
    </row>
    <row r="41" spans="1:14" s="56" customFormat="1" ht="12.6">
      <c r="A41" s="74" t="s">
        <v>110</v>
      </c>
      <c r="B41" s="74"/>
      <c r="C41" s="62"/>
      <c r="D41" s="74"/>
    </row>
    <row r="42" spans="1:14" s="56" customFormat="1" ht="12.6">
      <c r="A42" s="56" t="s">
        <v>40</v>
      </c>
      <c r="B42" s="76" t="s">
        <v>53</v>
      </c>
      <c r="C42" s="62" t="s">
        <v>55</v>
      </c>
      <c r="N42" s="74"/>
    </row>
    <row r="43" spans="1:14" s="56" customFormat="1" ht="12.6">
      <c r="A43" s="56" t="s">
        <v>41</v>
      </c>
      <c r="B43" s="77">
        <v>0.12</v>
      </c>
      <c r="C43" s="62" t="s">
        <v>146</v>
      </c>
      <c r="H43" s="74"/>
      <c r="I43" s="74"/>
      <c r="J43" s="74"/>
      <c r="K43" s="74"/>
      <c r="L43" s="74"/>
      <c r="M43" s="74"/>
    </row>
    <row r="44" spans="1:14" s="56" customFormat="1" ht="12.6">
      <c r="A44" s="74" t="s">
        <v>141</v>
      </c>
      <c r="C44" s="62"/>
    </row>
    <row r="45" spans="1:14" s="56" customFormat="1" ht="12.6">
      <c r="A45" s="56" t="s">
        <v>40</v>
      </c>
      <c r="B45" s="76" t="s">
        <v>53</v>
      </c>
      <c r="C45" s="62" t="s">
        <v>116</v>
      </c>
    </row>
    <row r="46" spans="1:14" s="56" customFormat="1" ht="12.6">
      <c r="A46" s="56" t="s">
        <v>111</v>
      </c>
      <c r="B46" s="77">
        <v>0.2</v>
      </c>
      <c r="C46" s="62" t="s">
        <v>57</v>
      </c>
    </row>
    <row r="47" spans="1:14" s="56" customFormat="1" ht="12.6">
      <c r="A47" s="56" t="s">
        <v>114</v>
      </c>
      <c r="B47" s="77" t="s">
        <v>238</v>
      </c>
      <c r="C47" s="62" t="s">
        <v>105</v>
      </c>
    </row>
    <row r="48" spans="1:14" s="56" customFormat="1" ht="12.6">
      <c r="A48" s="56" t="s">
        <v>239</v>
      </c>
      <c r="B48" s="77">
        <v>0.5</v>
      </c>
      <c r="C48" s="62" t="s">
        <v>115</v>
      </c>
    </row>
    <row r="49" spans="1:14" s="56" customFormat="1" ht="12.6">
      <c r="A49" s="74" t="s">
        <v>143</v>
      </c>
      <c r="B49" s="78"/>
      <c r="C49" s="62"/>
    </row>
    <row r="50" spans="1:14" s="56" customFormat="1" ht="12.6">
      <c r="A50" s="56" t="s">
        <v>40</v>
      </c>
      <c r="B50" s="77" t="s">
        <v>53</v>
      </c>
      <c r="C50" s="62"/>
    </row>
    <row r="51" spans="1:14" s="56" customFormat="1" ht="12.6">
      <c r="A51" s="74" t="s">
        <v>140</v>
      </c>
      <c r="C51" s="62"/>
    </row>
    <row r="52" spans="1:14" s="56" customFormat="1" ht="12.6">
      <c r="A52" s="56" t="s">
        <v>40</v>
      </c>
      <c r="B52" s="76" t="s">
        <v>53</v>
      </c>
      <c r="C52" s="62" t="s">
        <v>58</v>
      </c>
    </row>
    <row r="53" spans="1:14" s="56" customFormat="1" ht="12.6">
      <c r="A53" s="56" t="s">
        <v>50</v>
      </c>
      <c r="B53" s="71">
        <v>250</v>
      </c>
      <c r="C53" s="62" t="s">
        <v>147</v>
      </c>
    </row>
    <row r="54" spans="1:14" s="56" customFormat="1" ht="12.6">
      <c r="A54" s="56" t="s">
        <v>618</v>
      </c>
      <c r="B54" s="256"/>
      <c r="C54" s="62"/>
    </row>
    <row r="55" spans="1:14" s="56" customFormat="1" ht="12.6">
      <c r="A55" s="56" t="s">
        <v>40</v>
      </c>
      <c r="B55" s="71" t="s">
        <v>59</v>
      </c>
      <c r="C55" s="62"/>
    </row>
    <row r="56" spans="1:14" s="250" customFormat="1" ht="12.6">
      <c r="A56" s="56" t="s">
        <v>619</v>
      </c>
      <c r="B56" s="255">
        <v>0.06</v>
      </c>
      <c r="C56" s="62" t="s">
        <v>620</v>
      </c>
      <c r="D56" s="56"/>
      <c r="H56" s="74"/>
      <c r="I56" s="74"/>
      <c r="J56" s="74"/>
      <c r="K56" s="74"/>
      <c r="L56" s="74"/>
      <c r="M56" s="74"/>
      <c r="N56" s="74"/>
    </row>
    <row r="57" spans="1:14" ht="12.6">
      <c r="A57" s="250" t="s">
        <v>623</v>
      </c>
      <c r="B57" s="250"/>
      <c r="C57" s="250"/>
      <c r="D57" s="250"/>
      <c r="H57" s="56"/>
      <c r="I57" s="56"/>
      <c r="J57" s="56"/>
      <c r="K57" s="56"/>
      <c r="L57" s="56"/>
      <c r="M57" s="56"/>
      <c r="N57" s="56"/>
    </row>
    <row r="58" spans="1:14" ht="12.6">
      <c r="A58" s="4" t="s">
        <v>615</v>
      </c>
      <c r="B58" s="251" t="s">
        <v>53</v>
      </c>
      <c r="H58" s="56"/>
      <c r="I58" s="56"/>
      <c r="J58" s="56"/>
      <c r="K58" s="56"/>
      <c r="L58" s="56"/>
      <c r="M58" s="56"/>
    </row>
    <row r="59" spans="1:14" ht="11.4">
      <c r="A59" s="4" t="s">
        <v>626</v>
      </c>
      <c r="B59" s="183">
        <v>140000</v>
      </c>
      <c r="C59" s="265" t="s">
        <v>624</v>
      </c>
    </row>
    <row r="60" spans="1:14">
      <c r="A60" s="264" t="s">
        <v>616</v>
      </c>
      <c r="B60" s="252">
        <v>0.15</v>
      </c>
      <c r="C60" s="265" t="s">
        <v>625</v>
      </c>
    </row>
    <row r="61" spans="1:14">
      <c r="A61" s="145"/>
    </row>
  </sheetData>
  <mergeCells count="3">
    <mergeCell ref="A37:B37"/>
    <mergeCell ref="A3:J3"/>
    <mergeCell ref="E29:J29"/>
  </mergeCells>
  <phoneticPr fontId="6" type="noConversion"/>
  <dataValidations count="1">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formula1>0</formula1>
      <formula2>1</formula2>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'Country equity risk premiums'!$A$5:$A$179</xm:f>
          </x14:formula1>
          <xm:sqref>B5</xm:sqref>
        </x14:dataValidation>
        <x14:dataValidation type="list" allowBlank="1" showInputMessage="1" showErrorMessage="1">
          <x14:formula1>
            <xm:f>'Industry Average Beta (US)'!$A$2:$A$95</xm:f>
          </x14:formula1>
          <xm:sqref>B6</xm:sqref>
        </x14:dataValidation>
        <x14:dataValidation type="list" allowBlank="1" showInputMessage="1" showErrorMessage="1">
          <x14:formula1>
            <xm:f>'Industry Average Beta (Global)'!$A$2:$A$95</xm:f>
          </x14:formula1>
          <xm:sqref>B7</xm:sqref>
        </x14:dataValidation>
        <x14:dataValidation type="list" allowBlank="1" showInputMessage="1" showErrorMessage="1">
          <x14:formula1>
            <xm:f>'Answer keys'!$A$2:$A$3</xm:f>
          </x14:formula1>
          <xm:sqref>B13:B14 B31 B39 B42 B45 B50 B52 B55 B58</xm:sqref>
        </x14:dataValidation>
        <x14:dataValidation type="list" allowBlank="1" showInputMessage="1" showErrorMessage="1">
          <x14:formula1>
            <xm:f>'Answer keys'!$B$2:$B$3</xm:f>
          </x14:formula1>
          <xm:sqref>B47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4"/>
  <sheetViews>
    <sheetView topLeftCell="A64" workbookViewId="0">
      <selection activeCell="D14" sqref="D14"/>
    </sheetView>
  </sheetViews>
  <sheetFormatPr defaultColWidth="11" defaultRowHeight="11.4"/>
  <cols>
    <col min="1" max="1" width="27.5" bestFit="1" customWidth="1"/>
    <col min="2" max="2" width="15" bestFit="1" customWidth="1"/>
    <col min="3" max="3" width="18.5" bestFit="1" customWidth="1"/>
    <col min="4" max="4" width="21" bestFit="1" customWidth="1"/>
    <col min="5" max="5" width="20" bestFit="1" customWidth="1"/>
    <col min="6" max="6" width="17.625" bestFit="1" customWidth="1"/>
    <col min="7" max="7" width="29.625" customWidth="1"/>
  </cols>
  <sheetData>
    <row r="1" spans="1:7">
      <c r="A1" t="s">
        <v>741</v>
      </c>
      <c r="B1" s="340">
        <v>5.5300000000000002E-2</v>
      </c>
    </row>
    <row r="4" spans="1:7" ht="15.6">
      <c r="A4" s="344" t="s">
        <v>354</v>
      </c>
      <c r="B4" s="50" t="s">
        <v>685</v>
      </c>
      <c r="C4" s="344" t="s">
        <v>355</v>
      </c>
      <c r="D4" s="330" t="s">
        <v>686</v>
      </c>
      <c r="E4" s="331" t="s">
        <v>356</v>
      </c>
      <c r="F4" s="331" t="s">
        <v>617</v>
      </c>
      <c r="G4" s="332" t="s">
        <v>357</v>
      </c>
    </row>
    <row r="5" spans="1:7" ht="15.6">
      <c r="A5" s="44" t="s">
        <v>485</v>
      </c>
      <c r="B5" s="50" t="s">
        <v>687</v>
      </c>
      <c r="C5" s="345">
        <v>5.5987260310332385E-3</v>
      </c>
      <c r="D5" s="333">
        <f>$D$173+E5</f>
        <v>6.21868579673562E-2</v>
      </c>
      <c r="E5" s="347">
        <v>6.8868579673562009E-3</v>
      </c>
      <c r="F5" s="347">
        <v>0.55000000000000004</v>
      </c>
      <c r="G5" s="1" t="s">
        <v>365</v>
      </c>
    </row>
    <row r="6" spans="1:7" ht="15.6">
      <c r="A6" s="44" t="s">
        <v>250</v>
      </c>
      <c r="B6" s="50" t="s">
        <v>688</v>
      </c>
      <c r="C6" s="345">
        <v>5.0795714354283386E-2</v>
      </c>
      <c r="D6" s="333">
        <f t="shared" ref="D6:D69" si="0">$D$173+E6</f>
        <v>0.11778258410383172</v>
      </c>
      <c r="E6" s="347">
        <v>6.2482584103831722E-2</v>
      </c>
      <c r="F6" s="347">
        <v>0.15</v>
      </c>
      <c r="G6" s="1" t="s">
        <v>359</v>
      </c>
    </row>
    <row r="7" spans="1:7" ht="15.6">
      <c r="A7" s="346" t="s">
        <v>689</v>
      </c>
      <c r="B7" s="50" t="s">
        <v>100</v>
      </c>
      <c r="C7" s="285">
        <v>6.2094961435095908E-2</v>
      </c>
      <c r="D7" s="333">
        <f t="shared" si="0"/>
        <v>0.13168151563795058</v>
      </c>
      <c r="E7" s="3">
        <v>7.6381515637950578E-2</v>
      </c>
      <c r="F7" s="348">
        <v>0.26</v>
      </c>
      <c r="G7" s="1" t="s">
        <v>360</v>
      </c>
    </row>
    <row r="8" spans="1:7" ht="15.6">
      <c r="A8" s="44" t="s">
        <v>504</v>
      </c>
      <c r="B8" s="50" t="s">
        <v>690</v>
      </c>
      <c r="C8" s="345">
        <v>2.147874895541842E-2</v>
      </c>
      <c r="D8" s="333">
        <f t="shared" si="0"/>
        <v>8.172049147476651E-2</v>
      </c>
      <c r="E8" s="347">
        <v>2.6420491474766512E-2</v>
      </c>
      <c r="F8" s="347">
        <v>0.1</v>
      </c>
      <c r="G8" s="1" t="s">
        <v>358</v>
      </c>
    </row>
    <row r="9" spans="1:7" ht="15.6">
      <c r="A9" s="44" t="s">
        <v>251</v>
      </c>
      <c r="B9" s="50" t="s">
        <v>701</v>
      </c>
      <c r="C9" s="345">
        <v>7.3394208515908457E-2</v>
      </c>
      <c r="D9" s="333">
        <f t="shared" si="0"/>
        <v>0.14558044717206947</v>
      </c>
      <c r="E9" s="347">
        <v>9.028044717206947E-2</v>
      </c>
      <c r="F9" s="347">
        <v>0.3</v>
      </c>
      <c r="G9" s="1" t="s">
        <v>360</v>
      </c>
    </row>
    <row r="10" spans="1:7" ht="15.6">
      <c r="A10" s="44" t="s">
        <v>252</v>
      </c>
      <c r="B10" s="50" t="s">
        <v>691</v>
      </c>
      <c r="C10" s="345">
        <v>6.2094961435095908E-2</v>
      </c>
      <c r="D10" s="333">
        <f t="shared" si="0"/>
        <v>0.13168151563795058</v>
      </c>
      <c r="E10" s="347">
        <v>7.6381515637950578E-2</v>
      </c>
      <c r="F10" s="347">
        <v>0.3</v>
      </c>
      <c r="G10" s="1" t="s">
        <v>361</v>
      </c>
    </row>
    <row r="11" spans="1:7" ht="15.6">
      <c r="A11" s="44" t="s">
        <v>253</v>
      </c>
      <c r="B11" s="50" t="s">
        <v>688</v>
      </c>
      <c r="C11" s="345">
        <v>5.0795714354283386E-2</v>
      </c>
      <c r="D11" s="333">
        <f t="shared" si="0"/>
        <v>0.11778258410383172</v>
      </c>
      <c r="E11" s="347">
        <v>6.2482584103831722E-2</v>
      </c>
      <c r="F11" s="347">
        <v>0.2</v>
      </c>
      <c r="G11" s="1" t="s">
        <v>359</v>
      </c>
    </row>
    <row r="12" spans="1:7" ht="15.6">
      <c r="A12" s="44" t="s">
        <v>254</v>
      </c>
      <c r="B12" s="50" t="s">
        <v>692</v>
      </c>
      <c r="C12" s="345">
        <v>1.8017718318052423E-2</v>
      </c>
      <c r="D12" s="333">
        <f t="shared" si="0"/>
        <v>7.7463161094946331E-2</v>
      </c>
      <c r="E12" s="347">
        <v>2.2163161094946322E-2</v>
      </c>
      <c r="F12" s="347">
        <v>0.25</v>
      </c>
      <c r="G12" s="1" t="s">
        <v>364</v>
      </c>
    </row>
    <row r="13" spans="1:7" ht="15.6">
      <c r="A13" s="44" t="s">
        <v>255</v>
      </c>
      <c r="B13" s="50" t="s">
        <v>693</v>
      </c>
      <c r="C13" s="345">
        <v>0</v>
      </c>
      <c r="D13" s="333">
        <f t="shared" si="0"/>
        <v>5.5300000000000002E-2</v>
      </c>
      <c r="E13" s="347">
        <v>0</v>
      </c>
      <c r="F13" s="347">
        <v>0.3</v>
      </c>
      <c r="G13" s="1" t="s">
        <v>362</v>
      </c>
    </row>
    <row r="14" spans="1:7" ht="15.6">
      <c r="A14" s="44" t="s">
        <v>256</v>
      </c>
      <c r="B14" s="50" t="s">
        <v>694</v>
      </c>
      <c r="C14" s="345">
        <v>4.4789808248265903E-3</v>
      </c>
      <c r="D14" s="333">
        <f t="shared" si="0"/>
        <v>6.0809486373884961E-2</v>
      </c>
      <c r="E14" s="347">
        <v>5.5094863738849604E-3</v>
      </c>
      <c r="F14" s="347">
        <v>0.25</v>
      </c>
      <c r="G14" s="1" t="s">
        <v>358</v>
      </c>
    </row>
    <row r="15" spans="1:7" ht="15.6">
      <c r="A15" s="44" t="s">
        <v>363</v>
      </c>
      <c r="B15" s="50" t="s">
        <v>695</v>
      </c>
      <c r="C15" s="345">
        <v>3.3897741242437607E-2</v>
      </c>
      <c r="D15" s="333">
        <f t="shared" si="0"/>
        <v>9.6996794602356634E-2</v>
      </c>
      <c r="E15" s="347">
        <v>4.1696794602356632E-2</v>
      </c>
      <c r="F15" s="347">
        <v>0.2</v>
      </c>
      <c r="G15" s="1" t="s">
        <v>359</v>
      </c>
    </row>
    <row r="16" spans="1:7" ht="15.6">
      <c r="A16" s="44" t="s">
        <v>257</v>
      </c>
      <c r="B16" s="50" t="s">
        <v>696</v>
      </c>
      <c r="C16" s="345">
        <v>2.4837984574038366E-2</v>
      </c>
      <c r="D16" s="333">
        <f t="shared" si="0"/>
        <v>8.5852606255180236E-2</v>
      </c>
      <c r="E16" s="347">
        <v>3.0552606255180234E-2</v>
      </c>
      <c r="F16" s="347">
        <v>0</v>
      </c>
      <c r="G16" s="1" t="s">
        <v>364</v>
      </c>
    </row>
    <row r="17" spans="1:7" ht="15.6">
      <c r="A17" s="44" t="s">
        <v>258</v>
      </c>
      <c r="B17" s="50" t="s">
        <v>691</v>
      </c>
      <c r="C17" s="345">
        <v>6.2094961435095908E-2</v>
      </c>
      <c r="D17" s="333">
        <f t="shared" si="0"/>
        <v>0.13168151563795058</v>
      </c>
      <c r="E17" s="347">
        <v>7.6381515637950578E-2</v>
      </c>
      <c r="F17" s="347">
        <v>0</v>
      </c>
      <c r="G17" s="1" t="s">
        <v>365</v>
      </c>
    </row>
    <row r="18" spans="1:7" ht="15.6">
      <c r="A18" s="44" t="s">
        <v>259</v>
      </c>
      <c r="B18" s="50" t="s">
        <v>697</v>
      </c>
      <c r="C18" s="345">
        <v>4.0616212479677498E-2</v>
      </c>
      <c r="D18" s="333">
        <f t="shared" si="0"/>
        <v>0.10526102416318409</v>
      </c>
      <c r="E18" s="347">
        <v>4.9961024163184084E-2</v>
      </c>
      <c r="F18" s="347">
        <v>0.25</v>
      </c>
      <c r="G18" s="1" t="s">
        <v>432</v>
      </c>
    </row>
    <row r="19" spans="1:7" ht="15.6">
      <c r="A19" s="44" t="s">
        <v>260</v>
      </c>
      <c r="B19" s="50" t="s">
        <v>698</v>
      </c>
      <c r="C19" s="345">
        <v>0.11278888077063325</v>
      </c>
      <c r="D19" s="333">
        <f t="shared" si="0"/>
        <v>0.19403888414237586</v>
      </c>
      <c r="E19" s="347">
        <v>0.13873888414237584</v>
      </c>
      <c r="F19" s="347">
        <v>0.3</v>
      </c>
      <c r="G19" s="1" t="s">
        <v>364</v>
      </c>
    </row>
    <row r="20" spans="1:7" ht="15.6">
      <c r="A20" s="44" t="s">
        <v>261</v>
      </c>
      <c r="B20" s="50" t="s">
        <v>701</v>
      </c>
      <c r="C20" s="345">
        <v>7.3394208515908457E-2</v>
      </c>
      <c r="D20" s="333">
        <f t="shared" si="0"/>
        <v>0.14558044717206947</v>
      </c>
      <c r="E20" s="347">
        <v>9.028044717206947E-2</v>
      </c>
      <c r="F20" s="347">
        <v>0.18</v>
      </c>
      <c r="G20" s="1" t="s">
        <v>359</v>
      </c>
    </row>
    <row r="21" spans="1:7" ht="15.6">
      <c r="A21" s="44" t="s">
        <v>262</v>
      </c>
      <c r="B21" s="50" t="s">
        <v>700</v>
      </c>
      <c r="C21" s="345">
        <v>6.8202662559859444E-3</v>
      </c>
      <c r="D21" s="333">
        <f t="shared" si="0"/>
        <v>6.3689445160233921E-2</v>
      </c>
      <c r="E21" s="347">
        <v>8.389445160233917E-3</v>
      </c>
      <c r="F21" s="347">
        <v>0.28999999999999998</v>
      </c>
      <c r="G21" s="1" t="s">
        <v>358</v>
      </c>
    </row>
    <row r="22" spans="1:7" ht="15.6">
      <c r="A22" s="44" t="s">
        <v>366</v>
      </c>
      <c r="B22" s="50" t="s">
        <v>701</v>
      </c>
      <c r="C22" s="345">
        <v>7.3394208515908457E-2</v>
      </c>
      <c r="D22" s="333">
        <f t="shared" si="0"/>
        <v>0.14558044717206947</v>
      </c>
      <c r="E22" s="347">
        <v>9.028044717206947E-2</v>
      </c>
      <c r="F22" s="347">
        <v>0.28210000000000002</v>
      </c>
      <c r="G22" s="1" t="s">
        <v>361</v>
      </c>
    </row>
    <row r="23" spans="1:7" ht="15.6">
      <c r="A23" s="44" t="s">
        <v>702</v>
      </c>
      <c r="B23" s="50" t="s">
        <v>688</v>
      </c>
      <c r="C23" s="345">
        <v>5.0795714354283386E-2</v>
      </c>
      <c r="D23" s="333">
        <f t="shared" si="0"/>
        <v>0.11778258410383172</v>
      </c>
      <c r="E23" s="347">
        <v>6.2482584103831722E-2</v>
      </c>
      <c r="F23" s="347">
        <v>0.3</v>
      </c>
      <c r="G23" s="1" t="s">
        <v>360</v>
      </c>
    </row>
    <row r="24" spans="1:7" ht="15.6">
      <c r="A24" s="44" t="s">
        <v>263</v>
      </c>
      <c r="B24" s="50" t="s">
        <v>703</v>
      </c>
      <c r="C24" s="345">
        <v>9.5687317621295353E-3</v>
      </c>
      <c r="D24" s="333">
        <f t="shared" si="0"/>
        <v>6.707026634420879E-2</v>
      </c>
      <c r="E24" s="347">
        <v>1.1770266344208781E-2</v>
      </c>
      <c r="F24" s="347">
        <v>0</v>
      </c>
      <c r="G24" s="1" t="s">
        <v>364</v>
      </c>
    </row>
    <row r="25" spans="1:7" ht="15.6">
      <c r="A25" s="44" t="s">
        <v>264</v>
      </c>
      <c r="B25" s="50" t="s">
        <v>697</v>
      </c>
      <c r="C25" s="345">
        <v>4.0616212479677498E-2</v>
      </c>
      <c r="D25" s="333">
        <f t="shared" si="0"/>
        <v>0.10526102416318409</v>
      </c>
      <c r="E25" s="347">
        <v>4.9961024163184084E-2</v>
      </c>
      <c r="F25" s="347">
        <v>0.25</v>
      </c>
      <c r="G25" s="1" t="s">
        <v>361</v>
      </c>
    </row>
    <row r="26" spans="1:7" ht="15.6">
      <c r="A26" s="44" t="s">
        <v>265</v>
      </c>
      <c r="B26" s="50" t="s">
        <v>701</v>
      </c>
      <c r="C26" s="345">
        <v>7.3394208515908457E-2</v>
      </c>
      <c r="D26" s="333">
        <f t="shared" si="0"/>
        <v>0.14558044717206947</v>
      </c>
      <c r="E26" s="347">
        <v>9.028044717206947E-2</v>
      </c>
      <c r="F26" s="347">
        <v>0.1</v>
      </c>
      <c r="G26" s="1" t="s">
        <v>359</v>
      </c>
    </row>
    <row r="27" spans="1:7" ht="15.6">
      <c r="A27" s="44" t="s">
        <v>266</v>
      </c>
      <c r="B27" s="50" t="s">
        <v>703</v>
      </c>
      <c r="C27" s="345">
        <v>9.5687317621295353E-3</v>
      </c>
      <c r="D27" s="333">
        <f t="shared" si="0"/>
        <v>6.707026634420879E-2</v>
      </c>
      <c r="E27" s="347">
        <v>1.1770266344208781E-2</v>
      </c>
      <c r="F27" s="347">
        <v>0.22</v>
      </c>
      <c r="G27" s="1" t="s">
        <v>360</v>
      </c>
    </row>
    <row r="28" spans="1:7" ht="15.6">
      <c r="A28" s="44" t="s">
        <v>267</v>
      </c>
      <c r="B28" s="50" t="s">
        <v>695</v>
      </c>
      <c r="C28" s="345">
        <v>3.3897741242437607E-2</v>
      </c>
      <c r="D28" s="333">
        <f t="shared" si="0"/>
        <v>9.6996794602356634E-2</v>
      </c>
      <c r="E28" s="347">
        <v>4.1696794602356632E-2</v>
      </c>
      <c r="F28" s="347">
        <v>0.34</v>
      </c>
      <c r="G28" s="1" t="s">
        <v>361</v>
      </c>
    </row>
    <row r="29" spans="1:7" ht="15.6">
      <c r="A29" s="346" t="s">
        <v>704</v>
      </c>
      <c r="B29" s="50" t="s">
        <v>100</v>
      </c>
      <c r="C29" s="285">
        <v>7.9400114621925883E-3</v>
      </c>
      <c r="D29" s="333">
        <f t="shared" si="0"/>
        <v>6.5066816753705153E-2</v>
      </c>
      <c r="E29" s="3">
        <v>9.7668167537051515E-3</v>
      </c>
      <c r="F29" s="285">
        <v>0.185</v>
      </c>
      <c r="G29" s="1" t="s">
        <v>432</v>
      </c>
    </row>
    <row r="30" spans="1:7" ht="15.6">
      <c r="A30" s="44" t="s">
        <v>268</v>
      </c>
      <c r="B30" s="50" t="s">
        <v>690</v>
      </c>
      <c r="C30" s="345">
        <v>2.147874895541842E-2</v>
      </c>
      <c r="D30" s="333">
        <f t="shared" si="0"/>
        <v>8.172049147476651E-2</v>
      </c>
      <c r="E30" s="347">
        <v>2.6420491474766512E-2</v>
      </c>
      <c r="F30" s="347">
        <v>0.1</v>
      </c>
      <c r="G30" s="1" t="s">
        <v>359</v>
      </c>
    </row>
    <row r="31" spans="1:7" ht="15.6">
      <c r="A31" s="44" t="s">
        <v>486</v>
      </c>
      <c r="B31" s="50" t="s">
        <v>691</v>
      </c>
      <c r="C31" s="345">
        <v>6.2094961435095908E-2</v>
      </c>
      <c r="D31" s="333">
        <f t="shared" si="0"/>
        <v>0.13168151563795058</v>
      </c>
      <c r="E31" s="347">
        <v>7.6381515637950578E-2</v>
      </c>
      <c r="F31" s="347">
        <v>0.28000000000000003</v>
      </c>
      <c r="G31" s="1" t="s">
        <v>360</v>
      </c>
    </row>
    <row r="32" spans="1:7" ht="15.6">
      <c r="A32" s="44" t="s">
        <v>269</v>
      </c>
      <c r="B32" s="50" t="s">
        <v>691</v>
      </c>
      <c r="C32" s="345">
        <v>6.2094961435095908E-2</v>
      </c>
      <c r="D32" s="333">
        <f t="shared" si="0"/>
        <v>0.13168151563795058</v>
      </c>
      <c r="E32" s="347">
        <v>7.6381515637950578E-2</v>
      </c>
      <c r="F32" s="347">
        <v>0.2</v>
      </c>
      <c r="G32" s="1" t="s">
        <v>432</v>
      </c>
    </row>
    <row r="33" spans="1:7" ht="15.6">
      <c r="A33" s="44" t="s">
        <v>487</v>
      </c>
      <c r="B33" s="50" t="s">
        <v>691</v>
      </c>
      <c r="C33" s="345">
        <v>6.2094961435095908E-2</v>
      </c>
      <c r="D33" s="333">
        <f t="shared" si="0"/>
        <v>0.13168151563795058</v>
      </c>
      <c r="E33" s="347">
        <v>7.6381515637950578E-2</v>
      </c>
      <c r="F33" s="347">
        <v>0.33</v>
      </c>
      <c r="G33" s="1" t="s">
        <v>360</v>
      </c>
    </row>
    <row r="34" spans="1:7" ht="15.6">
      <c r="A34" s="44" t="s">
        <v>270</v>
      </c>
      <c r="B34" s="50" t="s">
        <v>693</v>
      </c>
      <c r="C34" s="345">
        <v>0</v>
      </c>
      <c r="D34" s="333">
        <f t="shared" si="0"/>
        <v>5.5300000000000002E-2</v>
      </c>
      <c r="E34" s="347">
        <v>0</v>
      </c>
      <c r="F34" s="347">
        <v>0.26500000000000001</v>
      </c>
      <c r="G34" s="1" t="s">
        <v>367</v>
      </c>
    </row>
    <row r="35" spans="1:7" ht="15.6">
      <c r="A35" s="44" t="s">
        <v>488</v>
      </c>
      <c r="B35" s="50" t="s">
        <v>691</v>
      </c>
      <c r="C35" s="345">
        <v>6.2094961435095908E-2</v>
      </c>
      <c r="D35" s="333">
        <f t="shared" si="0"/>
        <v>0.13168151563795058</v>
      </c>
      <c r="E35" s="347">
        <v>7.6381515637950578E-2</v>
      </c>
      <c r="F35" s="347">
        <v>0.28000000000000003</v>
      </c>
      <c r="G35" s="1" t="s">
        <v>360</v>
      </c>
    </row>
    <row r="36" spans="1:7" ht="15.6">
      <c r="A36" s="44" t="s">
        <v>271</v>
      </c>
      <c r="B36" s="50" t="s">
        <v>700</v>
      </c>
      <c r="C36" s="345">
        <v>6.8202662559859444E-3</v>
      </c>
      <c r="D36" s="333">
        <f t="shared" si="0"/>
        <v>6.3689445160233921E-2</v>
      </c>
      <c r="E36" s="347">
        <v>8.389445160233917E-3</v>
      </c>
      <c r="F36" s="347">
        <v>0</v>
      </c>
      <c r="G36" s="1" t="s">
        <v>364</v>
      </c>
    </row>
    <row r="37" spans="1:7" ht="15.6">
      <c r="A37" s="44" t="s">
        <v>272</v>
      </c>
      <c r="B37" s="50" t="s">
        <v>705</v>
      </c>
      <c r="C37" s="345">
        <v>7.9400114621925918E-3</v>
      </c>
      <c r="D37" s="333">
        <f t="shared" si="0"/>
        <v>6.5066816753705153E-2</v>
      </c>
      <c r="E37" s="347">
        <v>9.7668167537051567E-3</v>
      </c>
      <c r="F37" s="347">
        <v>0.26</v>
      </c>
      <c r="G37" s="1" t="s">
        <v>361</v>
      </c>
    </row>
    <row r="38" spans="1:7" ht="15.6">
      <c r="A38" s="44" t="s">
        <v>273</v>
      </c>
      <c r="B38" s="50" t="s">
        <v>705</v>
      </c>
      <c r="C38" s="345">
        <v>7.9400114621925918E-3</v>
      </c>
      <c r="D38" s="333">
        <f t="shared" si="0"/>
        <v>6.5066816753705153E-2</v>
      </c>
      <c r="E38" s="347">
        <v>9.7668167537051567E-3</v>
      </c>
      <c r="F38" s="347">
        <v>0.25</v>
      </c>
      <c r="G38" s="1" t="s">
        <v>432</v>
      </c>
    </row>
    <row r="39" spans="1:7" ht="15.6">
      <c r="A39" s="44" t="s">
        <v>274</v>
      </c>
      <c r="B39" s="50" t="s">
        <v>690</v>
      </c>
      <c r="C39" s="345">
        <v>2.147874895541842E-2</v>
      </c>
      <c r="D39" s="333">
        <f t="shared" si="0"/>
        <v>8.172049147476651E-2</v>
      </c>
      <c r="E39" s="347">
        <v>2.6420491474766512E-2</v>
      </c>
      <c r="F39" s="347">
        <v>0.33</v>
      </c>
      <c r="G39" s="1" t="s">
        <v>361</v>
      </c>
    </row>
    <row r="40" spans="1:7" ht="15.6">
      <c r="A40" s="44" t="s">
        <v>505</v>
      </c>
      <c r="B40" s="50" t="s">
        <v>701</v>
      </c>
      <c r="C40" s="345">
        <v>7.3394208515908457E-2</v>
      </c>
      <c r="D40" s="333">
        <f t="shared" si="0"/>
        <v>0.14558044717206947</v>
      </c>
      <c r="E40" s="347">
        <v>9.028044717206947E-2</v>
      </c>
      <c r="F40" s="347">
        <v>0.35</v>
      </c>
      <c r="G40" s="1" t="s">
        <v>360</v>
      </c>
    </row>
    <row r="41" spans="1:7" ht="15.6">
      <c r="A41" s="44" t="s">
        <v>506</v>
      </c>
      <c r="B41" s="50" t="s">
        <v>706</v>
      </c>
      <c r="C41" s="345">
        <v>0.10159142870856677</v>
      </c>
      <c r="D41" s="333">
        <f t="shared" si="0"/>
        <v>0.18026516820766345</v>
      </c>
      <c r="E41" s="347">
        <v>0.12496516820766344</v>
      </c>
      <c r="F41" s="347">
        <v>0.28000000000000003</v>
      </c>
      <c r="G41" s="1" t="s">
        <v>360</v>
      </c>
    </row>
    <row r="42" spans="1:7" ht="15.6">
      <c r="A42" s="44" t="s">
        <v>489</v>
      </c>
      <c r="B42" s="50" t="s">
        <v>688</v>
      </c>
      <c r="C42" s="345">
        <v>5.0795714354283386E-2</v>
      </c>
      <c r="D42" s="333">
        <f t="shared" si="0"/>
        <v>0.11778258410383172</v>
      </c>
      <c r="E42" s="347">
        <v>6.2482584103831722E-2</v>
      </c>
      <c r="F42" s="347">
        <v>0</v>
      </c>
      <c r="G42" s="1" t="s">
        <v>362</v>
      </c>
    </row>
    <row r="43" spans="1:7" ht="15.6">
      <c r="A43" s="44" t="s">
        <v>275</v>
      </c>
      <c r="B43" s="50" t="s">
        <v>688</v>
      </c>
      <c r="C43" s="345">
        <v>5.0795714354283386E-2</v>
      </c>
      <c r="D43" s="333">
        <f t="shared" si="0"/>
        <v>0.11778258410383172</v>
      </c>
      <c r="E43" s="347">
        <v>6.2482584103831722E-2</v>
      </c>
      <c r="F43" s="347">
        <v>0.3</v>
      </c>
      <c r="G43" s="1" t="s">
        <v>361</v>
      </c>
    </row>
    <row r="44" spans="1:7" ht="15.6">
      <c r="A44" s="44" t="s">
        <v>744</v>
      </c>
      <c r="B44" s="50" t="s">
        <v>697</v>
      </c>
      <c r="C44" s="345">
        <v>4.0616212479677498E-2</v>
      </c>
      <c r="D44" s="333">
        <f t="shared" si="0"/>
        <v>0.10526102416318409</v>
      </c>
      <c r="E44" s="347">
        <v>4.9961024163184084E-2</v>
      </c>
      <c r="F44" s="347">
        <v>0.25</v>
      </c>
      <c r="G44" s="1" t="s">
        <v>360</v>
      </c>
    </row>
    <row r="45" spans="1:7" ht="15.6">
      <c r="A45" s="44" t="s">
        <v>276</v>
      </c>
      <c r="B45" s="50" t="s">
        <v>695</v>
      </c>
      <c r="C45" s="345">
        <v>3.3897741242437607E-2</v>
      </c>
      <c r="D45" s="333">
        <f t="shared" si="0"/>
        <v>9.6996794602356634E-2</v>
      </c>
      <c r="E45" s="347">
        <v>4.1696794602356632E-2</v>
      </c>
      <c r="F45" s="347">
        <v>0.18</v>
      </c>
      <c r="G45" s="1" t="s">
        <v>359</v>
      </c>
    </row>
    <row r="46" spans="1:7" ht="15.6">
      <c r="A46" s="44" t="s">
        <v>368</v>
      </c>
      <c r="B46" s="50" t="s">
        <v>706</v>
      </c>
      <c r="C46" s="345">
        <v>0.10159142870856677</v>
      </c>
      <c r="D46" s="333">
        <f t="shared" si="0"/>
        <v>0.18026516820766345</v>
      </c>
      <c r="E46" s="347">
        <v>0.12496516820766344</v>
      </c>
      <c r="F46" s="347">
        <v>0.24</v>
      </c>
      <c r="G46" s="1" t="s">
        <v>364</v>
      </c>
    </row>
    <row r="47" spans="1:7" ht="15.6">
      <c r="A47" s="44" t="s">
        <v>745</v>
      </c>
      <c r="B47" s="50" t="s">
        <v>707</v>
      </c>
      <c r="C47" s="345">
        <v>1.3538737493225832E-2</v>
      </c>
      <c r="D47" s="333">
        <f t="shared" si="0"/>
        <v>7.1953674721061359E-2</v>
      </c>
      <c r="E47" s="347">
        <v>1.665367472106136E-2</v>
      </c>
      <c r="F47" s="347">
        <v>0.22</v>
      </c>
      <c r="G47" s="1" t="s">
        <v>364</v>
      </c>
    </row>
    <row r="48" spans="1:7" ht="15.6">
      <c r="A48" s="44" t="s">
        <v>277</v>
      </c>
      <c r="B48" s="50" t="s">
        <v>695</v>
      </c>
      <c r="C48" s="345">
        <v>3.3897741242437607E-2</v>
      </c>
      <c r="D48" s="333">
        <f t="shared" si="0"/>
        <v>9.6996794602356634E-2</v>
      </c>
      <c r="E48" s="347">
        <v>4.1696794602356632E-2</v>
      </c>
      <c r="F48" s="347">
        <v>0.125</v>
      </c>
      <c r="G48" s="1" t="s">
        <v>358</v>
      </c>
    </row>
    <row r="49" spans="1:7" ht="15.6">
      <c r="A49" s="44" t="s">
        <v>278</v>
      </c>
      <c r="B49" s="50" t="s">
        <v>705</v>
      </c>
      <c r="C49" s="345">
        <v>7.9400114621925918E-3</v>
      </c>
      <c r="D49" s="333">
        <f t="shared" si="0"/>
        <v>6.5066816753705153E-2</v>
      </c>
      <c r="E49" s="347">
        <v>9.7668167537051567E-3</v>
      </c>
      <c r="F49" s="347">
        <v>0.19</v>
      </c>
      <c r="G49" s="1" t="s">
        <v>359</v>
      </c>
    </row>
    <row r="50" spans="1:7" ht="15.6">
      <c r="A50" s="44" t="s">
        <v>279</v>
      </c>
      <c r="B50" s="50" t="s">
        <v>693</v>
      </c>
      <c r="C50" s="345">
        <v>0</v>
      </c>
      <c r="D50" s="333">
        <f t="shared" si="0"/>
        <v>5.5300000000000002E-2</v>
      </c>
      <c r="E50" s="347">
        <v>0</v>
      </c>
      <c r="F50" s="347">
        <v>0.22</v>
      </c>
      <c r="G50" s="1" t="s">
        <v>358</v>
      </c>
    </row>
    <row r="51" spans="1:7" ht="15.6">
      <c r="A51" s="44" t="s">
        <v>280</v>
      </c>
      <c r="B51" s="50" t="s">
        <v>697</v>
      </c>
      <c r="C51" s="345">
        <v>4.0616212479677498E-2</v>
      </c>
      <c r="D51" s="333">
        <f t="shared" si="0"/>
        <v>0.10526102416318409</v>
      </c>
      <c r="E51" s="347">
        <v>4.9961024163184084E-2</v>
      </c>
      <c r="F51" s="347">
        <v>0.27</v>
      </c>
      <c r="G51" s="1" t="s">
        <v>364</v>
      </c>
    </row>
    <row r="52" spans="1:7" ht="15.6">
      <c r="A52" s="44" t="s">
        <v>281</v>
      </c>
      <c r="B52" s="50" t="s">
        <v>701</v>
      </c>
      <c r="C52" s="345">
        <v>7.3394208515908457E-2</v>
      </c>
      <c r="D52" s="333">
        <f t="shared" si="0"/>
        <v>0.14558044717206947</v>
      </c>
      <c r="E52" s="347">
        <v>9.028044717206947E-2</v>
      </c>
      <c r="F52" s="347">
        <v>0.25</v>
      </c>
      <c r="G52" s="1" t="s">
        <v>361</v>
      </c>
    </row>
    <row r="53" spans="1:7" ht="15.6">
      <c r="A53" s="44" t="s">
        <v>282</v>
      </c>
      <c r="B53" s="50" t="s">
        <v>701</v>
      </c>
      <c r="C53" s="345">
        <v>7.3394208515908457E-2</v>
      </c>
      <c r="D53" s="333">
        <f t="shared" si="0"/>
        <v>0.14558044717206947</v>
      </c>
      <c r="E53" s="347">
        <v>9.028044717206947E-2</v>
      </c>
      <c r="F53" s="347">
        <v>0.23</v>
      </c>
      <c r="G53" s="1" t="s">
        <v>360</v>
      </c>
    </row>
    <row r="54" spans="1:7" ht="15.6">
      <c r="A54" s="44" t="s">
        <v>369</v>
      </c>
      <c r="B54" s="50" t="s">
        <v>699</v>
      </c>
      <c r="C54" s="345">
        <v>8.4591660577974931E-2</v>
      </c>
      <c r="D54" s="333">
        <f t="shared" si="0"/>
        <v>0.15935416310678188</v>
      </c>
      <c r="E54" s="347">
        <v>0.10405416310678188</v>
      </c>
      <c r="F54" s="347">
        <v>0.3</v>
      </c>
      <c r="G54" s="1" t="s">
        <v>361</v>
      </c>
    </row>
    <row r="55" spans="1:7" ht="15.6">
      <c r="A55" s="44" t="s">
        <v>283</v>
      </c>
      <c r="B55" s="50" t="s">
        <v>705</v>
      </c>
      <c r="C55" s="345">
        <v>7.9400114621925918E-3</v>
      </c>
      <c r="D55" s="333">
        <f t="shared" si="0"/>
        <v>6.5066816753705153E-2</v>
      </c>
      <c r="E55" s="347">
        <v>9.7668167537051567E-3</v>
      </c>
      <c r="F55" s="347">
        <v>0.2</v>
      </c>
      <c r="G55" s="1" t="s">
        <v>359</v>
      </c>
    </row>
    <row r="56" spans="1:7" ht="15.6">
      <c r="A56" s="44" t="s">
        <v>507</v>
      </c>
      <c r="B56" s="50" t="s">
        <v>688</v>
      </c>
      <c r="C56" s="345">
        <v>5.0795714354283386E-2</v>
      </c>
      <c r="D56" s="333">
        <f t="shared" si="0"/>
        <v>0.11778258410383172</v>
      </c>
      <c r="E56" s="347">
        <v>6.2482584103831722E-2</v>
      </c>
      <c r="F56" s="347">
        <v>0.3</v>
      </c>
      <c r="G56" s="1" t="s">
        <v>360</v>
      </c>
    </row>
    <row r="57" spans="1:7" ht="15.6">
      <c r="A57" s="44" t="s">
        <v>284</v>
      </c>
      <c r="B57" s="50" t="s">
        <v>697</v>
      </c>
      <c r="C57" s="345">
        <v>4.0616212479677498E-2</v>
      </c>
      <c r="D57" s="333">
        <f t="shared" si="0"/>
        <v>0.10526102416318409</v>
      </c>
      <c r="E57" s="347">
        <v>4.9961024163184084E-2</v>
      </c>
      <c r="F57" s="347">
        <v>0.2</v>
      </c>
      <c r="G57" s="1" t="s">
        <v>432</v>
      </c>
    </row>
    <row r="58" spans="1:7" ht="15.6">
      <c r="A58" s="44" t="s">
        <v>285</v>
      </c>
      <c r="B58" s="50" t="s">
        <v>694</v>
      </c>
      <c r="C58" s="345">
        <v>4.4789808248265903E-3</v>
      </c>
      <c r="D58" s="333">
        <f t="shared" si="0"/>
        <v>6.0809486373884961E-2</v>
      </c>
      <c r="E58" s="347">
        <v>5.5094863738849604E-3</v>
      </c>
      <c r="F58" s="347">
        <v>0.2</v>
      </c>
      <c r="G58" s="1" t="s">
        <v>358</v>
      </c>
    </row>
    <row r="59" spans="1:7" ht="15.6">
      <c r="A59" s="44" t="s">
        <v>286</v>
      </c>
      <c r="B59" s="50" t="s">
        <v>687</v>
      </c>
      <c r="C59" s="345">
        <v>5.5987260310332385E-3</v>
      </c>
      <c r="D59" s="333">
        <f t="shared" si="0"/>
        <v>6.21868579673562E-2</v>
      </c>
      <c r="E59" s="347">
        <v>6.8868579673562009E-3</v>
      </c>
      <c r="F59" s="347">
        <v>0.33</v>
      </c>
      <c r="G59" s="1" t="s">
        <v>358</v>
      </c>
    </row>
    <row r="60" spans="1:7" ht="15.6">
      <c r="A60" s="44" t="s">
        <v>490</v>
      </c>
      <c r="B60" s="50" t="s">
        <v>699</v>
      </c>
      <c r="C60" s="345">
        <v>8.4591660577974931E-2</v>
      </c>
      <c r="D60" s="333">
        <f t="shared" si="0"/>
        <v>0.15935416310678188</v>
      </c>
      <c r="E60" s="347">
        <v>0.10405416310678188</v>
      </c>
      <c r="F60" s="347">
        <v>0.3</v>
      </c>
      <c r="G60" s="1" t="s">
        <v>360</v>
      </c>
    </row>
    <row r="61" spans="1:7" ht="15.6">
      <c r="A61" s="346" t="s">
        <v>708</v>
      </c>
      <c r="B61" s="50" t="s">
        <v>100</v>
      </c>
      <c r="C61" s="285">
        <v>7.3394208515908457E-2</v>
      </c>
      <c r="D61" s="333">
        <f t="shared" si="0"/>
        <v>0.14558044717206947</v>
      </c>
      <c r="E61" s="3">
        <v>9.028044717206947E-2</v>
      </c>
      <c r="F61" s="285">
        <v>0.31</v>
      </c>
      <c r="G61" s="1" t="s">
        <v>360</v>
      </c>
    </row>
    <row r="62" spans="1:7" ht="15.6">
      <c r="A62" s="44" t="s">
        <v>370</v>
      </c>
      <c r="B62" s="50" t="s">
        <v>695</v>
      </c>
      <c r="C62" s="345">
        <v>3.3897741242437607E-2</v>
      </c>
      <c r="D62" s="333">
        <f t="shared" si="0"/>
        <v>9.6996794602356634E-2</v>
      </c>
      <c r="E62" s="347">
        <v>4.1696794602356632E-2</v>
      </c>
      <c r="F62" s="347">
        <v>0.31</v>
      </c>
      <c r="G62" s="1" t="s">
        <v>359</v>
      </c>
    </row>
    <row r="63" spans="1:7" ht="15.6">
      <c r="A63" s="44" t="s">
        <v>287</v>
      </c>
      <c r="B63" s="50" t="s">
        <v>693</v>
      </c>
      <c r="C63" s="345">
        <v>0</v>
      </c>
      <c r="D63" s="333">
        <f t="shared" si="0"/>
        <v>5.5300000000000002E-2</v>
      </c>
      <c r="E63" s="347">
        <v>0</v>
      </c>
      <c r="F63" s="347">
        <v>0.15</v>
      </c>
      <c r="G63" s="1" t="s">
        <v>358</v>
      </c>
    </row>
    <row r="64" spans="1:7" ht="15.6">
      <c r="A64" s="44" t="s">
        <v>491</v>
      </c>
      <c r="B64" s="50" t="s">
        <v>701</v>
      </c>
      <c r="C64" s="345">
        <v>7.3394208515908457E-2</v>
      </c>
      <c r="D64" s="333">
        <f t="shared" si="0"/>
        <v>0.14558044717206947</v>
      </c>
      <c r="E64" s="347">
        <v>9.028044717206947E-2</v>
      </c>
      <c r="F64" s="347">
        <v>0.25</v>
      </c>
      <c r="G64" s="1" t="s">
        <v>360</v>
      </c>
    </row>
    <row r="65" spans="1:7" ht="15.6">
      <c r="A65" s="44" t="s">
        <v>288</v>
      </c>
      <c r="B65" s="50" t="s">
        <v>701</v>
      </c>
      <c r="C65" s="345">
        <v>7.3394208515908457E-2</v>
      </c>
      <c r="D65" s="333">
        <f t="shared" si="0"/>
        <v>0.14558044717206947</v>
      </c>
      <c r="E65" s="347">
        <v>9.028044717206947E-2</v>
      </c>
      <c r="F65" s="347">
        <v>0.28999999999999998</v>
      </c>
      <c r="G65" s="1" t="s">
        <v>358</v>
      </c>
    </row>
    <row r="66" spans="1:7" ht="15.6">
      <c r="A66" s="44" t="s">
        <v>289</v>
      </c>
      <c r="B66" s="50" t="s">
        <v>709</v>
      </c>
      <c r="C66" s="345">
        <v>2.8197220192658311E-2</v>
      </c>
      <c r="D66" s="333">
        <f t="shared" si="0"/>
        <v>8.9984721035593962E-2</v>
      </c>
      <c r="E66" s="347">
        <v>3.468472103559396E-2</v>
      </c>
      <c r="F66" s="347">
        <v>0.25</v>
      </c>
      <c r="G66" s="1" t="s">
        <v>361</v>
      </c>
    </row>
    <row r="67" spans="1:7" ht="15.6">
      <c r="A67" s="44" t="s">
        <v>508</v>
      </c>
      <c r="B67" s="50" t="s">
        <v>700</v>
      </c>
      <c r="C67" s="345">
        <v>6.8202662559859444E-3</v>
      </c>
      <c r="D67" s="333">
        <f t="shared" si="0"/>
        <v>6.3689445160233921E-2</v>
      </c>
      <c r="E67" s="347">
        <v>8.389445160233917E-3</v>
      </c>
      <c r="F67" s="347">
        <v>0</v>
      </c>
      <c r="G67" s="1" t="s">
        <v>358</v>
      </c>
    </row>
    <row r="68" spans="1:7" ht="15.6">
      <c r="A68" s="346" t="s">
        <v>710</v>
      </c>
      <c r="B68" s="50" t="s">
        <v>100</v>
      </c>
      <c r="C68" s="285">
        <v>0.1353873749322583</v>
      </c>
      <c r="D68" s="333">
        <f t="shared" si="0"/>
        <v>0.22183674721061358</v>
      </c>
      <c r="E68" s="3">
        <v>0.16653674721061357</v>
      </c>
      <c r="F68" s="285">
        <v>0.29149999999999998</v>
      </c>
      <c r="G68" s="1" t="s">
        <v>360</v>
      </c>
    </row>
    <row r="69" spans="1:7" ht="15.6">
      <c r="A69" s="346" t="s">
        <v>711</v>
      </c>
      <c r="B69" s="50" t="s">
        <v>100</v>
      </c>
      <c r="C69" s="285">
        <v>8.4591660577974931E-2</v>
      </c>
      <c r="D69" s="333">
        <f t="shared" si="0"/>
        <v>0.15935416310678188</v>
      </c>
      <c r="E69" s="3">
        <v>0.10405416310678188</v>
      </c>
      <c r="F69" s="285">
        <v>0.29149999999999998</v>
      </c>
      <c r="G69" s="1" t="s">
        <v>360</v>
      </c>
    </row>
    <row r="70" spans="1:7" ht="15.6">
      <c r="A70" s="346" t="s">
        <v>712</v>
      </c>
      <c r="B70" s="50" t="s">
        <v>100</v>
      </c>
      <c r="C70" s="285">
        <v>5.0795714354283379E-2</v>
      </c>
      <c r="D70" s="333">
        <f t="shared" ref="D70:D133" si="1">$D$173+E70</f>
        <v>0.11778258410383172</v>
      </c>
      <c r="E70" s="3">
        <v>6.2482584103831715E-2</v>
      </c>
      <c r="F70" s="285">
        <v>0.18640000000000001</v>
      </c>
      <c r="G70" s="1" t="s">
        <v>361</v>
      </c>
    </row>
    <row r="71" spans="1:7" ht="15.6">
      <c r="A71" s="346" t="s">
        <v>713</v>
      </c>
      <c r="B71" s="50" t="s">
        <v>100</v>
      </c>
      <c r="C71" s="285">
        <v>0.10159142870856677</v>
      </c>
      <c r="D71" s="333">
        <f t="shared" si="1"/>
        <v>0.18026516820766345</v>
      </c>
      <c r="E71" s="3">
        <v>0.12496516820766344</v>
      </c>
      <c r="F71" s="285">
        <v>0.18640000000000001</v>
      </c>
      <c r="G71" s="1" t="s">
        <v>364</v>
      </c>
    </row>
    <row r="72" spans="1:7" ht="15.6">
      <c r="A72" s="44" t="s">
        <v>290</v>
      </c>
      <c r="B72" s="50" t="s">
        <v>688</v>
      </c>
      <c r="C72" s="345">
        <v>5.0795714354283386E-2</v>
      </c>
      <c r="D72" s="333">
        <f t="shared" si="1"/>
        <v>0.11778258410383172</v>
      </c>
      <c r="E72" s="347">
        <v>6.2482584103831722E-2</v>
      </c>
      <c r="F72" s="347">
        <v>0.25</v>
      </c>
      <c r="G72" s="1" t="s">
        <v>361</v>
      </c>
    </row>
    <row r="73" spans="1:7" ht="15.6">
      <c r="A73" s="44" t="s">
        <v>291</v>
      </c>
      <c r="B73" s="50" t="s">
        <v>687</v>
      </c>
      <c r="C73" s="345">
        <v>5.5987260310332385E-3</v>
      </c>
      <c r="D73" s="333">
        <f t="shared" si="1"/>
        <v>6.21868579673562E-2</v>
      </c>
      <c r="E73" s="347">
        <v>6.8868579673562009E-3</v>
      </c>
      <c r="F73" s="347">
        <v>0.16500000000000001</v>
      </c>
      <c r="G73" s="1" t="s">
        <v>432</v>
      </c>
    </row>
    <row r="74" spans="1:7" ht="15.6">
      <c r="A74" s="44" t="s">
        <v>292</v>
      </c>
      <c r="B74" s="50" t="s">
        <v>696</v>
      </c>
      <c r="C74" s="345">
        <v>2.4837984574038366E-2</v>
      </c>
      <c r="D74" s="333">
        <f t="shared" si="1"/>
        <v>8.5852606255180236E-2</v>
      </c>
      <c r="E74" s="347">
        <v>3.0552606255180234E-2</v>
      </c>
      <c r="F74" s="347">
        <v>0.09</v>
      </c>
      <c r="G74" s="1" t="s">
        <v>359</v>
      </c>
    </row>
    <row r="75" spans="1:7" ht="15.6">
      <c r="A75" s="44" t="s">
        <v>293</v>
      </c>
      <c r="B75" s="50" t="s">
        <v>707</v>
      </c>
      <c r="C75" s="345">
        <v>1.3538737493225832E-2</v>
      </c>
      <c r="D75" s="333">
        <f t="shared" si="1"/>
        <v>7.1953674721061359E-2</v>
      </c>
      <c r="E75" s="347">
        <v>1.665367472106136E-2</v>
      </c>
      <c r="F75" s="347">
        <v>0.2</v>
      </c>
      <c r="G75" s="1" t="s">
        <v>358</v>
      </c>
    </row>
    <row r="76" spans="1:7" ht="15.6">
      <c r="A76" s="44" t="s">
        <v>294</v>
      </c>
      <c r="B76" s="50" t="s">
        <v>690</v>
      </c>
      <c r="C76" s="345">
        <v>2.147874895541842E-2</v>
      </c>
      <c r="D76" s="333">
        <f t="shared" si="1"/>
        <v>8.172049147476651E-2</v>
      </c>
      <c r="E76" s="347">
        <v>2.6420491474766512E-2</v>
      </c>
      <c r="F76" s="347">
        <v>0.35</v>
      </c>
      <c r="G76" s="1" t="s">
        <v>432</v>
      </c>
    </row>
    <row r="77" spans="1:7" ht="15.6">
      <c r="A77" s="44" t="s">
        <v>295</v>
      </c>
      <c r="B77" s="50" t="s">
        <v>690</v>
      </c>
      <c r="C77" s="345">
        <v>2.147874895541842E-2</v>
      </c>
      <c r="D77" s="333">
        <f t="shared" si="1"/>
        <v>8.172049147476651E-2</v>
      </c>
      <c r="E77" s="347">
        <v>2.6420491474766512E-2</v>
      </c>
      <c r="F77" s="347">
        <v>0.25</v>
      </c>
      <c r="G77" s="1" t="s">
        <v>432</v>
      </c>
    </row>
    <row r="78" spans="1:7" ht="15.6">
      <c r="A78" s="346" t="s">
        <v>714</v>
      </c>
      <c r="B78" s="50" t="s">
        <v>100</v>
      </c>
      <c r="C78" s="285">
        <v>3.3897741242437607E-2</v>
      </c>
      <c r="D78" s="333">
        <f t="shared" si="1"/>
        <v>9.6996794602356634E-2</v>
      </c>
      <c r="E78" s="3">
        <v>4.1696794602356632E-2</v>
      </c>
      <c r="F78" s="285">
        <v>0.20230000000000001</v>
      </c>
      <c r="G78" s="1" t="s">
        <v>365</v>
      </c>
    </row>
    <row r="79" spans="1:7" ht="15.6">
      <c r="A79" s="44" t="s">
        <v>660</v>
      </c>
      <c r="B79" s="50" t="s">
        <v>699</v>
      </c>
      <c r="C79" s="345">
        <v>8.4591660577974931E-2</v>
      </c>
      <c r="D79" s="333">
        <f t="shared" si="1"/>
        <v>0.15935416310678188</v>
      </c>
      <c r="E79" s="347">
        <v>0.10405416310678188</v>
      </c>
      <c r="F79" s="347">
        <v>0.15</v>
      </c>
      <c r="G79" s="1" t="s">
        <v>365</v>
      </c>
    </row>
    <row r="80" spans="1:7" ht="15.6">
      <c r="A80" s="44" t="s">
        <v>296</v>
      </c>
      <c r="B80" s="50" t="s">
        <v>703</v>
      </c>
      <c r="C80" s="345">
        <v>9.5687317621295353E-3</v>
      </c>
      <c r="D80" s="333">
        <f t="shared" si="1"/>
        <v>6.707026634420879E-2</v>
      </c>
      <c r="E80" s="347">
        <v>1.1770266344208781E-2</v>
      </c>
      <c r="F80" s="347">
        <v>0.125</v>
      </c>
      <c r="G80" s="1" t="s">
        <v>358</v>
      </c>
    </row>
    <row r="81" spans="1:7" ht="15.6">
      <c r="A81" s="44" t="s">
        <v>297</v>
      </c>
      <c r="B81" s="50" t="s">
        <v>687</v>
      </c>
      <c r="C81" s="345">
        <v>5.5987260310332385E-3</v>
      </c>
      <c r="D81" s="333">
        <f t="shared" si="1"/>
        <v>6.21868579673562E-2</v>
      </c>
      <c r="E81" s="347">
        <v>6.8868579673562009E-3</v>
      </c>
      <c r="F81" s="347">
        <v>0</v>
      </c>
      <c r="G81" s="1" t="s">
        <v>358</v>
      </c>
    </row>
    <row r="82" spans="1:7" ht="15.6">
      <c r="A82" s="44" t="s">
        <v>298</v>
      </c>
      <c r="B82" s="50" t="s">
        <v>705</v>
      </c>
      <c r="C82" s="345">
        <v>7.9400114621925918E-3</v>
      </c>
      <c r="D82" s="333">
        <f t="shared" si="1"/>
        <v>6.5066816753705153E-2</v>
      </c>
      <c r="E82" s="347">
        <v>9.7668167537051567E-3</v>
      </c>
      <c r="F82" s="347">
        <v>0.23</v>
      </c>
      <c r="G82" s="1" t="s">
        <v>365</v>
      </c>
    </row>
    <row r="83" spans="1:7" ht="15.6">
      <c r="A83" s="44" t="s">
        <v>299</v>
      </c>
      <c r="B83" s="50" t="s">
        <v>696</v>
      </c>
      <c r="C83" s="345">
        <v>2.4837984574038366E-2</v>
      </c>
      <c r="D83" s="333">
        <f t="shared" si="1"/>
        <v>8.5852606255180236E-2</v>
      </c>
      <c r="E83" s="347">
        <v>3.0552606255180234E-2</v>
      </c>
      <c r="F83" s="347">
        <v>0.24</v>
      </c>
      <c r="G83" s="1" t="s">
        <v>358</v>
      </c>
    </row>
    <row r="84" spans="1:7" ht="15.6">
      <c r="A84" s="44" t="s">
        <v>300</v>
      </c>
      <c r="B84" s="50" t="s">
        <v>701</v>
      </c>
      <c r="C84" s="345">
        <v>7.3394208515908457E-2</v>
      </c>
      <c r="D84" s="333">
        <f t="shared" si="1"/>
        <v>0.14558044717206947</v>
      </c>
      <c r="E84" s="347">
        <v>9.028044717206947E-2</v>
      </c>
      <c r="F84" s="347">
        <v>0.25</v>
      </c>
      <c r="G84" s="1" t="s">
        <v>364</v>
      </c>
    </row>
    <row r="85" spans="1:7" ht="15.6">
      <c r="A85" s="44" t="s">
        <v>301</v>
      </c>
      <c r="B85" s="50" t="s">
        <v>705</v>
      </c>
      <c r="C85" s="345">
        <v>7.9400114621925918E-3</v>
      </c>
      <c r="D85" s="333">
        <f t="shared" si="1"/>
        <v>6.5066816753705153E-2</v>
      </c>
      <c r="E85" s="347">
        <v>9.7668167537051567E-3</v>
      </c>
      <c r="F85" s="347">
        <v>0.30859999999999999</v>
      </c>
      <c r="G85" s="1" t="s">
        <v>432</v>
      </c>
    </row>
    <row r="86" spans="1:7" ht="15.6">
      <c r="A86" s="44" t="s">
        <v>509</v>
      </c>
      <c r="B86" s="50" t="s">
        <v>700</v>
      </c>
      <c r="C86" s="345">
        <v>6.8202662559859444E-3</v>
      </c>
      <c r="D86" s="333">
        <f t="shared" si="1"/>
        <v>6.3689445160233921E-2</v>
      </c>
      <c r="E86" s="347">
        <v>8.389445160233917E-3</v>
      </c>
      <c r="F86" s="347">
        <v>0.2</v>
      </c>
      <c r="G86" s="1" t="s">
        <v>358</v>
      </c>
    </row>
    <row r="87" spans="1:7" ht="15.6">
      <c r="A87" s="44" t="s">
        <v>302</v>
      </c>
      <c r="B87" s="50" t="s">
        <v>688</v>
      </c>
      <c r="C87" s="345">
        <v>5.0795714354283386E-2</v>
      </c>
      <c r="D87" s="333">
        <f t="shared" si="1"/>
        <v>0.11778258410383172</v>
      </c>
      <c r="E87" s="347">
        <v>6.2482584103831722E-2</v>
      </c>
      <c r="F87" s="347">
        <v>0.2</v>
      </c>
      <c r="G87" s="1" t="s">
        <v>365</v>
      </c>
    </row>
    <row r="88" spans="1:7" ht="15.6">
      <c r="A88" s="44" t="s">
        <v>303</v>
      </c>
      <c r="B88" s="50" t="s">
        <v>696</v>
      </c>
      <c r="C88" s="345">
        <v>2.4837984574038366E-2</v>
      </c>
      <c r="D88" s="333">
        <f t="shared" si="1"/>
        <v>8.5852606255180236E-2</v>
      </c>
      <c r="E88" s="347">
        <v>3.0552606255180234E-2</v>
      </c>
      <c r="F88" s="347">
        <v>0.2</v>
      </c>
      <c r="G88" s="1" t="s">
        <v>359</v>
      </c>
    </row>
    <row r="89" spans="1:7" ht="15.6">
      <c r="A89" s="44" t="s">
        <v>433</v>
      </c>
      <c r="B89" s="50" t="s">
        <v>691</v>
      </c>
      <c r="C89" s="345">
        <v>6.2094961435095908E-2</v>
      </c>
      <c r="D89" s="333">
        <f t="shared" si="1"/>
        <v>0.13168151563795058</v>
      </c>
      <c r="E89" s="347">
        <v>7.6381515637950578E-2</v>
      </c>
      <c r="F89" s="347">
        <v>0.3</v>
      </c>
      <c r="G89" s="1" t="s">
        <v>360</v>
      </c>
    </row>
    <row r="90" spans="1:7" ht="15.6">
      <c r="A90" s="44" t="s">
        <v>497</v>
      </c>
      <c r="B90" s="50" t="s">
        <v>687</v>
      </c>
      <c r="C90" s="345">
        <v>5.5987260310332385E-3</v>
      </c>
      <c r="D90" s="333">
        <f t="shared" si="1"/>
        <v>6.21868579673562E-2</v>
      </c>
      <c r="E90" s="347">
        <v>6.8868579673562009E-3</v>
      </c>
      <c r="F90" s="347">
        <v>0.25</v>
      </c>
      <c r="G90" s="1" t="s">
        <v>432</v>
      </c>
    </row>
    <row r="91" spans="1:7" ht="15.6">
      <c r="A91" s="346" t="s">
        <v>715</v>
      </c>
      <c r="B91" s="50" t="s">
        <v>100</v>
      </c>
      <c r="C91" s="285">
        <v>0.1353873749322583</v>
      </c>
      <c r="D91" s="333">
        <f t="shared" si="1"/>
        <v>0.22183674721061358</v>
      </c>
      <c r="E91" s="3">
        <v>0.16653674721061357</v>
      </c>
      <c r="F91" s="285">
        <v>0.23100000000000001</v>
      </c>
      <c r="G91" s="1" t="s">
        <v>432</v>
      </c>
    </row>
    <row r="92" spans="1:7" ht="15.6">
      <c r="A92" s="44" t="s">
        <v>304</v>
      </c>
      <c r="B92" s="50" t="s">
        <v>687</v>
      </c>
      <c r="C92" s="345">
        <v>5.5987260310332385E-3</v>
      </c>
      <c r="D92" s="333">
        <f t="shared" si="1"/>
        <v>6.21868579673562E-2</v>
      </c>
      <c r="E92" s="347">
        <v>6.8868579673562009E-3</v>
      </c>
      <c r="F92" s="347">
        <v>0.15</v>
      </c>
      <c r="G92" s="1" t="s">
        <v>365</v>
      </c>
    </row>
    <row r="93" spans="1:7" ht="15.6">
      <c r="A93" s="44" t="s">
        <v>492</v>
      </c>
      <c r="B93" s="50" t="s">
        <v>691</v>
      </c>
      <c r="C93" s="345">
        <v>6.2094961435095908E-2</v>
      </c>
      <c r="D93" s="333">
        <f t="shared" si="1"/>
        <v>0.13168151563795058</v>
      </c>
      <c r="E93" s="347">
        <v>7.6381515637950578E-2</v>
      </c>
      <c r="F93" s="347">
        <v>0.1</v>
      </c>
      <c r="G93" s="1" t="s">
        <v>359</v>
      </c>
    </row>
    <row r="94" spans="1:7" ht="15.6">
      <c r="A94" s="44" t="s">
        <v>305</v>
      </c>
      <c r="B94" s="50" t="s">
        <v>707</v>
      </c>
      <c r="C94" s="345">
        <v>1.3538737493225832E-2</v>
      </c>
      <c r="D94" s="333">
        <f t="shared" si="1"/>
        <v>7.1953674721061359E-2</v>
      </c>
      <c r="E94" s="347">
        <v>1.665367472106136E-2</v>
      </c>
      <c r="F94" s="347">
        <v>0.2</v>
      </c>
      <c r="G94" s="1" t="s">
        <v>359</v>
      </c>
    </row>
    <row r="95" spans="1:7" ht="15.6">
      <c r="A95" s="44" t="s">
        <v>371</v>
      </c>
      <c r="B95" s="50" t="s">
        <v>701</v>
      </c>
      <c r="C95" s="345">
        <v>7.3394208515908457E-2</v>
      </c>
      <c r="D95" s="333">
        <f t="shared" si="1"/>
        <v>0.14558044717206947</v>
      </c>
      <c r="E95" s="347">
        <v>9.028044717206947E-2</v>
      </c>
      <c r="F95" s="347">
        <v>0.15</v>
      </c>
      <c r="G95" s="1" t="s">
        <v>365</v>
      </c>
    </row>
    <row r="96" spans="1:7" ht="15.6">
      <c r="A96" s="346" t="s">
        <v>716</v>
      </c>
      <c r="B96" s="50" t="s">
        <v>100</v>
      </c>
      <c r="C96" s="285">
        <v>0.1353873749322583</v>
      </c>
      <c r="D96" s="333">
        <f t="shared" si="1"/>
        <v>0.22183674721061358</v>
      </c>
      <c r="E96" s="3">
        <v>0.16653674721061357</v>
      </c>
      <c r="F96" s="285">
        <v>0.29149999999999998</v>
      </c>
      <c r="G96" s="1" t="s">
        <v>360</v>
      </c>
    </row>
    <row r="97" spans="1:7" ht="15.6">
      <c r="A97" s="346" t="s">
        <v>717</v>
      </c>
      <c r="B97" s="50" t="s">
        <v>100</v>
      </c>
      <c r="C97" s="285">
        <v>5.0795714354283379E-2</v>
      </c>
      <c r="D97" s="333">
        <f t="shared" si="1"/>
        <v>0.11778258410383172</v>
      </c>
      <c r="E97" s="3">
        <v>6.2482584103831715E-2</v>
      </c>
      <c r="F97" s="348">
        <v>0.2</v>
      </c>
      <c r="G97" s="1" t="s">
        <v>360</v>
      </c>
    </row>
    <row r="98" spans="1:7" ht="15.6">
      <c r="A98" s="44" t="s">
        <v>306</v>
      </c>
      <c r="B98" s="50" t="s">
        <v>693</v>
      </c>
      <c r="C98" s="345">
        <v>0</v>
      </c>
      <c r="D98" s="333">
        <f t="shared" si="1"/>
        <v>5.5300000000000002E-2</v>
      </c>
      <c r="E98" s="347">
        <v>0</v>
      </c>
      <c r="F98" s="347">
        <v>0.125</v>
      </c>
      <c r="G98" s="1" t="s">
        <v>358</v>
      </c>
    </row>
    <row r="99" spans="1:7" ht="15.6">
      <c r="A99" s="44" t="s">
        <v>307</v>
      </c>
      <c r="B99" s="50" t="s">
        <v>707</v>
      </c>
      <c r="C99" s="345">
        <v>1.3538737493225832E-2</v>
      </c>
      <c r="D99" s="333">
        <f t="shared" si="1"/>
        <v>7.1953674721061359E-2</v>
      </c>
      <c r="E99" s="347">
        <v>1.665367472106136E-2</v>
      </c>
      <c r="F99" s="347">
        <v>0.15</v>
      </c>
      <c r="G99" s="1" t="s">
        <v>359</v>
      </c>
    </row>
    <row r="100" spans="1:7" ht="15.6">
      <c r="A100" s="44" t="s">
        <v>308</v>
      </c>
      <c r="B100" s="50" t="s">
        <v>693</v>
      </c>
      <c r="C100" s="345">
        <v>0</v>
      </c>
      <c r="D100" s="333">
        <f t="shared" si="1"/>
        <v>5.5300000000000002E-2</v>
      </c>
      <c r="E100" s="347">
        <v>0</v>
      </c>
      <c r="F100" s="347">
        <v>0.2601</v>
      </c>
      <c r="G100" s="1" t="s">
        <v>358</v>
      </c>
    </row>
    <row r="101" spans="1:7" ht="15.6">
      <c r="A101" s="44" t="s">
        <v>746</v>
      </c>
      <c r="B101" s="50" t="s">
        <v>700</v>
      </c>
      <c r="C101" s="345">
        <v>6.8202662559859444E-3</v>
      </c>
      <c r="D101" s="333">
        <f t="shared" si="1"/>
        <v>6.3689445160233921E-2</v>
      </c>
      <c r="E101" s="347">
        <v>8.389445160233917E-3</v>
      </c>
      <c r="F101" s="347">
        <v>0.12</v>
      </c>
      <c r="G101" s="1" t="s">
        <v>432</v>
      </c>
    </row>
    <row r="102" spans="1:7" ht="15.6">
      <c r="A102" s="44" t="s">
        <v>309</v>
      </c>
      <c r="B102" s="50" t="s">
        <v>697</v>
      </c>
      <c r="C102" s="345">
        <v>4.0616212479677498E-2</v>
      </c>
      <c r="D102" s="333">
        <f t="shared" si="1"/>
        <v>0.10526102416318409</v>
      </c>
      <c r="E102" s="347">
        <v>4.9961024163184084E-2</v>
      </c>
      <c r="F102" s="347">
        <v>0.1</v>
      </c>
      <c r="G102" s="1" t="s">
        <v>359</v>
      </c>
    </row>
    <row r="103" spans="1:7" ht="15.6">
      <c r="A103" s="346" t="s">
        <v>718</v>
      </c>
      <c r="B103" s="50" t="s">
        <v>100</v>
      </c>
      <c r="C103" s="285">
        <v>7.3394208515908457E-2</v>
      </c>
      <c r="D103" s="333">
        <f t="shared" si="1"/>
        <v>0.14558044717206947</v>
      </c>
      <c r="E103" s="3">
        <v>9.028044717206947E-2</v>
      </c>
      <c r="F103" s="285">
        <v>0.2</v>
      </c>
      <c r="G103" s="1" t="s">
        <v>360</v>
      </c>
    </row>
    <row r="104" spans="1:7" ht="15.6">
      <c r="A104" s="346" t="s">
        <v>719</v>
      </c>
      <c r="B104" s="50" t="s">
        <v>100</v>
      </c>
      <c r="C104" s="285">
        <v>8.4591660577974931E-2</v>
      </c>
      <c r="D104" s="333">
        <f t="shared" si="1"/>
        <v>0.15935416310678188</v>
      </c>
      <c r="E104" s="3">
        <v>0.10405416310678188</v>
      </c>
      <c r="F104" s="285">
        <v>0.3</v>
      </c>
      <c r="G104" s="1" t="s">
        <v>360</v>
      </c>
    </row>
    <row r="105" spans="1:7" ht="15.6">
      <c r="A105" s="44" t="s">
        <v>310</v>
      </c>
      <c r="B105" s="50" t="s">
        <v>707</v>
      </c>
      <c r="C105" s="345">
        <v>1.3538737493225832E-2</v>
      </c>
      <c r="D105" s="333">
        <f t="shared" si="1"/>
        <v>7.1953674721061359E-2</v>
      </c>
      <c r="E105" s="347">
        <v>1.665367472106136E-2</v>
      </c>
      <c r="F105" s="347">
        <v>0.24</v>
      </c>
      <c r="G105" s="1" t="s">
        <v>432</v>
      </c>
    </row>
    <row r="106" spans="1:7" ht="15.6">
      <c r="A106" s="44" t="s">
        <v>747</v>
      </c>
      <c r="B106" s="50" t="s">
        <v>691</v>
      </c>
      <c r="C106" s="345">
        <v>6.2094961435095908E-2</v>
      </c>
      <c r="D106" s="333">
        <f t="shared" si="1"/>
        <v>0.13168151563795058</v>
      </c>
      <c r="E106" s="347">
        <v>7.6381515637950578E-2</v>
      </c>
      <c r="F106" s="347">
        <v>0</v>
      </c>
      <c r="G106" s="1" t="s">
        <v>432</v>
      </c>
    </row>
    <row r="107" spans="1:7" ht="15.6">
      <c r="A107" s="346" t="s">
        <v>720</v>
      </c>
      <c r="B107" s="50" t="s">
        <v>100</v>
      </c>
      <c r="C107" s="285">
        <v>8.4591660577974931E-2</v>
      </c>
      <c r="D107" s="333">
        <f t="shared" si="1"/>
        <v>0.15935416310678188</v>
      </c>
      <c r="E107" s="3">
        <v>0.10405416310678188</v>
      </c>
      <c r="F107" s="285">
        <v>0.29149999999999998</v>
      </c>
      <c r="G107" s="1" t="s">
        <v>360</v>
      </c>
    </row>
    <row r="108" spans="1:7" ht="15.6">
      <c r="A108" s="44" t="s">
        <v>311</v>
      </c>
      <c r="B108" s="50" t="s">
        <v>707</v>
      </c>
      <c r="C108" s="345">
        <v>1.3538737493225832E-2</v>
      </c>
      <c r="D108" s="333">
        <f t="shared" si="1"/>
        <v>7.1953674721061359E-2</v>
      </c>
      <c r="E108" s="347">
        <v>1.665367472106136E-2</v>
      </c>
      <c r="F108" s="347">
        <v>0.35</v>
      </c>
      <c r="G108" s="1" t="s">
        <v>358</v>
      </c>
    </row>
    <row r="109" spans="1:7" ht="15.6">
      <c r="A109" s="44" t="s">
        <v>312</v>
      </c>
      <c r="B109" s="50" t="s">
        <v>692</v>
      </c>
      <c r="C109" s="345">
        <v>1.8017718318052423E-2</v>
      </c>
      <c r="D109" s="333">
        <f t="shared" si="1"/>
        <v>7.7463161094946331E-2</v>
      </c>
      <c r="E109" s="347">
        <v>2.2163161094946322E-2</v>
      </c>
      <c r="F109" s="347">
        <v>0.15</v>
      </c>
      <c r="G109" s="1" t="s">
        <v>432</v>
      </c>
    </row>
    <row r="110" spans="1:7" ht="15.6">
      <c r="A110" s="44" t="s">
        <v>313</v>
      </c>
      <c r="B110" s="50" t="s">
        <v>707</v>
      </c>
      <c r="C110" s="345">
        <v>1.3538737493225832E-2</v>
      </c>
      <c r="D110" s="333">
        <f t="shared" si="1"/>
        <v>7.1953674721061359E-2</v>
      </c>
      <c r="E110" s="347">
        <v>1.665367472106136E-2</v>
      </c>
      <c r="F110" s="347">
        <v>0.3</v>
      </c>
      <c r="G110" s="1" t="s">
        <v>361</v>
      </c>
    </row>
    <row r="111" spans="1:7" ht="15.6">
      <c r="A111" s="44" t="s">
        <v>372</v>
      </c>
      <c r="B111" s="50" t="s">
        <v>701</v>
      </c>
      <c r="C111" s="345">
        <v>7.3394208515908457E-2</v>
      </c>
      <c r="D111" s="333">
        <f t="shared" si="1"/>
        <v>0.14558044717206947</v>
      </c>
      <c r="E111" s="347">
        <v>9.028044717206947E-2</v>
      </c>
      <c r="F111" s="347">
        <v>0.12</v>
      </c>
      <c r="G111" s="1" t="s">
        <v>359</v>
      </c>
    </row>
    <row r="112" spans="1:7" ht="15.6">
      <c r="A112" s="44" t="s">
        <v>373</v>
      </c>
      <c r="B112" s="50" t="s">
        <v>701</v>
      </c>
      <c r="C112" s="345">
        <v>7.3394208515908457E-2</v>
      </c>
      <c r="D112" s="333">
        <f t="shared" si="1"/>
        <v>0.14558044717206947</v>
      </c>
      <c r="E112" s="347">
        <v>9.028044717206947E-2</v>
      </c>
      <c r="F112" s="347">
        <v>0.33</v>
      </c>
      <c r="G112" s="1" t="s">
        <v>432</v>
      </c>
    </row>
    <row r="113" spans="1:7" ht="15.6">
      <c r="A113" s="44" t="s">
        <v>314</v>
      </c>
      <c r="B113" s="50" t="s">
        <v>688</v>
      </c>
      <c r="C113" s="345">
        <v>5.0795714354283386E-2</v>
      </c>
      <c r="D113" s="333">
        <f t="shared" si="1"/>
        <v>0.11778258410383172</v>
      </c>
      <c r="E113" s="347">
        <v>6.2482584103831722E-2</v>
      </c>
      <c r="F113" s="347">
        <v>0.09</v>
      </c>
      <c r="G113" s="1" t="s">
        <v>359</v>
      </c>
    </row>
    <row r="114" spans="1:7" ht="15.6">
      <c r="A114" s="44" t="s">
        <v>493</v>
      </c>
      <c r="B114" s="50" t="s">
        <v>696</v>
      </c>
      <c r="C114" s="345">
        <v>2.4837984574038366E-2</v>
      </c>
      <c r="D114" s="333">
        <f t="shared" si="1"/>
        <v>8.5852606255180236E-2</v>
      </c>
      <c r="E114" s="347">
        <v>3.0552606255180234E-2</v>
      </c>
      <c r="F114" s="347">
        <v>0.27979999999999999</v>
      </c>
      <c r="G114" s="1" t="s">
        <v>364</v>
      </c>
    </row>
    <row r="115" spans="1:7" ht="15.6">
      <c r="A115" s="44" t="s">
        <v>374</v>
      </c>
      <c r="B115" s="50" t="s">
        <v>709</v>
      </c>
      <c r="C115" s="345">
        <v>2.8197220192658311E-2</v>
      </c>
      <c r="D115" s="333">
        <f t="shared" si="1"/>
        <v>8.9984721035593962E-2</v>
      </c>
      <c r="E115" s="347">
        <v>3.468472103559396E-2</v>
      </c>
      <c r="F115" s="347">
        <v>0.31</v>
      </c>
      <c r="G115" s="1" t="s">
        <v>360</v>
      </c>
    </row>
    <row r="116" spans="1:7" ht="15.6">
      <c r="A116" s="44" t="s">
        <v>315</v>
      </c>
      <c r="B116" s="50" t="s">
        <v>698</v>
      </c>
      <c r="C116" s="345">
        <v>0.11278888077063325</v>
      </c>
      <c r="D116" s="333">
        <f t="shared" si="1"/>
        <v>0.19403888414237586</v>
      </c>
      <c r="E116" s="347">
        <v>0.13873888414237584</v>
      </c>
      <c r="F116" s="347">
        <v>0.32</v>
      </c>
      <c r="G116" s="1" t="s">
        <v>360</v>
      </c>
    </row>
    <row r="117" spans="1:7" ht="15.6">
      <c r="A117" s="346" t="s">
        <v>721</v>
      </c>
      <c r="B117" s="50" t="s">
        <v>100</v>
      </c>
      <c r="C117" s="285">
        <v>8.4591660577974931E-2</v>
      </c>
      <c r="D117" s="333">
        <f t="shared" si="1"/>
        <v>0.15935416310678188</v>
      </c>
      <c r="E117" s="3">
        <v>0.10405416310678188</v>
      </c>
      <c r="F117" s="285">
        <v>0.25</v>
      </c>
      <c r="G117" s="1" t="s">
        <v>432</v>
      </c>
    </row>
    <row r="118" spans="1:7" ht="15.6">
      <c r="A118" s="44" t="s">
        <v>316</v>
      </c>
      <c r="B118" s="50" t="s">
        <v>709</v>
      </c>
      <c r="C118" s="345">
        <v>2.8197220192658311E-2</v>
      </c>
      <c r="D118" s="333">
        <f t="shared" si="1"/>
        <v>8.9984721035593962E-2</v>
      </c>
      <c r="E118" s="347">
        <v>3.468472103559396E-2</v>
      </c>
      <c r="F118" s="347">
        <v>0.32</v>
      </c>
      <c r="G118" s="1" t="s">
        <v>360</v>
      </c>
    </row>
    <row r="119" spans="1:7" ht="15.6">
      <c r="A119" s="44" t="s">
        <v>317</v>
      </c>
      <c r="B119" s="50" t="s">
        <v>693</v>
      </c>
      <c r="C119" s="345">
        <v>0</v>
      </c>
      <c r="D119" s="333">
        <f t="shared" si="1"/>
        <v>5.5300000000000002E-2</v>
      </c>
      <c r="E119" s="347">
        <v>0</v>
      </c>
      <c r="F119" s="347">
        <v>0.25</v>
      </c>
      <c r="G119" s="1" t="s">
        <v>358</v>
      </c>
    </row>
    <row r="120" spans="1:7" ht="15.6">
      <c r="A120" s="44" t="s">
        <v>318</v>
      </c>
      <c r="B120" s="50" t="s">
        <v>693</v>
      </c>
      <c r="C120" s="345">
        <v>0</v>
      </c>
      <c r="D120" s="333">
        <f t="shared" si="1"/>
        <v>5.5300000000000002E-2</v>
      </c>
      <c r="E120" s="347">
        <v>0</v>
      </c>
      <c r="F120" s="347">
        <v>0.28000000000000003</v>
      </c>
      <c r="G120" s="1" t="s">
        <v>362</v>
      </c>
    </row>
    <row r="121" spans="1:7" ht="15.6">
      <c r="A121" s="44" t="s">
        <v>375</v>
      </c>
      <c r="B121" s="50" t="s">
        <v>691</v>
      </c>
      <c r="C121" s="345">
        <v>6.2094961435095908E-2</v>
      </c>
      <c r="D121" s="333">
        <f t="shared" si="1"/>
        <v>0.13168151563795058</v>
      </c>
      <c r="E121" s="347">
        <v>7.6381515637950578E-2</v>
      </c>
      <c r="F121" s="347">
        <v>0.3</v>
      </c>
      <c r="G121" s="1" t="s">
        <v>361</v>
      </c>
    </row>
    <row r="122" spans="1:7" ht="15.6">
      <c r="A122" s="346" t="s">
        <v>722</v>
      </c>
      <c r="B122" s="50" t="s">
        <v>100</v>
      </c>
      <c r="C122" s="285">
        <v>0.1353873749322583</v>
      </c>
      <c r="D122" s="333">
        <f t="shared" si="1"/>
        <v>0.22183674721061358</v>
      </c>
      <c r="E122" s="3">
        <v>0.16653674721061357</v>
      </c>
      <c r="F122" s="285">
        <v>0.28210000000000002</v>
      </c>
      <c r="G122" s="1" t="s">
        <v>360</v>
      </c>
    </row>
    <row r="123" spans="1:7" ht="15.6">
      <c r="A123" s="44" t="s">
        <v>319</v>
      </c>
      <c r="B123" s="50" t="s">
        <v>691</v>
      </c>
      <c r="C123" s="345">
        <v>6.2094961435095908E-2</v>
      </c>
      <c r="D123" s="333">
        <f t="shared" si="1"/>
        <v>0.13168151563795058</v>
      </c>
      <c r="E123" s="347">
        <v>7.6381515637950578E-2</v>
      </c>
      <c r="F123" s="347">
        <v>0.3</v>
      </c>
      <c r="G123" s="1" t="s">
        <v>360</v>
      </c>
    </row>
    <row r="124" spans="1:7" ht="15.6">
      <c r="A124" s="44" t="s">
        <v>320</v>
      </c>
      <c r="B124" s="50" t="s">
        <v>693</v>
      </c>
      <c r="C124" s="345">
        <v>0</v>
      </c>
      <c r="D124" s="333">
        <f t="shared" si="1"/>
        <v>5.5300000000000002E-2</v>
      </c>
      <c r="E124" s="347">
        <v>0</v>
      </c>
      <c r="F124" s="347">
        <v>0.23</v>
      </c>
      <c r="G124" s="1" t="s">
        <v>358</v>
      </c>
    </row>
    <row r="125" spans="1:7" ht="15.6">
      <c r="A125" s="44" t="s">
        <v>321</v>
      </c>
      <c r="B125" s="50" t="s">
        <v>696</v>
      </c>
      <c r="C125" s="345">
        <v>2.4837984574038366E-2</v>
      </c>
      <c r="D125" s="333">
        <f t="shared" si="1"/>
        <v>8.5852606255180236E-2</v>
      </c>
      <c r="E125" s="347">
        <v>3.0552606255180234E-2</v>
      </c>
      <c r="F125" s="347">
        <v>0.15</v>
      </c>
      <c r="G125" s="1" t="s">
        <v>365</v>
      </c>
    </row>
    <row r="126" spans="1:7" ht="15.6">
      <c r="A126" s="44" t="s">
        <v>322</v>
      </c>
      <c r="B126" s="50" t="s">
        <v>701</v>
      </c>
      <c r="C126" s="345">
        <v>7.3394208515908457E-2</v>
      </c>
      <c r="D126" s="333">
        <f t="shared" si="1"/>
        <v>0.14558044717206947</v>
      </c>
      <c r="E126" s="347">
        <v>9.028044717206947E-2</v>
      </c>
      <c r="F126" s="347">
        <v>0.3</v>
      </c>
      <c r="G126" s="1" t="s">
        <v>432</v>
      </c>
    </row>
    <row r="127" spans="1:7" ht="15.6">
      <c r="A127" s="44" t="s">
        <v>323</v>
      </c>
      <c r="B127" s="50" t="s">
        <v>690</v>
      </c>
      <c r="C127" s="345">
        <v>2.147874895541842E-2</v>
      </c>
      <c r="D127" s="333">
        <f t="shared" si="1"/>
        <v>8.172049147476651E-2</v>
      </c>
      <c r="E127" s="347">
        <v>2.6420491474766512E-2</v>
      </c>
      <c r="F127" s="347">
        <v>0.25</v>
      </c>
      <c r="G127" s="1" t="s">
        <v>361</v>
      </c>
    </row>
    <row r="128" spans="1:7" ht="15.6">
      <c r="A128" s="44" t="s">
        <v>324</v>
      </c>
      <c r="B128" s="50" t="s">
        <v>691</v>
      </c>
      <c r="C128" s="345">
        <v>6.2094961435095908E-2</v>
      </c>
      <c r="D128" s="333">
        <f t="shared" si="1"/>
        <v>0.13168151563795058</v>
      </c>
      <c r="E128" s="347">
        <v>7.6381515637950578E-2</v>
      </c>
      <c r="F128" s="347">
        <v>0.3</v>
      </c>
      <c r="G128" s="1" t="s">
        <v>432</v>
      </c>
    </row>
    <row r="129" spans="1:7" ht="15.6">
      <c r="A129" s="44" t="s">
        <v>325</v>
      </c>
      <c r="B129" s="50" t="s">
        <v>709</v>
      </c>
      <c r="C129" s="345">
        <v>2.8197220192658311E-2</v>
      </c>
      <c r="D129" s="333">
        <f t="shared" si="1"/>
        <v>8.9984721035593962E-2</v>
      </c>
      <c r="E129" s="347">
        <v>3.468472103559396E-2</v>
      </c>
      <c r="F129" s="347">
        <v>0.1</v>
      </c>
      <c r="G129" s="1" t="s">
        <v>361</v>
      </c>
    </row>
    <row r="130" spans="1:7" ht="15.6">
      <c r="A130" s="44" t="s">
        <v>326</v>
      </c>
      <c r="B130" s="50" t="s">
        <v>707</v>
      </c>
      <c r="C130" s="345">
        <v>1.3538737493225832E-2</v>
      </c>
      <c r="D130" s="333">
        <f t="shared" si="1"/>
        <v>7.1953674721061359E-2</v>
      </c>
      <c r="E130" s="347">
        <v>1.665367472106136E-2</v>
      </c>
      <c r="F130" s="347">
        <v>0.29499999999999998</v>
      </c>
      <c r="G130" s="1" t="s">
        <v>361</v>
      </c>
    </row>
    <row r="131" spans="1:7" ht="15.6">
      <c r="A131" s="44" t="s">
        <v>327</v>
      </c>
      <c r="B131" s="50" t="s">
        <v>690</v>
      </c>
      <c r="C131" s="345">
        <v>2.147874895541842E-2</v>
      </c>
      <c r="D131" s="333">
        <f t="shared" si="1"/>
        <v>8.172049147476651E-2</v>
      </c>
      <c r="E131" s="347">
        <v>2.6420491474766512E-2</v>
      </c>
      <c r="F131" s="347">
        <v>0.3</v>
      </c>
      <c r="G131" s="1" t="s">
        <v>432</v>
      </c>
    </row>
    <row r="132" spans="1:7" ht="15.6">
      <c r="A132" s="44" t="s">
        <v>328</v>
      </c>
      <c r="B132" s="50" t="s">
        <v>703</v>
      </c>
      <c r="C132" s="345">
        <v>9.5687317621295353E-3</v>
      </c>
      <c r="D132" s="333">
        <f t="shared" si="1"/>
        <v>6.707026634420879E-2</v>
      </c>
      <c r="E132" s="347">
        <v>1.1770266344208781E-2</v>
      </c>
      <c r="F132" s="347">
        <v>0.19</v>
      </c>
      <c r="G132" s="1" t="s">
        <v>359</v>
      </c>
    </row>
    <row r="133" spans="1:7" ht="15.6">
      <c r="A133" s="44" t="s">
        <v>329</v>
      </c>
      <c r="B133" s="50" t="s">
        <v>696</v>
      </c>
      <c r="C133" s="345">
        <v>2.4837984574038366E-2</v>
      </c>
      <c r="D133" s="333">
        <f t="shared" si="1"/>
        <v>8.5852606255180236E-2</v>
      </c>
      <c r="E133" s="347">
        <v>3.0552606255180234E-2</v>
      </c>
      <c r="F133" s="347">
        <v>0.21</v>
      </c>
      <c r="G133" s="1" t="s">
        <v>358</v>
      </c>
    </row>
    <row r="134" spans="1:7" ht="15.6">
      <c r="A134" s="44" t="s">
        <v>330</v>
      </c>
      <c r="B134" s="50" t="s">
        <v>700</v>
      </c>
      <c r="C134" s="345">
        <v>6.8202662559859444E-3</v>
      </c>
      <c r="D134" s="333">
        <f t="shared" ref="D134:D172" si="2">$D$173+E134</f>
        <v>6.3689445160233921E-2</v>
      </c>
      <c r="E134" s="347">
        <v>8.389445160233917E-3</v>
      </c>
      <c r="F134" s="347">
        <v>0.1</v>
      </c>
      <c r="G134" s="1" t="s">
        <v>365</v>
      </c>
    </row>
    <row r="135" spans="1:7" ht="15.6">
      <c r="A135" s="44" t="s">
        <v>510</v>
      </c>
      <c r="B135" s="50" t="s">
        <v>703</v>
      </c>
      <c r="C135" s="345">
        <v>9.5687317621295353E-3</v>
      </c>
      <c r="D135" s="333">
        <f t="shared" si="2"/>
        <v>6.707026634420879E-2</v>
      </c>
      <c r="E135" s="347">
        <v>1.1770266344208781E-2</v>
      </c>
      <c r="F135" s="347">
        <v>0</v>
      </c>
      <c r="G135" s="1" t="s">
        <v>365</v>
      </c>
    </row>
    <row r="136" spans="1:7" ht="15.6">
      <c r="A136" s="44" t="s">
        <v>331</v>
      </c>
      <c r="B136" s="50" t="s">
        <v>696</v>
      </c>
      <c r="C136" s="345">
        <v>2.4837984574038366E-2</v>
      </c>
      <c r="D136" s="333">
        <f t="shared" si="2"/>
        <v>8.5852606255180236E-2</v>
      </c>
      <c r="E136" s="347">
        <v>3.0552606255180234E-2</v>
      </c>
      <c r="F136" s="347">
        <v>0.16</v>
      </c>
      <c r="G136" s="1" t="s">
        <v>359</v>
      </c>
    </row>
    <row r="137" spans="1:7" ht="15.6">
      <c r="A137" s="44" t="s">
        <v>332</v>
      </c>
      <c r="B137" s="50" t="s">
        <v>709</v>
      </c>
      <c r="C137" s="345">
        <v>2.8197220192658311E-2</v>
      </c>
      <c r="D137" s="333">
        <f t="shared" si="2"/>
        <v>8.9984721035593962E-2</v>
      </c>
      <c r="E137" s="347">
        <v>3.468472103559396E-2</v>
      </c>
      <c r="F137" s="347">
        <v>0.2</v>
      </c>
      <c r="G137" s="1" t="s">
        <v>359</v>
      </c>
    </row>
    <row r="138" spans="1:7" ht="15.6">
      <c r="A138" s="44" t="s">
        <v>494</v>
      </c>
      <c r="B138" s="50" t="s">
        <v>691</v>
      </c>
      <c r="C138" s="345">
        <v>6.2094961435095908E-2</v>
      </c>
      <c r="D138" s="333">
        <f t="shared" si="2"/>
        <v>0.13168151563795058</v>
      </c>
      <c r="E138" s="347">
        <v>7.6381515637950578E-2</v>
      </c>
      <c r="F138" s="347">
        <v>0.3</v>
      </c>
      <c r="G138" s="1" t="s">
        <v>360</v>
      </c>
    </row>
    <row r="139" spans="1:7" ht="15.6">
      <c r="A139" s="44" t="s">
        <v>333</v>
      </c>
      <c r="B139" s="50" t="s">
        <v>705</v>
      </c>
      <c r="C139" s="345">
        <v>7.9400114621925918E-3</v>
      </c>
      <c r="D139" s="333">
        <f t="shared" si="2"/>
        <v>6.5066816753705153E-2</v>
      </c>
      <c r="E139" s="347">
        <v>9.7668167537051567E-3</v>
      </c>
      <c r="F139" s="347">
        <v>0.2</v>
      </c>
      <c r="G139" s="1" t="s">
        <v>365</v>
      </c>
    </row>
    <row r="140" spans="1:7" ht="15.6">
      <c r="A140" s="44" t="s">
        <v>376</v>
      </c>
      <c r="B140" s="50" t="s">
        <v>697</v>
      </c>
      <c r="C140" s="345">
        <v>4.0616212479677498E-2</v>
      </c>
      <c r="D140" s="333">
        <f t="shared" si="2"/>
        <v>0.10526102416318409</v>
      </c>
      <c r="E140" s="347">
        <v>4.9961024163184084E-2</v>
      </c>
      <c r="F140" s="347">
        <v>0.3</v>
      </c>
      <c r="G140" s="1" t="s">
        <v>360</v>
      </c>
    </row>
    <row r="141" spans="1:7" ht="15.6">
      <c r="A141" s="44" t="s">
        <v>334</v>
      </c>
      <c r="B141" s="50" t="s">
        <v>697</v>
      </c>
      <c r="C141" s="345">
        <v>4.0616212479677498E-2</v>
      </c>
      <c r="D141" s="333">
        <f t="shared" si="2"/>
        <v>0.10526102416318409</v>
      </c>
      <c r="E141" s="347">
        <v>4.9961024163184084E-2</v>
      </c>
      <c r="F141" s="347">
        <v>0.15</v>
      </c>
      <c r="G141" s="1" t="s">
        <v>359</v>
      </c>
    </row>
    <row r="142" spans="1:7" ht="15.6">
      <c r="A142" s="44" t="s">
        <v>511</v>
      </c>
      <c r="B142" s="50" t="s">
        <v>707</v>
      </c>
      <c r="C142" s="345">
        <v>1.3538737493225832E-2</v>
      </c>
      <c r="D142" s="333">
        <f t="shared" si="2"/>
        <v>7.1953674721061359E-2</v>
      </c>
      <c r="E142" s="347">
        <v>1.665367472106136E-2</v>
      </c>
      <c r="F142" s="347">
        <v>0.2</v>
      </c>
      <c r="G142" s="1" t="s">
        <v>365</v>
      </c>
    </row>
    <row r="143" spans="1:7" ht="15.6">
      <c r="A143" s="346" t="s">
        <v>723</v>
      </c>
      <c r="B143" s="50" t="s">
        <v>100</v>
      </c>
      <c r="C143" s="285">
        <v>0.1353873749322583</v>
      </c>
      <c r="D143" s="333">
        <f t="shared" si="2"/>
        <v>0.22183674721061358</v>
      </c>
      <c r="E143" s="3">
        <v>0.16653674721061357</v>
      </c>
      <c r="F143" s="285">
        <v>0.3</v>
      </c>
      <c r="G143" s="1" t="s">
        <v>360</v>
      </c>
    </row>
    <row r="144" spans="1:7" ht="15.6">
      <c r="A144" s="44" t="s">
        <v>335</v>
      </c>
      <c r="B144" s="50" t="s">
        <v>693</v>
      </c>
      <c r="C144" s="345">
        <v>0</v>
      </c>
      <c r="D144" s="333">
        <f t="shared" si="2"/>
        <v>5.5300000000000002E-2</v>
      </c>
      <c r="E144" s="347">
        <v>0</v>
      </c>
      <c r="F144" s="347">
        <v>0.17</v>
      </c>
      <c r="G144" s="1" t="s">
        <v>432</v>
      </c>
    </row>
    <row r="145" spans="1:7" ht="15.6">
      <c r="A145" s="44" t="s">
        <v>377</v>
      </c>
      <c r="B145" s="50" t="s">
        <v>703</v>
      </c>
      <c r="C145" s="345">
        <v>9.5687317621295353E-3</v>
      </c>
      <c r="D145" s="333">
        <f t="shared" si="2"/>
        <v>6.707026634420879E-2</v>
      </c>
      <c r="E145" s="347">
        <v>1.1770266344208781E-2</v>
      </c>
      <c r="F145" s="347">
        <v>0.21</v>
      </c>
      <c r="G145" s="1" t="s">
        <v>359</v>
      </c>
    </row>
    <row r="146" spans="1:7" ht="15.6">
      <c r="A146" s="44" t="s">
        <v>336</v>
      </c>
      <c r="B146" s="50" t="s">
        <v>692</v>
      </c>
      <c r="C146" s="345">
        <v>1.8017718318052423E-2</v>
      </c>
      <c r="D146" s="333">
        <f t="shared" si="2"/>
        <v>7.7463161094946331E-2</v>
      </c>
      <c r="E146" s="347">
        <v>2.2163161094946322E-2</v>
      </c>
      <c r="F146" s="347">
        <v>0.19</v>
      </c>
      <c r="G146" s="1" t="s">
        <v>359</v>
      </c>
    </row>
    <row r="147" spans="1:7" ht="15.6">
      <c r="A147" s="44" t="s">
        <v>724</v>
      </c>
      <c r="B147" s="50" t="s">
        <v>701</v>
      </c>
      <c r="C147" s="345">
        <v>7.3394208515908457E-2</v>
      </c>
      <c r="D147" s="333">
        <f t="shared" si="2"/>
        <v>0.14558044717206947</v>
      </c>
      <c r="E147" s="347">
        <v>9.028044717206947E-2</v>
      </c>
      <c r="F147" s="347">
        <v>0.3</v>
      </c>
      <c r="G147" s="1" t="s">
        <v>432</v>
      </c>
    </row>
    <row r="148" spans="1:7" ht="15.6">
      <c r="A148" s="346" t="s">
        <v>725</v>
      </c>
      <c r="B148" s="50" t="s">
        <v>100</v>
      </c>
      <c r="C148" s="285">
        <v>0.1353873749322583</v>
      </c>
      <c r="D148" s="333">
        <f t="shared" si="2"/>
        <v>0.22183674721061358</v>
      </c>
      <c r="E148" s="3">
        <v>0.16653674721061357</v>
      </c>
      <c r="F148" s="285">
        <v>0.29149999999999998</v>
      </c>
      <c r="G148" s="1" t="s">
        <v>360</v>
      </c>
    </row>
    <row r="149" spans="1:7" ht="15.6">
      <c r="A149" s="44" t="s">
        <v>337</v>
      </c>
      <c r="B149" s="50" t="s">
        <v>696</v>
      </c>
      <c r="C149" s="345">
        <v>2.4837984574038366E-2</v>
      </c>
      <c r="D149" s="333">
        <f t="shared" si="2"/>
        <v>8.5852606255180236E-2</v>
      </c>
      <c r="E149" s="347">
        <v>3.0552606255180234E-2</v>
      </c>
      <c r="F149" s="347">
        <v>0.28000000000000003</v>
      </c>
      <c r="G149" s="1" t="s">
        <v>360</v>
      </c>
    </row>
    <row r="150" spans="1:7" ht="15.6">
      <c r="A150" s="44" t="s">
        <v>338</v>
      </c>
      <c r="B150" s="50" t="s">
        <v>692</v>
      </c>
      <c r="C150" s="345">
        <v>1.8017718318052423E-2</v>
      </c>
      <c r="D150" s="333">
        <f t="shared" si="2"/>
        <v>7.7463161094946331E-2</v>
      </c>
      <c r="E150" s="347">
        <v>2.2163161094946322E-2</v>
      </c>
      <c r="F150" s="347">
        <v>0.25</v>
      </c>
      <c r="G150" s="1" t="s">
        <v>358</v>
      </c>
    </row>
    <row r="151" spans="1:7" ht="15.6">
      <c r="A151" s="44" t="s">
        <v>339</v>
      </c>
      <c r="B151" s="50" t="s">
        <v>688</v>
      </c>
      <c r="C151" s="345">
        <v>5.0795714354283386E-2</v>
      </c>
      <c r="D151" s="333">
        <f t="shared" si="2"/>
        <v>0.11778258410383172</v>
      </c>
      <c r="E151" s="347">
        <v>6.2482584103831722E-2</v>
      </c>
      <c r="F151" s="347">
        <v>0.28000000000000003</v>
      </c>
      <c r="G151" s="1" t="s">
        <v>432</v>
      </c>
    </row>
    <row r="152" spans="1:7" ht="15.6">
      <c r="A152" s="44" t="s">
        <v>434</v>
      </c>
      <c r="B152" s="50" t="s">
        <v>690</v>
      </c>
      <c r="C152" s="345">
        <v>2.147874895541842E-2</v>
      </c>
      <c r="D152" s="333">
        <f t="shared" si="2"/>
        <v>8.172049147476651E-2</v>
      </c>
      <c r="E152" s="347">
        <v>2.6420491474766512E-2</v>
      </c>
      <c r="F152" s="347">
        <v>0.35</v>
      </c>
      <c r="G152" s="1" t="s">
        <v>364</v>
      </c>
    </row>
    <row r="153" spans="1:7" ht="15.6">
      <c r="A153" s="44" t="s">
        <v>378</v>
      </c>
      <c r="B153" s="50" t="s">
        <v>701</v>
      </c>
      <c r="C153" s="345">
        <v>7.3394208515908457E-2</v>
      </c>
      <c r="D153" s="333">
        <f t="shared" si="2"/>
        <v>0.14558044717206947</v>
      </c>
      <c r="E153" s="347">
        <v>9.028044717206947E-2</v>
      </c>
      <c r="F153" s="347">
        <v>0.2</v>
      </c>
      <c r="G153" s="1" t="s">
        <v>364</v>
      </c>
    </row>
    <row r="154" spans="1:7" ht="15.6">
      <c r="A154" s="346" t="s">
        <v>726</v>
      </c>
      <c r="B154" s="50" t="s">
        <v>100</v>
      </c>
      <c r="C154" s="285">
        <v>0.18</v>
      </c>
      <c r="D154" s="333">
        <f t="shared" si="2"/>
        <v>0.27671366218902893</v>
      </c>
      <c r="E154" s="3">
        <v>0.22141366218902891</v>
      </c>
      <c r="F154" s="285">
        <v>0.35</v>
      </c>
      <c r="G154" s="1" t="s">
        <v>360</v>
      </c>
    </row>
    <row r="155" spans="1:7" ht="15.6">
      <c r="A155" s="44" t="s">
        <v>379</v>
      </c>
      <c r="B155" s="50" t="s">
        <v>691</v>
      </c>
      <c r="C155" s="345">
        <v>6.2094961435095908E-2</v>
      </c>
      <c r="D155" s="333">
        <f t="shared" si="2"/>
        <v>0.13168151563795058</v>
      </c>
      <c r="E155" s="347">
        <v>7.6381515637950578E-2</v>
      </c>
      <c r="F155" s="347">
        <v>0.36</v>
      </c>
      <c r="G155" s="1" t="s">
        <v>361</v>
      </c>
    </row>
    <row r="156" spans="1:7" ht="15.6">
      <c r="A156" s="44" t="s">
        <v>727</v>
      </c>
      <c r="B156" s="50" t="s">
        <v>691</v>
      </c>
      <c r="C156" s="345">
        <v>6.2094961435095908E-2</v>
      </c>
      <c r="D156" s="333">
        <f t="shared" si="2"/>
        <v>0.13168151563795058</v>
      </c>
      <c r="E156" s="347">
        <v>7.6381515637950578E-2</v>
      </c>
      <c r="F156" s="347">
        <v>0.28000000000000003</v>
      </c>
      <c r="G156" s="1" t="s">
        <v>360</v>
      </c>
    </row>
    <row r="157" spans="1:7" ht="15.6">
      <c r="A157" s="44" t="s">
        <v>340</v>
      </c>
      <c r="B157" s="50" t="s">
        <v>693</v>
      </c>
      <c r="C157" s="345">
        <v>0</v>
      </c>
      <c r="D157" s="333">
        <f t="shared" si="2"/>
        <v>5.5300000000000002E-2</v>
      </c>
      <c r="E157" s="347">
        <v>0</v>
      </c>
      <c r="F157" s="347">
        <v>0.22</v>
      </c>
      <c r="G157" s="1" t="s">
        <v>358</v>
      </c>
    </row>
    <row r="158" spans="1:7" ht="15.6">
      <c r="A158" s="44" t="s">
        <v>341</v>
      </c>
      <c r="B158" s="50" t="s">
        <v>693</v>
      </c>
      <c r="C158" s="345">
        <v>0</v>
      </c>
      <c r="D158" s="333">
        <f t="shared" si="2"/>
        <v>5.5300000000000002E-2</v>
      </c>
      <c r="E158" s="347">
        <v>0</v>
      </c>
      <c r="F158" s="347">
        <v>0.18</v>
      </c>
      <c r="G158" s="1" t="s">
        <v>358</v>
      </c>
    </row>
    <row r="159" spans="1:7" ht="15.6">
      <c r="A159" s="346" t="s">
        <v>728</v>
      </c>
      <c r="B159" s="50" t="s">
        <v>100</v>
      </c>
      <c r="C159" s="285">
        <v>0.1353873749322583</v>
      </c>
      <c r="D159" s="333">
        <f t="shared" si="2"/>
        <v>0.22183674721061358</v>
      </c>
      <c r="E159" s="3">
        <v>0.16653674721061357</v>
      </c>
      <c r="F159" s="285">
        <v>0.28000000000000003</v>
      </c>
      <c r="G159" s="1" t="s">
        <v>365</v>
      </c>
    </row>
    <row r="160" spans="1:7" ht="15.6">
      <c r="A160" s="44" t="s">
        <v>342</v>
      </c>
      <c r="B160" s="50" t="s">
        <v>700</v>
      </c>
      <c r="C160" s="345">
        <v>1.8017718318052423E-2</v>
      </c>
      <c r="D160" s="333">
        <f t="shared" si="2"/>
        <v>7.7463161094946331E-2</v>
      </c>
      <c r="E160" s="347">
        <v>2.2163161094946322E-2</v>
      </c>
      <c r="F160" s="347">
        <v>0.2</v>
      </c>
      <c r="G160" s="1" t="s">
        <v>432</v>
      </c>
    </row>
    <row r="161" spans="1:7" ht="15.6">
      <c r="A161" s="44" t="s">
        <v>729</v>
      </c>
      <c r="B161" s="50" t="s">
        <v>701</v>
      </c>
      <c r="C161" s="345">
        <v>2.8197220192658311E-2</v>
      </c>
      <c r="D161" s="333">
        <f t="shared" si="2"/>
        <v>8.9984721035593962E-2</v>
      </c>
      <c r="E161" s="347">
        <v>3.468472103559396E-2</v>
      </c>
      <c r="F161" s="347">
        <v>0.2</v>
      </c>
      <c r="G161" s="1" t="s">
        <v>359</v>
      </c>
    </row>
    <row r="162" spans="1:7" ht="15.6">
      <c r="A162" s="44" t="s">
        <v>730</v>
      </c>
      <c r="B162" s="50" t="s">
        <v>688</v>
      </c>
      <c r="C162" s="345">
        <v>5.0795714354283386E-2</v>
      </c>
      <c r="D162" s="333">
        <f t="shared" si="2"/>
        <v>0.11778258410383172</v>
      </c>
      <c r="E162" s="347">
        <v>6.2482584103831722E-2</v>
      </c>
      <c r="F162" s="347">
        <v>0.3</v>
      </c>
      <c r="G162" s="1" t="s">
        <v>360</v>
      </c>
    </row>
    <row r="163" spans="1:7" ht="15.6">
      <c r="A163" s="44" t="s">
        <v>343</v>
      </c>
      <c r="B163" s="50" t="s">
        <v>692</v>
      </c>
      <c r="C163" s="345">
        <v>1.8017718318052423E-2</v>
      </c>
      <c r="D163" s="333">
        <f t="shared" si="2"/>
        <v>7.7463161094946331E-2</v>
      </c>
      <c r="E163" s="347">
        <v>2.2163161094946322E-2</v>
      </c>
      <c r="F163" s="347">
        <v>0.2</v>
      </c>
      <c r="G163" s="1" t="s">
        <v>432</v>
      </c>
    </row>
    <row r="164" spans="1:7" ht="15.6">
      <c r="A164" s="346" t="s">
        <v>731</v>
      </c>
      <c r="B164" s="50" t="s">
        <v>100</v>
      </c>
      <c r="C164" s="285">
        <v>8.4591660577974931E-2</v>
      </c>
      <c r="D164" s="333">
        <f t="shared" si="2"/>
        <v>0.15935416310678188</v>
      </c>
      <c r="E164" s="3">
        <v>0.10405416310678188</v>
      </c>
      <c r="F164" s="285">
        <v>0.29149999999999998</v>
      </c>
      <c r="G164" s="1" t="s">
        <v>360</v>
      </c>
    </row>
    <row r="165" spans="1:7" ht="15.6">
      <c r="A165" s="44" t="s">
        <v>748</v>
      </c>
      <c r="B165" s="50" t="s">
        <v>709</v>
      </c>
      <c r="C165" s="345">
        <v>2.8197220192658311E-2</v>
      </c>
      <c r="D165" s="333">
        <f t="shared" si="2"/>
        <v>8.9984721035593962E-2</v>
      </c>
      <c r="E165" s="347">
        <v>3.468472103559396E-2</v>
      </c>
      <c r="F165" s="347">
        <v>0.25</v>
      </c>
      <c r="G165" s="1" t="s">
        <v>364</v>
      </c>
    </row>
    <row r="166" spans="1:7" ht="15.6">
      <c r="A166" s="44" t="s">
        <v>344</v>
      </c>
      <c r="B166" s="50" t="s">
        <v>691</v>
      </c>
      <c r="C166" s="345">
        <v>6.2094961435095908E-2</v>
      </c>
      <c r="D166" s="333">
        <f t="shared" si="2"/>
        <v>0.13168151563795058</v>
      </c>
      <c r="E166" s="347">
        <v>7.6381515637950578E-2</v>
      </c>
      <c r="F166" s="347">
        <v>0.25</v>
      </c>
      <c r="G166" s="1" t="s">
        <v>360</v>
      </c>
    </row>
    <row r="167" spans="1:7" ht="15.6">
      <c r="A167" s="44" t="s">
        <v>345</v>
      </c>
      <c r="B167" s="50" t="s">
        <v>697</v>
      </c>
      <c r="C167" s="345">
        <v>4.0616212479677498E-2</v>
      </c>
      <c r="D167" s="333">
        <f t="shared" si="2"/>
        <v>0.10526102416318409</v>
      </c>
      <c r="E167" s="347">
        <v>4.9961024163184084E-2</v>
      </c>
      <c r="F167" s="347">
        <v>0.22</v>
      </c>
      <c r="G167" s="1" t="s">
        <v>358</v>
      </c>
    </row>
    <row r="168" spans="1:7" ht="15.6">
      <c r="A168" s="44" t="s">
        <v>749</v>
      </c>
      <c r="B168" s="50" t="s">
        <v>692</v>
      </c>
      <c r="C168" s="345">
        <v>1.8017718318052423E-2</v>
      </c>
      <c r="D168" s="333">
        <f t="shared" si="2"/>
        <v>7.7463161094946331E-2</v>
      </c>
      <c r="E168" s="347">
        <v>2.2163161094946322E-2</v>
      </c>
      <c r="F168" s="347">
        <v>0</v>
      </c>
      <c r="G168" s="1" t="s">
        <v>364</v>
      </c>
    </row>
    <row r="169" spans="1:7" ht="15.6">
      <c r="A169" s="44" t="s">
        <v>435</v>
      </c>
      <c r="B169" s="50" t="s">
        <v>691</v>
      </c>
      <c r="C169" s="345">
        <v>6.2094961435095908E-2</v>
      </c>
      <c r="D169" s="333">
        <f t="shared" si="2"/>
        <v>0.13168151563795058</v>
      </c>
      <c r="E169" s="347">
        <v>7.6381515637950578E-2</v>
      </c>
      <c r="F169" s="347">
        <v>0.3</v>
      </c>
      <c r="G169" s="1" t="s">
        <v>360</v>
      </c>
    </row>
    <row r="170" spans="1:7" ht="15.6">
      <c r="A170" s="44" t="s">
        <v>346</v>
      </c>
      <c r="B170" s="50" t="s">
        <v>699</v>
      </c>
      <c r="C170" s="345">
        <v>8.4591660577974931E-2</v>
      </c>
      <c r="D170" s="333">
        <f t="shared" si="2"/>
        <v>0.15935416310678188</v>
      </c>
      <c r="E170" s="347">
        <v>0.10405416310678188</v>
      </c>
      <c r="F170" s="347">
        <v>0.18</v>
      </c>
      <c r="G170" s="1" t="s">
        <v>359</v>
      </c>
    </row>
    <row r="171" spans="1:7" ht="15.6">
      <c r="A171" s="44" t="s">
        <v>347</v>
      </c>
      <c r="B171" s="50" t="s">
        <v>687</v>
      </c>
      <c r="C171" s="345">
        <v>5.5987260310332385E-3</v>
      </c>
      <c r="D171" s="333">
        <f t="shared" si="2"/>
        <v>6.21868579673562E-2</v>
      </c>
      <c r="E171" s="347">
        <v>6.8868579673562009E-3</v>
      </c>
      <c r="F171" s="347">
        <v>0.55000000000000004</v>
      </c>
      <c r="G171" s="1" t="s">
        <v>365</v>
      </c>
    </row>
    <row r="172" spans="1:7" ht="15.6">
      <c r="A172" s="44" t="s">
        <v>348</v>
      </c>
      <c r="B172" s="50" t="s">
        <v>687</v>
      </c>
      <c r="C172" s="345">
        <v>5.5987260310332385E-3</v>
      </c>
      <c r="D172" s="333">
        <f t="shared" si="2"/>
        <v>6.21868579673562E-2</v>
      </c>
      <c r="E172" s="347">
        <v>6.8868579673562009E-3</v>
      </c>
      <c r="F172" s="347">
        <v>0.19</v>
      </c>
      <c r="G172" s="1" t="s">
        <v>358</v>
      </c>
    </row>
    <row r="173" spans="1:7" ht="15.6">
      <c r="A173" s="44" t="s">
        <v>349</v>
      </c>
      <c r="B173" s="50" t="s">
        <v>693</v>
      </c>
      <c r="C173" s="345">
        <v>0</v>
      </c>
      <c r="D173" s="333">
        <f>B1</f>
        <v>5.5300000000000002E-2</v>
      </c>
      <c r="E173" s="347">
        <v>0</v>
      </c>
      <c r="F173" s="347">
        <v>0.25</v>
      </c>
      <c r="G173" s="1" t="s">
        <v>367</v>
      </c>
    </row>
    <row r="174" spans="1:7" ht="15.6">
      <c r="A174" s="44" t="s">
        <v>350</v>
      </c>
      <c r="B174" s="50" t="s">
        <v>690</v>
      </c>
      <c r="C174" s="345">
        <v>2.147874895541842E-2</v>
      </c>
      <c r="D174" s="333">
        <f t="shared" ref="D174:D179" si="3">$D$173+E174</f>
        <v>8.172049147476651E-2</v>
      </c>
      <c r="E174" s="347">
        <v>2.6420491474766512E-2</v>
      </c>
      <c r="F174" s="347">
        <v>0.25</v>
      </c>
      <c r="G174" s="1" t="s">
        <v>361</v>
      </c>
    </row>
    <row r="175" spans="1:7" ht="15.6">
      <c r="A175" s="44" t="s">
        <v>351</v>
      </c>
      <c r="B175" s="50" t="s">
        <v>750</v>
      </c>
      <c r="C175" s="345">
        <v>0.18</v>
      </c>
      <c r="D175" s="333">
        <f t="shared" si="3"/>
        <v>0.27671366218902893</v>
      </c>
      <c r="E175" s="347">
        <v>0.22141366218902891</v>
      </c>
      <c r="F175" s="347">
        <v>0.34</v>
      </c>
      <c r="G175" s="1" t="s">
        <v>361</v>
      </c>
    </row>
    <row r="176" spans="1:7" ht="15.6">
      <c r="A176" s="44" t="s">
        <v>352</v>
      </c>
      <c r="B176" s="50" t="s">
        <v>697</v>
      </c>
      <c r="C176" s="345">
        <v>4.0616212479677498E-2</v>
      </c>
      <c r="D176" s="333">
        <f t="shared" si="3"/>
        <v>0.10526102416318409</v>
      </c>
      <c r="E176" s="347">
        <v>4.9961024163184084E-2</v>
      </c>
      <c r="F176" s="347">
        <v>0.2</v>
      </c>
      <c r="G176" s="1" t="s">
        <v>432</v>
      </c>
    </row>
    <row r="177" spans="1:7" ht="15.6">
      <c r="A177" s="346" t="s">
        <v>732</v>
      </c>
      <c r="B177" s="50" t="s">
        <v>100</v>
      </c>
      <c r="C177" s="285">
        <v>0.18</v>
      </c>
      <c r="D177" s="333">
        <f t="shared" si="3"/>
        <v>0.27671366218902893</v>
      </c>
      <c r="E177" s="3">
        <v>0.22141366218902891</v>
      </c>
      <c r="F177" s="285">
        <v>0.2</v>
      </c>
      <c r="G177" s="1" t="s">
        <v>360</v>
      </c>
    </row>
    <row r="178" spans="1:7" ht="15.6">
      <c r="A178" s="44" t="s">
        <v>353</v>
      </c>
      <c r="B178" s="50" t="s">
        <v>699</v>
      </c>
      <c r="C178" s="345">
        <v>8.4591660577974931E-2</v>
      </c>
      <c r="D178" s="333">
        <f t="shared" si="3"/>
        <v>0.15935416310678188</v>
      </c>
      <c r="E178" s="347">
        <v>0.10405416310678188</v>
      </c>
      <c r="F178" s="347">
        <v>0.35</v>
      </c>
      <c r="G178" s="1" t="s">
        <v>360</v>
      </c>
    </row>
    <row r="179" spans="1:7" ht="15.6">
      <c r="A179" s="346" t="s">
        <v>733</v>
      </c>
      <c r="B179" s="50" t="s">
        <v>100</v>
      </c>
      <c r="C179" s="285">
        <v>0.10159142870856677</v>
      </c>
      <c r="D179" s="333">
        <f t="shared" si="3"/>
        <v>0.18026516820766345</v>
      </c>
      <c r="E179" s="3">
        <v>0.12496516820766344</v>
      </c>
      <c r="F179" s="285">
        <v>0.25</v>
      </c>
      <c r="G179" s="1" t="s">
        <v>360</v>
      </c>
    </row>
    <row r="193" spans="1:5">
      <c r="A193" s="253"/>
      <c r="B193" s="334" t="s">
        <v>380</v>
      </c>
      <c r="C193" s="334" t="s">
        <v>734</v>
      </c>
      <c r="D193" s="334" t="s">
        <v>142</v>
      </c>
      <c r="E193" s="342" t="s">
        <v>742</v>
      </c>
    </row>
    <row r="194" spans="1:5">
      <c r="A194" s="1" t="s">
        <v>735</v>
      </c>
      <c r="B194" s="3">
        <f>$B$202+E194</f>
        <v>9.0811656903819551E-2</v>
      </c>
      <c r="C194" s="3">
        <v>2.694716799623581E-2</v>
      </c>
      <c r="D194" s="3">
        <v>0.29246787754291986</v>
      </c>
      <c r="E194" s="3">
        <v>3.551165690381955E-2</v>
      </c>
    </row>
    <row r="195" spans="1:5">
      <c r="A195" s="1" t="s">
        <v>736</v>
      </c>
      <c r="B195" s="3">
        <f t="shared" ref="B195:B201" si="4">$B$202+E195</f>
        <v>5.5323552295498526E-2</v>
      </c>
      <c r="C195" s="3">
        <v>1.8965754240544199E-5</v>
      </c>
      <c r="D195" s="3">
        <v>0.2804198999549754</v>
      </c>
      <c r="E195" s="3">
        <v>2.3552295498524556E-5</v>
      </c>
    </row>
    <row r="196" spans="1:5">
      <c r="A196" s="1" t="s">
        <v>737</v>
      </c>
      <c r="B196" s="3">
        <f t="shared" si="4"/>
        <v>0.10306101446405153</v>
      </c>
      <c r="C196" s="3">
        <v>2.0003293959688404E-2</v>
      </c>
      <c r="D196" s="3">
        <v>0.27150000000000002</v>
      </c>
      <c r="E196" s="3">
        <v>4.7761014464051524E-2</v>
      </c>
    </row>
    <row r="197" spans="1:5">
      <c r="A197" s="1" t="s">
        <v>301</v>
      </c>
      <c r="B197" s="3">
        <f t="shared" si="4"/>
        <v>6.5066816753705153E-2</v>
      </c>
      <c r="C197" s="3">
        <v>7.2151867346079935E-3</v>
      </c>
      <c r="D197" s="3">
        <v>0.30859999999999999</v>
      </c>
      <c r="E197" s="3">
        <v>9.7668167537051515E-3</v>
      </c>
    </row>
    <row r="198" spans="1:5">
      <c r="A198" s="1" t="s">
        <v>738</v>
      </c>
      <c r="B198" s="3">
        <f t="shared" si="4"/>
        <v>5.5300000000000002E-2</v>
      </c>
      <c r="C198" s="3">
        <v>0</v>
      </c>
      <c r="D198" s="3">
        <v>0.25</v>
      </c>
      <c r="E198" s="3">
        <v>0</v>
      </c>
    </row>
    <row r="199" spans="1:5">
      <c r="A199" s="1" t="s">
        <v>739</v>
      </c>
      <c r="B199" s="3">
        <f t="shared" si="4"/>
        <v>6.6799442653654423E-2</v>
      </c>
      <c r="C199" s="3">
        <v>8.2343942576401426E-3</v>
      </c>
      <c r="D199" s="3">
        <v>0.22294096728054036</v>
      </c>
      <c r="E199" s="3">
        <v>1.1499442653654421E-2</v>
      </c>
    </row>
    <row r="200" spans="1:5">
      <c r="A200" s="1" t="s">
        <v>740</v>
      </c>
      <c r="B200" s="3">
        <f t="shared" si="4"/>
        <v>8.1009166095167506E-2</v>
      </c>
      <c r="C200" s="3">
        <v>9.2733400523157868E-3</v>
      </c>
      <c r="D200" s="3">
        <v>0.26788870471142334</v>
      </c>
      <c r="E200" s="3">
        <v>2.5709166095167504E-2</v>
      </c>
    </row>
    <row r="201" spans="1:5">
      <c r="A201" s="1" t="s">
        <v>432</v>
      </c>
      <c r="B201" s="3">
        <f t="shared" si="4"/>
        <v>7.004617267480448E-2</v>
      </c>
      <c r="C201" s="3">
        <v>7.8425317716042334E-3</v>
      </c>
      <c r="D201" s="3">
        <v>0.26650000000000001</v>
      </c>
      <c r="E201" s="3">
        <v>1.4746172674804476E-2</v>
      </c>
    </row>
    <row r="202" spans="1:5">
      <c r="A202" s="1" t="s">
        <v>367</v>
      </c>
      <c r="B202" s="341">
        <f>B1</f>
        <v>5.5300000000000002E-2</v>
      </c>
      <c r="C202" s="3">
        <v>0</v>
      </c>
      <c r="D202" s="3">
        <v>0.25</v>
      </c>
      <c r="E202" s="3">
        <v>0</v>
      </c>
    </row>
    <row r="204" spans="1:5">
      <c r="A204" s="1" t="s">
        <v>495</v>
      </c>
      <c r="B204" s="3">
        <f>B202+E204</f>
        <v>6.9599999999999995E-2</v>
      </c>
      <c r="C204" s="3">
        <v>1.1599999999999999E-2</v>
      </c>
      <c r="D204" s="3">
        <v>0.254</v>
      </c>
      <c r="E204" s="3">
        <v>1.43E-2</v>
      </c>
    </row>
  </sheetData>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3"/>
  <sheetViews>
    <sheetView topLeftCell="A43" workbookViewId="0">
      <selection activeCell="N32" sqref="N32"/>
    </sheetView>
  </sheetViews>
  <sheetFormatPr defaultColWidth="11" defaultRowHeight="11.4"/>
  <sheetData>
    <row r="1" spans="1:10" ht="17.399999999999999">
      <c r="A1" s="6" t="s">
        <v>214</v>
      </c>
    </row>
    <row r="2" spans="1:10" ht="17.399999999999999">
      <c r="A2" s="6" t="s">
        <v>215</v>
      </c>
    </row>
    <row r="3" spans="1:10" s="130" customFormat="1" ht="16.8" thickBot="1">
      <c r="A3" s="129" t="s">
        <v>216</v>
      </c>
    </row>
    <row r="4" spans="1:10" s="131" customFormat="1" ht="13.8" thickBot="1">
      <c r="A4" s="8" t="s">
        <v>217</v>
      </c>
      <c r="B4" s="8"/>
      <c r="C4" s="237">
        <f>'Cost of capital worksheet'!B24</f>
        <v>2</v>
      </c>
      <c r="D4" s="8"/>
      <c r="E4" s="8"/>
      <c r="F4" s="8"/>
      <c r="G4" s="8"/>
      <c r="H4" s="8"/>
      <c r="I4" s="8"/>
      <c r="J4" s="8"/>
    </row>
    <row r="5" spans="1:10" s="131" customFormat="1" ht="13.8" thickBot="1">
      <c r="A5" s="8" t="s">
        <v>218</v>
      </c>
      <c r="B5" s="8"/>
      <c r="C5" s="8"/>
      <c r="D5" s="8"/>
      <c r="E5" s="114"/>
      <c r="F5" s="121">
        <f>IF('Input sheet'!B14="Yes",'Input sheet'!B9+'Operating lease converter'!F32,'Input sheet'!B9)</f>
        <v>4647</v>
      </c>
      <c r="G5" s="8" t="s">
        <v>219</v>
      </c>
      <c r="H5" s="8"/>
      <c r="I5" s="8"/>
      <c r="J5" s="8"/>
    </row>
    <row r="6" spans="1:10" s="131" customFormat="1" ht="13.8" thickBot="1">
      <c r="A6" s="8" t="s">
        <v>220</v>
      </c>
      <c r="B6" s="8"/>
      <c r="C6" s="8"/>
      <c r="D6" s="8"/>
      <c r="E6" s="8"/>
      <c r="F6" s="206">
        <f>IF('Input sheet'!B14="Yes",'Cost of capital worksheet'!B19+'Operating lease converter'!C28*'Operating lease converter'!C15,'Cost of capital worksheet'!B19)</f>
        <v>950</v>
      </c>
      <c r="G6" s="8" t="s">
        <v>221</v>
      </c>
      <c r="H6" s="8"/>
      <c r="I6" s="8"/>
      <c r="J6" s="8"/>
    </row>
    <row r="7" spans="1:10" s="131" customFormat="1" ht="13.8" thickBot="1">
      <c r="A7" s="8" t="s">
        <v>236</v>
      </c>
      <c r="B7" s="8"/>
      <c r="C7" s="8"/>
      <c r="D7" s="8"/>
      <c r="E7" s="8"/>
      <c r="F7" s="139">
        <f>'Input sheet'!B28</f>
        <v>6.2311881188118701E-2</v>
      </c>
      <c r="G7" s="8"/>
      <c r="H7" s="8"/>
      <c r="I7" s="8"/>
      <c r="J7" s="8"/>
    </row>
    <row r="8" spans="1:10" s="131" customFormat="1" ht="13.8" thickBot="1">
      <c r="A8" s="17" t="s">
        <v>124</v>
      </c>
      <c r="B8" s="8"/>
      <c r="C8" s="8"/>
      <c r="D8" s="8"/>
      <c r="E8" s="8"/>
      <c r="F8" s="114"/>
      <c r="G8" s="8"/>
      <c r="H8" s="8"/>
      <c r="I8" s="8"/>
      <c r="J8" s="8"/>
    </row>
    <row r="9" spans="1:10" s="131" customFormat="1" ht="13.8" thickBot="1">
      <c r="A9" s="8" t="s">
        <v>222</v>
      </c>
      <c r="B9" s="8"/>
      <c r="C9" s="8"/>
      <c r="D9" s="140">
        <f>IF(F6=0,1000000,IF(F5&lt;0,-100000,F5/F6))</f>
        <v>4.891578947368421</v>
      </c>
      <c r="E9" s="8"/>
      <c r="F9" s="114"/>
      <c r="G9" s="8"/>
      <c r="H9" s="8"/>
      <c r="I9" s="8"/>
      <c r="J9" s="8"/>
    </row>
    <row r="10" spans="1:10" s="131" customFormat="1" ht="13.8" thickBot="1">
      <c r="A10" s="8" t="s">
        <v>223</v>
      </c>
      <c r="D10" s="141" t="str">
        <f>IF(C4=1,VLOOKUP(D9,A19:D33,3),(IF(C4=2,VLOOKUP(D9,A38:D52,3),VLOOKUP(D9,F19:I33,3))))</f>
        <v>A3/A-</v>
      </c>
      <c r="F10" s="16" t="s">
        <v>224</v>
      </c>
    </row>
    <row r="11" spans="1:10" s="131" customFormat="1" ht="13.8" thickBot="1">
      <c r="A11" s="8" t="s">
        <v>473</v>
      </c>
      <c r="D11" s="142">
        <f>IF(C4=1,VLOOKUP(D9,A19:D33,4),(IF(C4=2,VLOOKUP(D9,A38:D52,4),VLOOKUP(D9,F19:I33,4))))</f>
        <v>1.5625E-2</v>
      </c>
      <c r="F11" s="16" t="s">
        <v>225</v>
      </c>
    </row>
    <row r="12" spans="1:10" s="131" customFormat="1" ht="13.8" thickBot="1">
      <c r="A12" s="8" t="s">
        <v>474</v>
      </c>
      <c r="D12" s="142">
        <f>VLOOKUP('Input sheet'!B5,'Country equity risk premiums'!A5:C179,3)</f>
        <v>4.0616212479677498E-2</v>
      </c>
      <c r="F12" s="16"/>
    </row>
    <row r="13" spans="1:10" s="8" customFormat="1" ht="13.8" thickBot="1">
      <c r="A13" s="8" t="s">
        <v>226</v>
      </c>
      <c r="D13" s="143">
        <f>F7+D11+D12</f>
        <v>0.11855309366779621</v>
      </c>
    </row>
    <row r="14" spans="1:10" s="8" customFormat="1" ht="13.2">
      <c r="D14" s="133"/>
    </row>
    <row r="15" spans="1:10" s="15" customFormat="1" ht="13.8">
      <c r="A15" s="15" t="s">
        <v>227</v>
      </c>
      <c r="D15" s="134"/>
    </row>
    <row r="16" spans="1:10" s="131" customFormat="1" ht="13.2">
      <c r="A16" s="17" t="s">
        <v>228</v>
      </c>
      <c r="F16"/>
      <c r="G16"/>
      <c r="H16"/>
      <c r="I16"/>
    </row>
    <row r="17" spans="1:10" s="131" customFormat="1" ht="13.2">
      <c r="A17" s="135" t="s">
        <v>229</v>
      </c>
      <c r="B17" s="135"/>
      <c r="C17" s="136"/>
      <c r="D17" s="136"/>
      <c r="F17"/>
      <c r="G17"/>
      <c r="H17"/>
      <c r="I17"/>
      <c r="J17" s="8"/>
    </row>
    <row r="18" spans="1:10" s="131" customFormat="1" ht="13.2">
      <c r="A18" s="119" t="s">
        <v>230</v>
      </c>
      <c r="B18" s="119" t="s">
        <v>231</v>
      </c>
      <c r="C18" s="119" t="s">
        <v>232</v>
      </c>
      <c r="D18" s="119" t="s">
        <v>233</v>
      </c>
      <c r="F18"/>
      <c r="G18"/>
      <c r="H18"/>
      <c r="I18"/>
    </row>
    <row r="19" spans="1:10" s="131" customFormat="1" ht="13.8">
      <c r="A19" s="30">
        <v>-100000</v>
      </c>
      <c r="B19" s="30">
        <v>0.19999900000000001</v>
      </c>
      <c r="C19" s="235" t="s">
        <v>457</v>
      </c>
      <c r="D19" s="315">
        <v>0.19384615384615386</v>
      </c>
      <c r="F19"/>
      <c r="G19"/>
      <c r="H19"/>
      <c r="I19"/>
    </row>
    <row r="20" spans="1:10" s="131" customFormat="1" ht="13.8">
      <c r="A20" s="30">
        <v>0.2</v>
      </c>
      <c r="B20" s="30">
        <v>0.64999899999999999</v>
      </c>
      <c r="C20" s="235" t="s">
        <v>458</v>
      </c>
      <c r="D20" s="315">
        <v>0.14538461538461536</v>
      </c>
      <c r="F20"/>
      <c r="G20"/>
      <c r="H20"/>
      <c r="I20"/>
    </row>
    <row r="21" spans="1:10" s="131" customFormat="1" ht="13.8">
      <c r="A21" s="30">
        <v>0.65</v>
      </c>
      <c r="B21" s="30">
        <v>0.79999900000000002</v>
      </c>
      <c r="C21" s="235" t="s">
        <v>459</v>
      </c>
      <c r="D21" s="315">
        <v>0.11076923076923077</v>
      </c>
      <c r="F21"/>
      <c r="G21"/>
      <c r="H21"/>
      <c r="I21"/>
    </row>
    <row r="22" spans="1:10" s="131" customFormat="1" ht="13.8">
      <c r="A22" s="30">
        <v>0.8</v>
      </c>
      <c r="B22" s="30">
        <v>1.2499990000000001</v>
      </c>
      <c r="C22" s="235" t="s">
        <v>460</v>
      </c>
      <c r="D22" s="315">
        <v>0.09</v>
      </c>
      <c r="F22"/>
      <c r="G22"/>
      <c r="H22"/>
      <c r="I22"/>
    </row>
    <row r="23" spans="1:10" s="131" customFormat="1" ht="13.8">
      <c r="A23" s="30">
        <v>1.25</v>
      </c>
      <c r="B23" s="30">
        <v>1.4999990000000001</v>
      </c>
      <c r="C23" s="235" t="s">
        <v>461</v>
      </c>
      <c r="D23" s="315">
        <v>6.6000000000000003E-2</v>
      </c>
      <c r="F23"/>
      <c r="G23"/>
      <c r="H23"/>
      <c r="I23"/>
    </row>
    <row r="24" spans="1:10" s="131" customFormat="1" ht="13.8">
      <c r="A24" s="30">
        <v>1.5</v>
      </c>
      <c r="B24" s="30">
        <v>1.7499990000000001</v>
      </c>
      <c r="C24" s="235" t="s">
        <v>462</v>
      </c>
      <c r="D24" s="315">
        <v>5.3999999999999999E-2</v>
      </c>
      <c r="F24"/>
      <c r="G24"/>
      <c r="H24"/>
      <c r="I24"/>
    </row>
    <row r="25" spans="1:10" s="131" customFormat="1" ht="13.8">
      <c r="A25" s="30">
        <v>1.75</v>
      </c>
      <c r="B25" s="30">
        <v>1.9999990000000001</v>
      </c>
      <c r="C25" s="235" t="s">
        <v>463</v>
      </c>
      <c r="D25" s="315">
        <v>4.4999999999999998E-2</v>
      </c>
      <c r="F25"/>
      <c r="G25"/>
      <c r="H25"/>
      <c r="I25"/>
    </row>
    <row r="26" spans="1:10" s="131" customFormat="1" ht="13.8">
      <c r="A26" s="30">
        <v>2</v>
      </c>
      <c r="B26" s="30">
        <v>2.2499999000000002</v>
      </c>
      <c r="C26" s="235" t="s">
        <v>464</v>
      </c>
      <c r="D26" s="315">
        <v>3.5999999999999997E-2</v>
      </c>
      <c r="F26"/>
      <c r="G26"/>
      <c r="H26"/>
      <c r="I26"/>
    </row>
    <row r="27" spans="1:10" s="131" customFormat="1" ht="13.8">
      <c r="A27" s="30">
        <v>2.25</v>
      </c>
      <c r="B27" s="30">
        <v>2.4999899999999999</v>
      </c>
      <c r="C27" s="235" t="s">
        <v>465</v>
      </c>
      <c r="D27" s="315">
        <v>0.03</v>
      </c>
      <c r="F27"/>
      <c r="G27"/>
      <c r="H27"/>
      <c r="I27"/>
    </row>
    <row r="28" spans="1:10" s="131" customFormat="1" ht="13.8">
      <c r="A28" s="30">
        <v>2.5</v>
      </c>
      <c r="B28" s="30">
        <v>2.9999989999999999</v>
      </c>
      <c r="C28" s="235" t="s">
        <v>466</v>
      </c>
      <c r="D28" s="315">
        <v>0.02</v>
      </c>
      <c r="F28"/>
      <c r="G28"/>
      <c r="H28"/>
      <c r="I28"/>
    </row>
    <row r="29" spans="1:10" s="131" customFormat="1" ht="13.8">
      <c r="A29" s="30">
        <v>3</v>
      </c>
      <c r="B29" s="30">
        <v>4.2499989999999999</v>
      </c>
      <c r="C29" s="235" t="s">
        <v>467</v>
      </c>
      <c r="D29" s="315">
        <v>1.5625E-2</v>
      </c>
      <c r="F29"/>
      <c r="G29"/>
      <c r="H29"/>
      <c r="I29"/>
    </row>
    <row r="30" spans="1:10" s="131" customFormat="1" ht="13.8">
      <c r="A30" s="30">
        <v>4.25</v>
      </c>
      <c r="B30" s="30">
        <v>5.4999989999999999</v>
      </c>
      <c r="C30" s="235" t="s">
        <v>468</v>
      </c>
      <c r="D30" s="315">
        <v>1.3749999999999998E-2</v>
      </c>
      <c r="F30"/>
      <c r="G30"/>
      <c r="H30"/>
      <c r="I30"/>
    </row>
    <row r="31" spans="1:10" s="131" customFormat="1" ht="13.8">
      <c r="A31" s="30">
        <v>5.5</v>
      </c>
      <c r="B31" s="30">
        <v>6.4999989999999999</v>
      </c>
      <c r="C31" s="235" t="s">
        <v>469</v>
      </c>
      <c r="D31" s="315">
        <v>1.2500000000000001E-2</v>
      </c>
      <c r="F31"/>
      <c r="G31"/>
      <c r="H31"/>
      <c r="I31"/>
    </row>
    <row r="32" spans="1:10" s="131" customFormat="1" ht="13.8">
      <c r="A32" s="30">
        <v>6.5</v>
      </c>
      <c r="B32" s="30">
        <v>8.4999990000000007</v>
      </c>
      <c r="C32" s="235" t="s">
        <v>470</v>
      </c>
      <c r="D32" s="315">
        <v>0.01</v>
      </c>
      <c r="F32"/>
      <c r="G32"/>
      <c r="H32"/>
      <c r="I32"/>
    </row>
    <row r="33" spans="1:9" s="131" customFormat="1" ht="13.8">
      <c r="A33" s="137">
        <v>8.5</v>
      </c>
      <c r="B33" s="30">
        <v>100000</v>
      </c>
      <c r="C33" s="235" t="s">
        <v>471</v>
      </c>
      <c r="D33" s="254">
        <v>7.4999999999999997E-3</v>
      </c>
      <c r="F33"/>
      <c r="G33"/>
      <c r="H33"/>
      <c r="I33"/>
    </row>
    <row r="34" spans="1:9" s="131" customFormat="1" ht="13.2"/>
    <row r="35" spans="1:9" s="131" customFormat="1" ht="13.2">
      <c r="A35" s="17" t="s">
        <v>235</v>
      </c>
    </row>
    <row r="36" spans="1:9" s="131" customFormat="1" ht="13.2">
      <c r="A36" s="135" t="s">
        <v>229</v>
      </c>
      <c r="B36" s="138"/>
      <c r="C36" s="30"/>
      <c r="D36" s="30"/>
    </row>
    <row r="37" spans="1:9" s="131" customFormat="1" ht="13.2">
      <c r="A37" s="30" t="s">
        <v>234</v>
      </c>
      <c r="B37" s="30" t="s">
        <v>231</v>
      </c>
      <c r="C37" s="30" t="s">
        <v>232</v>
      </c>
      <c r="D37" s="30" t="s">
        <v>233</v>
      </c>
    </row>
    <row r="38" spans="1:9" s="131" customFormat="1" ht="13.8">
      <c r="A38" s="30">
        <v>-100000</v>
      </c>
      <c r="B38" s="30">
        <v>0.49999900000000003</v>
      </c>
      <c r="C38" s="235" t="s">
        <v>457</v>
      </c>
      <c r="D38" s="315">
        <f>D19</f>
        <v>0.19384615384615386</v>
      </c>
      <c r="G38" t="s">
        <v>232</v>
      </c>
      <c r="H38" t="s">
        <v>233</v>
      </c>
    </row>
    <row r="39" spans="1:9" s="131" customFormat="1" ht="13.8">
      <c r="A39" s="30">
        <v>0.5</v>
      </c>
      <c r="B39" s="30">
        <v>0.79999900000000002</v>
      </c>
      <c r="C39" s="235" t="s">
        <v>458</v>
      </c>
      <c r="D39" s="315">
        <f t="shared" ref="D39:D52" si="0">D20</f>
        <v>0.14538461538461536</v>
      </c>
      <c r="G39" t="s">
        <v>469</v>
      </c>
      <c r="H39" s="315">
        <v>1.2500000000000001E-2</v>
      </c>
    </row>
    <row r="40" spans="1:9" s="131" customFormat="1" ht="13.8">
      <c r="A40" s="30">
        <v>0.8</v>
      </c>
      <c r="B40" s="30">
        <v>1.2499990000000001</v>
      </c>
      <c r="C40" s="235" t="s">
        <v>459</v>
      </c>
      <c r="D40" s="315">
        <f t="shared" si="0"/>
        <v>0.11076923076923077</v>
      </c>
      <c r="G40" t="s">
        <v>468</v>
      </c>
      <c r="H40" s="315">
        <v>1.3749999999999998E-2</v>
      </c>
    </row>
    <row r="41" spans="1:9" s="131" customFormat="1" ht="13.8">
      <c r="A41" s="30">
        <v>1.25</v>
      </c>
      <c r="B41" s="30">
        <v>1.4999990000000001</v>
      </c>
      <c r="C41" s="235" t="s">
        <v>460</v>
      </c>
      <c r="D41" s="315">
        <f t="shared" si="0"/>
        <v>0.09</v>
      </c>
      <c r="G41" t="s">
        <v>467</v>
      </c>
      <c r="H41" s="315">
        <v>1.5625E-2</v>
      </c>
    </row>
    <row r="42" spans="1:9" s="131" customFormat="1" ht="13.8">
      <c r="A42" s="30">
        <v>1.5</v>
      </c>
      <c r="B42" s="30">
        <v>1.9999990000000001</v>
      </c>
      <c r="C42" s="235" t="s">
        <v>461</v>
      </c>
      <c r="D42" s="315">
        <f t="shared" si="0"/>
        <v>6.6000000000000003E-2</v>
      </c>
      <c r="G42" t="s">
        <v>470</v>
      </c>
      <c r="H42" s="315">
        <v>0.01</v>
      </c>
    </row>
    <row r="43" spans="1:9" s="131" customFormat="1" ht="13.8">
      <c r="A43" s="30">
        <v>2</v>
      </c>
      <c r="B43" s="30">
        <v>2.4999989999999999</v>
      </c>
      <c r="C43" s="235" t="s">
        <v>462</v>
      </c>
      <c r="D43" s="315">
        <f t="shared" si="0"/>
        <v>5.3999999999999999E-2</v>
      </c>
      <c r="G43" t="s">
        <v>471</v>
      </c>
      <c r="H43" s="254">
        <v>7.4999999999999997E-3</v>
      </c>
    </row>
    <row r="44" spans="1:9" s="131" customFormat="1" ht="13.8">
      <c r="A44" s="30">
        <v>2.5</v>
      </c>
      <c r="B44" s="30">
        <v>2.9999989999999999</v>
      </c>
      <c r="C44" s="235" t="s">
        <v>463</v>
      </c>
      <c r="D44" s="315">
        <f t="shared" si="0"/>
        <v>4.4999999999999998E-2</v>
      </c>
      <c r="G44" t="s">
        <v>463</v>
      </c>
      <c r="H44" s="315">
        <v>4.4999999999999998E-2</v>
      </c>
    </row>
    <row r="45" spans="1:9" s="131" customFormat="1" ht="13.8">
      <c r="A45" s="30">
        <v>3</v>
      </c>
      <c r="B45" s="30">
        <v>3.4999989999999999</v>
      </c>
      <c r="C45" s="235" t="s">
        <v>464</v>
      </c>
      <c r="D45" s="315">
        <f t="shared" si="0"/>
        <v>3.5999999999999997E-2</v>
      </c>
      <c r="G45" t="s">
        <v>462</v>
      </c>
      <c r="H45" s="315">
        <v>5.3999999999999999E-2</v>
      </c>
    </row>
    <row r="46" spans="1:9" s="131" customFormat="1" ht="13.8">
      <c r="A46" s="30">
        <v>3.5</v>
      </c>
      <c r="B46" s="30">
        <v>3.9999999000000002</v>
      </c>
      <c r="C46" s="235" t="s">
        <v>465</v>
      </c>
      <c r="D46" s="315">
        <f t="shared" si="0"/>
        <v>0.03</v>
      </c>
      <c r="G46" t="s">
        <v>461</v>
      </c>
      <c r="H46" s="315">
        <v>6.6000000000000003E-2</v>
      </c>
    </row>
    <row r="47" spans="1:9" s="131" customFormat="1" ht="13.8">
      <c r="A47" s="30">
        <v>4</v>
      </c>
      <c r="B47" s="30">
        <v>4.4999989999999999</v>
      </c>
      <c r="C47" s="235" t="s">
        <v>466</v>
      </c>
      <c r="D47" s="315">
        <f t="shared" si="0"/>
        <v>0.02</v>
      </c>
      <c r="G47" t="s">
        <v>465</v>
      </c>
      <c r="H47" s="315">
        <v>0.03</v>
      </c>
    </row>
    <row r="48" spans="1:9" s="131" customFormat="1" ht="13.8">
      <c r="A48" s="30">
        <v>4.5</v>
      </c>
      <c r="B48" s="30">
        <v>5.9999989999999999</v>
      </c>
      <c r="C48" s="235" t="s">
        <v>467</v>
      </c>
      <c r="D48" s="315">
        <f t="shared" si="0"/>
        <v>1.5625E-2</v>
      </c>
      <c r="G48" t="s">
        <v>464</v>
      </c>
      <c r="H48" s="315">
        <v>3.5999999999999997E-2</v>
      </c>
    </row>
    <row r="49" spans="1:10" s="131" customFormat="1" ht="13.8">
      <c r="A49" s="30">
        <v>6</v>
      </c>
      <c r="B49" s="30">
        <v>7.4999989999999999</v>
      </c>
      <c r="C49" s="235" t="s">
        <v>468</v>
      </c>
      <c r="D49" s="315">
        <f t="shared" si="0"/>
        <v>1.3749999999999998E-2</v>
      </c>
      <c r="G49" t="s">
        <v>466</v>
      </c>
      <c r="H49" s="315">
        <v>0.02</v>
      </c>
    </row>
    <row r="50" spans="1:10" s="131" customFormat="1" ht="13.8">
      <c r="A50" s="30">
        <v>7.5</v>
      </c>
      <c r="B50" s="30">
        <v>9.4999990000000007</v>
      </c>
      <c r="C50" s="235" t="s">
        <v>469</v>
      </c>
      <c r="D50" s="315">
        <f t="shared" si="0"/>
        <v>1.2500000000000001E-2</v>
      </c>
      <c r="G50" t="s">
        <v>460</v>
      </c>
      <c r="H50" s="315">
        <v>0.09</v>
      </c>
    </row>
    <row r="51" spans="1:10" ht="13.8">
      <c r="A51" s="30">
        <v>9.5</v>
      </c>
      <c r="B51" s="30">
        <v>12.499999000000001</v>
      </c>
      <c r="C51" s="235" t="s">
        <v>470</v>
      </c>
      <c r="D51" s="315">
        <f t="shared" si="0"/>
        <v>0.01</v>
      </c>
      <c r="F51" s="131"/>
      <c r="G51" t="s">
        <v>459</v>
      </c>
      <c r="H51" s="315">
        <v>0.11076923076923077</v>
      </c>
      <c r="I51" s="131"/>
      <c r="J51" s="131"/>
    </row>
    <row r="52" spans="1:10" ht="13.8">
      <c r="A52" s="30">
        <v>12.5</v>
      </c>
      <c r="B52" s="30">
        <v>100000</v>
      </c>
      <c r="C52" s="235" t="s">
        <v>471</v>
      </c>
      <c r="D52" s="315">
        <f t="shared" si="0"/>
        <v>7.4999999999999997E-3</v>
      </c>
      <c r="G52" t="s">
        <v>458</v>
      </c>
      <c r="H52" s="315">
        <v>0.14538461538461536</v>
      </c>
    </row>
    <row r="53" spans="1:10" ht="13.8">
      <c r="G53" t="s">
        <v>457</v>
      </c>
      <c r="H53" s="315">
        <v>0.19384615384615386</v>
      </c>
    </row>
  </sheetData>
  <pageMargins left="0.75" right="0.75" top="1" bottom="1" header="0.5" footer="0.5"/>
  <pageSetup orientation="portrait"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workbookViewId="0">
      <pane xSplit="1" ySplit="1" topLeftCell="B11" activePane="bottomRight" state="frozen"/>
      <selection pane="topRight" activeCell="B1" sqref="B1"/>
      <selection pane="bottomLeft" activeCell="A2" sqref="A2"/>
      <selection pane="bottomRight" activeCell="A26" sqref="A26:XFD26"/>
    </sheetView>
  </sheetViews>
  <sheetFormatPr defaultColWidth="11.5" defaultRowHeight="11.4"/>
  <cols>
    <col min="1" max="1" width="20.375" bestFit="1" customWidth="1"/>
    <col min="2" max="2" width="11.5" bestFit="1" customWidth="1"/>
    <col min="3" max="3" width="9.5" bestFit="1" customWidth="1"/>
    <col min="4" max="4" width="11.875" bestFit="1" customWidth="1"/>
    <col min="5" max="5" width="12.5" customWidth="1"/>
    <col min="6" max="6" width="10.5" bestFit="1" customWidth="1"/>
    <col min="7" max="7" width="11.5" bestFit="1" customWidth="1"/>
    <col min="8" max="8" width="22.5" bestFit="1" customWidth="1"/>
    <col min="9" max="23" width="10.875"/>
  </cols>
  <sheetData>
    <row r="1" spans="1:26" s="339" customFormat="1" ht="68.400000000000006">
      <c r="A1" s="336" t="s">
        <v>98</v>
      </c>
      <c r="B1" s="336" t="s">
        <v>175</v>
      </c>
      <c r="C1" s="337" t="s">
        <v>163</v>
      </c>
      <c r="D1" s="337" t="s">
        <v>751</v>
      </c>
      <c r="E1" s="337" t="s">
        <v>182</v>
      </c>
      <c r="F1" s="336" t="s">
        <v>164</v>
      </c>
      <c r="G1" s="336" t="s">
        <v>212</v>
      </c>
      <c r="H1" s="336" t="s">
        <v>165</v>
      </c>
      <c r="I1" s="336" t="s">
        <v>166</v>
      </c>
      <c r="J1" s="336" t="s">
        <v>167</v>
      </c>
      <c r="K1" s="336" t="s">
        <v>168</v>
      </c>
      <c r="L1" s="336" t="s">
        <v>169</v>
      </c>
      <c r="M1" s="336" t="s">
        <v>148</v>
      </c>
      <c r="N1" s="338" t="s">
        <v>101</v>
      </c>
      <c r="O1" s="336" t="s">
        <v>170</v>
      </c>
      <c r="P1" s="336" t="s">
        <v>171</v>
      </c>
      <c r="Q1" s="336" t="s">
        <v>172</v>
      </c>
      <c r="R1" s="336" t="s">
        <v>173</v>
      </c>
      <c r="S1" s="336" t="s">
        <v>174</v>
      </c>
      <c r="T1" s="336" t="s">
        <v>498</v>
      </c>
      <c r="U1" s="336" t="s">
        <v>499</v>
      </c>
      <c r="V1" s="336" t="s">
        <v>500</v>
      </c>
      <c r="W1" s="336" t="s">
        <v>501</v>
      </c>
      <c r="X1" s="336" t="s">
        <v>484</v>
      </c>
      <c r="Y1" s="336" t="s">
        <v>502</v>
      </c>
      <c r="Z1" s="336" t="s">
        <v>503</v>
      </c>
    </row>
    <row r="2" spans="1:26">
      <c r="A2" t="s">
        <v>99</v>
      </c>
      <c r="B2">
        <v>48</v>
      </c>
      <c r="C2" s="316">
        <v>0.23487315789473689</v>
      </c>
      <c r="D2" s="316">
        <v>0.11620506560024861</v>
      </c>
      <c r="E2" s="316">
        <v>0.64618384378754135</v>
      </c>
      <c r="F2" s="316">
        <v>0.34300242872656328</v>
      </c>
      <c r="G2" s="335">
        <v>0.86798131535667578</v>
      </c>
      <c r="H2" s="335">
        <v>1.2156116959064325</v>
      </c>
      <c r="I2" s="316">
        <v>9.9250457076023382E-2</v>
      </c>
      <c r="J2" s="316">
        <v>0.66442375633202</v>
      </c>
      <c r="K2" s="316">
        <v>5.4300000000000001E-2</v>
      </c>
      <c r="L2" s="316">
        <v>0.41540576971360083</v>
      </c>
      <c r="M2" s="316">
        <v>7.4938644531517579E-2</v>
      </c>
      <c r="N2" s="335">
        <v>5.7769236469283332</v>
      </c>
      <c r="O2" s="335">
        <v>1.5708055487830423</v>
      </c>
      <c r="P2" s="335">
        <v>7.858881553563366</v>
      </c>
      <c r="Q2" s="335">
        <v>12.662332027155431</v>
      </c>
      <c r="R2" s="335">
        <v>5.5369188424661777</v>
      </c>
      <c r="S2" s="335">
        <v>10.813885381011287</v>
      </c>
      <c r="T2" s="316">
        <v>7.2428609455843637E-3</v>
      </c>
      <c r="U2" s="316">
        <v>1.9223860472935356E-2</v>
      </c>
      <c r="V2" s="316">
        <v>1.1179700901227441E-2</v>
      </c>
      <c r="W2" s="316">
        <v>0.15177538352649336</v>
      </c>
      <c r="X2" s="316">
        <v>0.22549358198122543</v>
      </c>
      <c r="Y2" s="316">
        <v>0.99116197925653293</v>
      </c>
      <c r="Z2" s="316">
        <v>0.99116197925653293</v>
      </c>
    </row>
    <row r="3" spans="1:26">
      <c r="A3" t="s">
        <v>512</v>
      </c>
      <c r="B3">
        <v>85</v>
      </c>
      <c r="C3" s="316">
        <v>1.6258333333333333E-2</v>
      </c>
      <c r="D3" s="316">
        <v>0.1194118065975952</v>
      </c>
      <c r="E3" s="316">
        <v>0.39766055439684328</v>
      </c>
      <c r="F3" s="316">
        <v>0.2494240878926002</v>
      </c>
      <c r="G3" s="335">
        <v>1.09222603297197</v>
      </c>
      <c r="H3" s="335">
        <v>1.2398163663663664</v>
      </c>
      <c r="I3" s="316">
        <v>0.10069305543543544</v>
      </c>
      <c r="J3" s="316">
        <v>0.40771427541654326</v>
      </c>
      <c r="K3" s="316">
        <v>4.5600000000000002E-2</v>
      </c>
      <c r="L3" s="316">
        <v>0.20251551096914536</v>
      </c>
      <c r="M3" s="316">
        <v>8.7227180338028523E-2</v>
      </c>
      <c r="N3" s="335">
        <v>3.7185319212822536</v>
      </c>
      <c r="O3" s="335">
        <v>1.8413416376871194</v>
      </c>
      <c r="P3" s="335">
        <v>12.064660358059035</v>
      </c>
      <c r="Q3" s="335">
        <v>15.295896176024389</v>
      </c>
      <c r="R3" s="335">
        <v>5.7475757914126859</v>
      </c>
      <c r="S3" s="335">
        <v>33.828154053359732</v>
      </c>
      <c r="T3" s="316">
        <v>0.33738357217577608</v>
      </c>
      <c r="U3" s="316">
        <v>2.6564253393694292E-2</v>
      </c>
      <c r="V3" s="316">
        <v>5.6488569311164777E-2</v>
      </c>
      <c r="W3" s="316">
        <v>0.77741811773724379</v>
      </c>
      <c r="X3" s="316">
        <v>0.32005422802274547</v>
      </c>
      <c r="Y3" s="316">
        <v>0.38062680365900098</v>
      </c>
      <c r="Z3" s="316">
        <v>0.38062680365900103</v>
      </c>
    </row>
    <row r="4" spans="1:26">
      <c r="A4" t="s">
        <v>513</v>
      </c>
      <c r="B4">
        <v>18</v>
      </c>
      <c r="C4" s="316">
        <v>6.6524999999999987E-2</v>
      </c>
      <c r="D4" s="316">
        <v>0.10710601095342973</v>
      </c>
      <c r="E4" s="316">
        <v>0.13641883593623133</v>
      </c>
      <c r="F4" s="316">
        <v>0.16160453710501679</v>
      </c>
      <c r="G4" s="335">
        <v>0.63449012760872248</v>
      </c>
      <c r="H4" s="335">
        <v>1.021926388888889</v>
      </c>
      <c r="I4" s="316">
        <v>8.7706812777777782E-2</v>
      </c>
      <c r="J4" s="316">
        <v>0.34188829892686035</v>
      </c>
      <c r="K4" s="316">
        <v>4.1800000000000004E-2</v>
      </c>
      <c r="L4" s="316">
        <v>0.47319846454640696</v>
      </c>
      <c r="M4" s="316">
        <v>6.1038855504604007E-2</v>
      </c>
      <c r="N4" s="335">
        <v>1.4020206803369184</v>
      </c>
      <c r="O4" s="335">
        <v>1.2547742675171067</v>
      </c>
      <c r="P4" s="335">
        <v>6.1822542661753914</v>
      </c>
      <c r="Q4" s="335">
        <v>12.067713303340739</v>
      </c>
      <c r="R4" s="335">
        <v>2.4575679253659524</v>
      </c>
      <c r="S4" s="335">
        <v>7.9852749879249805</v>
      </c>
      <c r="T4" s="316">
        <v>1.9600874259440144E-2</v>
      </c>
      <c r="U4" s="316">
        <v>0.11077364684284319</v>
      </c>
      <c r="V4" s="316">
        <v>5.7794582613879007E-2</v>
      </c>
      <c r="W4" s="316">
        <v>0.62765622594434745</v>
      </c>
      <c r="X4" s="316">
        <v>0.27622678326511041</v>
      </c>
      <c r="Y4" s="316">
        <v>0.14675786021016568</v>
      </c>
      <c r="Z4" s="316">
        <v>0.14675786021016568</v>
      </c>
    </row>
    <row r="5" spans="1:26">
      <c r="A5" t="s">
        <v>514</v>
      </c>
      <c r="B5">
        <v>50</v>
      </c>
      <c r="C5" s="316">
        <v>0.20058720000000002</v>
      </c>
      <c r="D5" s="316">
        <v>0.10089500549797317</v>
      </c>
      <c r="E5" s="316">
        <v>0.14253683335540257</v>
      </c>
      <c r="F5" s="316">
        <v>0.3452823665999909</v>
      </c>
      <c r="G5" s="335">
        <v>0.76317292413268889</v>
      </c>
      <c r="H5" s="335">
        <v>0.93043000000000009</v>
      </c>
      <c r="I5" s="316">
        <v>8.2253628000000009E-2</v>
      </c>
      <c r="J5" s="316">
        <v>0.48889660856608169</v>
      </c>
      <c r="K5" s="316">
        <v>4.5600000000000002E-2</v>
      </c>
      <c r="L5" s="316">
        <v>0.25925695195135717</v>
      </c>
      <c r="M5" s="316">
        <v>6.9795390874515612E-2</v>
      </c>
      <c r="N5" s="335">
        <v>1.618975394201646</v>
      </c>
      <c r="O5" s="335">
        <v>1.6566633639765151</v>
      </c>
      <c r="P5" s="335">
        <v>10.08186616284647</v>
      </c>
      <c r="Q5" s="335">
        <v>16.038471607508626</v>
      </c>
      <c r="R5" s="335">
        <v>3.0931247683981979</v>
      </c>
      <c r="S5" s="335">
        <v>55.051965489265299</v>
      </c>
      <c r="T5" s="316">
        <v>0.2565329279990175</v>
      </c>
      <c r="U5" s="316">
        <v>2.626162020808067E-2</v>
      </c>
      <c r="V5" s="316">
        <v>1.7043407983165389E-2</v>
      </c>
      <c r="W5" s="316">
        <v>0.70228446497100638</v>
      </c>
      <c r="X5" s="316">
        <v>0.11320957593047598</v>
      </c>
      <c r="Y5" s="316">
        <v>0.59701261910893633</v>
      </c>
      <c r="Z5" s="316">
        <v>0.59701261910893633</v>
      </c>
    </row>
    <row r="6" spans="1:26">
      <c r="A6" t="s">
        <v>515</v>
      </c>
      <c r="B6">
        <v>14</v>
      </c>
      <c r="C6" s="316">
        <v>0.16507666666666665</v>
      </c>
      <c r="D6" s="316">
        <v>4.2063622438163618E-2</v>
      </c>
      <c r="E6" s="316">
        <v>3.6331887293582985E-2</v>
      </c>
      <c r="F6" s="316">
        <v>0.53335854722807086</v>
      </c>
      <c r="G6" s="335">
        <v>0.34187109553097822</v>
      </c>
      <c r="H6" s="335">
        <v>0.79288148148148163</v>
      </c>
      <c r="I6" s="316">
        <v>7.4055736296296304E-2</v>
      </c>
      <c r="J6" s="316">
        <v>0.38244580488334956</v>
      </c>
      <c r="K6" s="316">
        <v>4.1800000000000004E-2</v>
      </c>
      <c r="L6" s="316">
        <v>0.66151767737941136</v>
      </c>
      <c r="M6" s="316">
        <v>4.5805136810792749E-2</v>
      </c>
      <c r="N6" s="335">
        <v>0.90150932032826592</v>
      </c>
      <c r="O6" s="335">
        <v>1.1783008789688456</v>
      </c>
      <c r="P6" s="335">
        <v>10.5749546875523</v>
      </c>
      <c r="Q6" s="335">
        <v>27.651868675272585</v>
      </c>
      <c r="R6" s="335">
        <v>1.6348951976061001</v>
      </c>
      <c r="S6" s="335">
        <v>17.747556677176725</v>
      </c>
      <c r="T6" s="316">
        <v>-6.6520709615114484E-2</v>
      </c>
      <c r="U6" s="316">
        <v>0.1093671622167674</v>
      </c>
      <c r="V6" s="316">
        <v>4.5202437052368788E-2</v>
      </c>
      <c r="W6" s="316">
        <v>1.1013699842562434</v>
      </c>
      <c r="X6" s="316">
        <v>7.3208822998508435E-2</v>
      </c>
      <c r="Y6" s="316">
        <v>0.80582866022894817</v>
      </c>
      <c r="Z6" s="316">
        <v>0.80582866022894817</v>
      </c>
    </row>
    <row r="7" spans="1:26">
      <c r="A7" t="s">
        <v>516</v>
      </c>
      <c r="B7">
        <v>52</v>
      </c>
      <c r="C7" s="316">
        <v>9.5649999999999999E-2</v>
      </c>
      <c r="D7" s="316">
        <v>8.8754993286716544E-2</v>
      </c>
      <c r="E7" s="316">
        <v>0.20626772348829212</v>
      </c>
      <c r="F7" s="316">
        <v>0.25519671595161109</v>
      </c>
      <c r="G7" s="335">
        <v>0.96788506434122124</v>
      </c>
      <c r="H7" s="335">
        <v>1.1667673333333335</v>
      </c>
      <c r="I7" s="316">
        <v>9.6339333066666685E-2</v>
      </c>
      <c r="J7" s="316">
        <v>0.44280557931784481</v>
      </c>
      <c r="K7" s="316">
        <v>4.5600000000000002E-2</v>
      </c>
      <c r="L7" s="316">
        <v>0.28546358007764622</v>
      </c>
      <c r="M7" s="316">
        <v>7.8600816585818759E-2</v>
      </c>
      <c r="N7" s="335">
        <v>2.4957871007099723</v>
      </c>
      <c r="O7" s="335">
        <v>0.66907774105406637</v>
      </c>
      <c r="P7" s="335">
        <v>5.2034914359781039</v>
      </c>
      <c r="Q7" s="335">
        <v>7.4140232823368049</v>
      </c>
      <c r="R7" s="335">
        <v>1.9089624036494788</v>
      </c>
      <c r="S7" s="335">
        <v>18.917248196090494</v>
      </c>
      <c r="T7" s="316">
        <v>0.11251849417366115</v>
      </c>
      <c r="U7" s="316">
        <v>4.388611442164219E-2</v>
      </c>
      <c r="V7" s="316">
        <v>3.6745540574836415E-2</v>
      </c>
      <c r="W7" s="316">
        <v>0.68444839760943443</v>
      </c>
      <c r="X7" s="316">
        <v>0.20401246016487287</v>
      </c>
      <c r="Y7" s="316">
        <v>0.16704479077602918</v>
      </c>
      <c r="Z7" s="316">
        <v>0.16704479077602918</v>
      </c>
    </row>
    <row r="8" spans="1:26">
      <c r="A8" t="s">
        <v>517</v>
      </c>
      <c r="B8">
        <v>10</v>
      </c>
      <c r="C8" s="316">
        <v>4.938625E-2</v>
      </c>
      <c r="D8" s="316">
        <v>0</v>
      </c>
      <c r="E8" s="316">
        <v>-6.3784281784856649E-5</v>
      </c>
      <c r="F8" s="316">
        <v>0.39833385541598648</v>
      </c>
      <c r="G8" s="335">
        <v>0.42823345075055169</v>
      </c>
      <c r="H8" s="335">
        <v>0.71343888888888884</v>
      </c>
      <c r="I8" s="316">
        <v>6.9320957777777775E-2</v>
      </c>
      <c r="J8" s="316">
        <v>0.18288196726115774</v>
      </c>
      <c r="K8" s="316">
        <v>3.5799999999999998E-2</v>
      </c>
      <c r="L8" s="316">
        <v>0.67088785664560668</v>
      </c>
      <c r="M8" s="316">
        <v>4.0827707944558381E-2</v>
      </c>
      <c r="N8" s="335">
        <v>0.14247968199870314</v>
      </c>
      <c r="O8" s="335">
        <v>5.480852800538238</v>
      </c>
      <c r="P8" s="335" t="s">
        <v>100</v>
      </c>
      <c r="Q8" s="335" t="s">
        <v>100</v>
      </c>
      <c r="R8" s="335">
        <v>1.0150250933656284</v>
      </c>
      <c r="S8" s="335">
        <v>12.689864379393407</v>
      </c>
      <c r="T8" s="316" t="s">
        <v>100</v>
      </c>
      <c r="U8" s="316">
        <v>9.858106928908086E-3</v>
      </c>
      <c r="V8" s="316">
        <v>1.071180565790362E-2</v>
      </c>
      <c r="W8" s="316" t="s">
        <v>100</v>
      </c>
      <c r="X8" s="316">
        <v>8.4181173515976773E-2</v>
      </c>
      <c r="Y8" s="316">
        <v>0.34077244526348205</v>
      </c>
      <c r="Z8" s="316">
        <v>0.34077244526348205</v>
      </c>
    </row>
    <row r="9" spans="1:26">
      <c r="A9" t="s">
        <v>518</v>
      </c>
      <c r="B9">
        <v>633</v>
      </c>
      <c r="C9" s="316">
        <v>9.7713891402714997E-2</v>
      </c>
      <c r="D9" s="316">
        <v>0</v>
      </c>
      <c r="E9" s="316">
        <v>-1.3224535762015297E-4</v>
      </c>
      <c r="F9" s="316">
        <v>0.22297002219278161</v>
      </c>
      <c r="G9" s="335">
        <v>0.4043516578768579</v>
      </c>
      <c r="H9" s="335">
        <v>0.56929422896758552</v>
      </c>
      <c r="I9" s="316">
        <v>6.0729936046468092E-2</v>
      </c>
      <c r="J9" s="316">
        <v>0.20604688571762841</v>
      </c>
      <c r="K9" s="316">
        <v>3.5799999999999998E-2</v>
      </c>
      <c r="L9" s="316">
        <v>0.43346147761811155</v>
      </c>
      <c r="M9" s="316">
        <v>4.6044288906158914E-2</v>
      </c>
      <c r="N9" s="335">
        <v>0.26568756287658435</v>
      </c>
      <c r="O9" s="335">
        <v>5.2414687030448883</v>
      </c>
      <c r="P9" s="335" t="s">
        <v>100</v>
      </c>
      <c r="Q9" s="335" t="s">
        <v>100</v>
      </c>
      <c r="R9" s="335">
        <v>1.1742774403077287</v>
      </c>
      <c r="S9" s="335">
        <v>25.296598787188334</v>
      </c>
      <c r="T9" s="316" t="s">
        <v>100</v>
      </c>
      <c r="U9" s="316">
        <v>3.9918256169163141E-2</v>
      </c>
      <c r="V9" s="316">
        <v>3.9370088276600011E-2</v>
      </c>
      <c r="W9" s="316" t="s">
        <v>100</v>
      </c>
      <c r="X9" s="316">
        <v>0.11478557879942937</v>
      </c>
      <c r="Y9" s="316">
        <v>0.27207460072044903</v>
      </c>
      <c r="Z9" s="316">
        <v>0.27207460072044909</v>
      </c>
    </row>
    <row r="10" spans="1:26">
      <c r="A10" t="s">
        <v>519</v>
      </c>
      <c r="B10">
        <v>31</v>
      </c>
      <c r="C10" s="316">
        <v>7.8299999999999995E-2</v>
      </c>
      <c r="D10" s="316">
        <v>0.22385061841487794</v>
      </c>
      <c r="E10" s="316">
        <v>0.18211545057735229</v>
      </c>
      <c r="F10" s="316">
        <v>6.6289441525751225E-2</v>
      </c>
      <c r="G10" s="335">
        <v>1.0479649012287298</v>
      </c>
      <c r="H10" s="335">
        <v>1.2988324074074074</v>
      </c>
      <c r="I10" s="316">
        <v>0.10421041148148148</v>
      </c>
      <c r="J10" s="316">
        <v>0.33489795419371121</v>
      </c>
      <c r="K10" s="316">
        <v>4.1800000000000004E-2</v>
      </c>
      <c r="L10" s="316">
        <v>0.2547071524263968</v>
      </c>
      <c r="M10" s="316">
        <v>8.5652343548417775E-2</v>
      </c>
      <c r="N10" s="335">
        <v>0.83392263145333512</v>
      </c>
      <c r="O10" s="335">
        <v>3.8665618266321422</v>
      </c>
      <c r="P10" s="335">
        <v>13.579458341280555</v>
      </c>
      <c r="Q10" s="335">
        <v>17.231123895097713</v>
      </c>
      <c r="R10" s="335">
        <v>2.4827087639266345</v>
      </c>
      <c r="S10" s="335">
        <v>20.155911534473528</v>
      </c>
      <c r="T10" s="316">
        <v>0.14882008998700547</v>
      </c>
      <c r="U10" s="316">
        <v>7.3555779198070562E-2</v>
      </c>
      <c r="V10" s="316">
        <v>4.579712959512279E-2</v>
      </c>
      <c r="W10" s="316">
        <v>0.26091078527187189</v>
      </c>
      <c r="X10" s="316">
        <v>0.25341341461374739</v>
      </c>
      <c r="Y10" s="316">
        <v>0.19563603184038189</v>
      </c>
      <c r="Z10" s="316">
        <v>0.19563603184038192</v>
      </c>
    </row>
    <row r="11" spans="1:26">
      <c r="A11" t="s">
        <v>520</v>
      </c>
      <c r="B11">
        <v>37</v>
      </c>
      <c r="C11" s="316">
        <v>0.17971285714285717</v>
      </c>
      <c r="D11" s="316">
        <v>0.20759154198905067</v>
      </c>
      <c r="E11" s="316">
        <v>0.26123737913260719</v>
      </c>
      <c r="F11" s="316">
        <v>0.51108434809759584</v>
      </c>
      <c r="G11" s="335">
        <v>1.0445632745746374</v>
      </c>
      <c r="H11" s="335">
        <v>1.1772472222222226</v>
      </c>
      <c r="I11" s="316">
        <v>9.6963934444444469E-2</v>
      </c>
      <c r="J11" s="316">
        <v>0.50315959073094219</v>
      </c>
      <c r="K11" s="316">
        <v>4.5600000000000002E-2</v>
      </c>
      <c r="L11" s="316">
        <v>0.19050608798109836</v>
      </c>
      <c r="M11" s="316">
        <v>8.500702282713124E-2</v>
      </c>
      <c r="N11" s="335">
        <v>1.300387035141479</v>
      </c>
      <c r="O11" s="335">
        <v>4.5482941974610789</v>
      </c>
      <c r="P11" s="335">
        <v>18.255111437613625</v>
      </c>
      <c r="Q11" s="335">
        <v>21.718865633482338</v>
      </c>
      <c r="R11" s="335">
        <v>7.378502586812969</v>
      </c>
      <c r="S11" s="335">
        <v>35.128136035399542</v>
      </c>
      <c r="T11" s="316">
        <v>-2.5643671348550123E-2</v>
      </c>
      <c r="U11" s="316">
        <v>4.3163967625905096E-2</v>
      </c>
      <c r="V11" s="316">
        <v>4.4555515734751014E-2</v>
      </c>
      <c r="W11" s="316">
        <v>0.41714474135489499</v>
      </c>
      <c r="X11" s="316">
        <v>0.24286370374307778</v>
      </c>
      <c r="Y11" s="316">
        <v>1.1774339680471226</v>
      </c>
      <c r="Z11" s="316">
        <v>1.1774339680471226</v>
      </c>
    </row>
    <row r="12" spans="1:26">
      <c r="A12" t="s">
        <v>521</v>
      </c>
      <c r="B12">
        <v>24</v>
      </c>
      <c r="C12" s="316">
        <v>8.3272105263157883E-2</v>
      </c>
      <c r="D12" s="316">
        <v>0.20424187259804424</v>
      </c>
      <c r="E12" s="316">
        <v>0.24896896242510397</v>
      </c>
      <c r="F12" s="316">
        <v>0.12239256989819652</v>
      </c>
      <c r="G12" s="335">
        <v>0.50865466473151821</v>
      </c>
      <c r="H12" s="335">
        <v>1.0202492753623189</v>
      </c>
      <c r="I12" s="316">
        <v>8.7606856811594205E-2</v>
      </c>
      <c r="J12" s="316">
        <v>0.37288378179252196</v>
      </c>
      <c r="K12" s="316">
        <v>4.1800000000000004E-2</v>
      </c>
      <c r="L12" s="316">
        <v>0.59108653047312154</v>
      </c>
      <c r="M12" s="316">
        <v>5.4354186503505791E-2</v>
      </c>
      <c r="N12" s="335">
        <v>1.2255192302727373</v>
      </c>
      <c r="O12" s="335">
        <v>2.5611951652552665</v>
      </c>
      <c r="P12" s="335">
        <v>8.8399921602264797</v>
      </c>
      <c r="Q12" s="335">
        <v>12.288969689778817</v>
      </c>
      <c r="R12" s="335">
        <v>3.5296899511055573</v>
      </c>
      <c r="S12" s="335">
        <v>17.660453167502812</v>
      </c>
      <c r="T12" s="316">
        <v>0.21973473399551832</v>
      </c>
      <c r="U12" s="316">
        <v>2.4805848731091953E-2</v>
      </c>
      <c r="V12" s="316">
        <v>0.1532963341840001</v>
      </c>
      <c r="W12" s="316">
        <v>0.92847657587548815</v>
      </c>
      <c r="X12" s="316">
        <v>0.82322067354655104</v>
      </c>
      <c r="Y12" s="316">
        <v>0.1415087389145348</v>
      </c>
      <c r="Z12" s="316">
        <v>0.14150873891453486</v>
      </c>
    </row>
    <row r="13" spans="1:26">
      <c r="A13" t="s">
        <v>522</v>
      </c>
      <c r="B13">
        <v>38</v>
      </c>
      <c r="C13" s="316">
        <v>0.1032588</v>
      </c>
      <c r="D13" s="316">
        <v>4.0948679470830364E-3</v>
      </c>
      <c r="E13" s="316">
        <v>4.5205607087835461E-4</v>
      </c>
      <c r="F13" s="316">
        <v>0.38775922840992122</v>
      </c>
      <c r="G13" s="335">
        <v>0.45767101776631969</v>
      </c>
      <c r="H13" s="335">
        <v>1.2061323529411769</v>
      </c>
      <c r="I13" s="316">
        <v>9.8685488235294147E-2</v>
      </c>
      <c r="J13" s="316">
        <v>0.32075726639143559</v>
      </c>
      <c r="K13" s="316">
        <v>4.1800000000000004E-2</v>
      </c>
      <c r="L13" s="316">
        <v>0.74793869211886499</v>
      </c>
      <c r="M13" s="316">
        <v>4.8322671231403026E-2</v>
      </c>
      <c r="N13" s="335">
        <v>0.1946646607857298</v>
      </c>
      <c r="O13" s="335">
        <v>5.5641681153687914</v>
      </c>
      <c r="P13" s="335" t="s">
        <v>100</v>
      </c>
      <c r="Q13" s="335" t="s">
        <v>100</v>
      </c>
      <c r="R13" s="335">
        <v>1.1448869546388658</v>
      </c>
      <c r="S13" s="335">
        <v>28.787296048701453</v>
      </c>
      <c r="T13" s="316" t="s">
        <v>100</v>
      </c>
      <c r="U13" s="316">
        <v>6.542991420733478E-2</v>
      </c>
      <c r="V13" s="316">
        <v>5.8975237727260724E-2</v>
      </c>
      <c r="W13" s="316">
        <v>125.58911234891147</v>
      </c>
      <c r="X13" s="316">
        <v>0.11459834397953578</v>
      </c>
      <c r="Y13" s="316">
        <v>0.23420902972280616</v>
      </c>
      <c r="Z13" s="316">
        <v>0.23420902972280611</v>
      </c>
    </row>
    <row r="14" spans="1:26">
      <c r="A14" t="s">
        <v>523</v>
      </c>
      <c r="B14">
        <v>42</v>
      </c>
      <c r="C14" s="316">
        <v>9.4643214285714289E-2</v>
      </c>
      <c r="D14" s="316">
        <v>9.3655535102471196E-2</v>
      </c>
      <c r="E14" s="316">
        <v>0.20162369047110043</v>
      </c>
      <c r="F14" s="316">
        <v>0.31336283346065108</v>
      </c>
      <c r="G14" s="335">
        <v>0.9149343033203543</v>
      </c>
      <c r="H14" s="335">
        <v>1.0957829059829063</v>
      </c>
      <c r="I14" s="316">
        <v>9.2108661196581218E-2</v>
      </c>
      <c r="J14" s="316">
        <v>0.33399831073740011</v>
      </c>
      <c r="K14" s="316">
        <v>4.1800000000000004E-2</v>
      </c>
      <c r="L14" s="316">
        <v>0.24808833154865351</v>
      </c>
      <c r="M14" s="316">
        <v>7.7035146313191472E-2</v>
      </c>
      <c r="N14" s="335">
        <v>2.489818554866706</v>
      </c>
      <c r="O14" s="335">
        <v>1.2579318015866212</v>
      </c>
      <c r="P14" s="335">
        <v>9.593957310313348</v>
      </c>
      <c r="Q14" s="335">
        <v>13.041103345290914</v>
      </c>
      <c r="R14" s="335">
        <v>2.9400676758984026</v>
      </c>
      <c r="S14" s="335">
        <v>21.865755098041351</v>
      </c>
      <c r="T14" s="316">
        <v>0.15064280055292309</v>
      </c>
      <c r="U14" s="316">
        <v>3.1577950304821065E-2</v>
      </c>
      <c r="V14" s="316">
        <v>7.6362689263881886E-2</v>
      </c>
      <c r="W14" s="316">
        <v>1.2359147542882467</v>
      </c>
      <c r="X14" s="316">
        <v>0.19565074375862568</v>
      </c>
      <c r="Y14" s="316">
        <v>0.18216863181864973</v>
      </c>
      <c r="Z14" s="316">
        <v>0.18216863181864973</v>
      </c>
    </row>
    <row r="15" spans="1:26">
      <c r="A15" t="s">
        <v>524</v>
      </c>
      <c r="B15">
        <v>168</v>
      </c>
      <c r="C15" s="316">
        <v>8.2459487179487201E-2</v>
      </c>
      <c r="D15" s="316">
        <v>0.10563611051704229</v>
      </c>
      <c r="E15" s="316">
        <v>0.24965543580508312</v>
      </c>
      <c r="F15" s="316">
        <v>0.17972698147216654</v>
      </c>
      <c r="G15" s="335">
        <v>1.0001911265533716</v>
      </c>
      <c r="H15" s="335">
        <v>1.217834063260341</v>
      </c>
      <c r="I15" s="316">
        <v>9.9382910170316335E-2</v>
      </c>
      <c r="J15" s="316">
        <v>0.44863392862734747</v>
      </c>
      <c r="K15" s="316">
        <v>4.5600000000000002E-2</v>
      </c>
      <c r="L15" s="316">
        <v>0.26299791661483002</v>
      </c>
      <c r="M15" s="316">
        <v>8.2239940596631533E-2</v>
      </c>
      <c r="N15" s="335">
        <v>2.4705283210788562</v>
      </c>
      <c r="O15" s="335">
        <v>1.9338860078246274</v>
      </c>
      <c r="P15" s="335">
        <v>11.051456634136761</v>
      </c>
      <c r="Q15" s="335">
        <v>17.326308705780793</v>
      </c>
      <c r="R15" s="335">
        <v>3.9059289450023185</v>
      </c>
      <c r="S15" s="335">
        <v>20.601147786325676</v>
      </c>
      <c r="T15" s="316">
        <v>0.14134940579352998</v>
      </c>
      <c r="U15" s="316">
        <v>3.0961736810014229E-2</v>
      </c>
      <c r="V15" s="316">
        <v>2.6340018342675374E-2</v>
      </c>
      <c r="W15" s="316">
        <v>0.45102168662832831</v>
      </c>
      <c r="X15" s="316">
        <v>0.2010519854370493</v>
      </c>
      <c r="Y15" s="316">
        <v>0.26076236463595703</v>
      </c>
      <c r="Z15" s="316">
        <v>0.26076236463595703</v>
      </c>
    </row>
    <row r="16" spans="1:26">
      <c r="A16" t="s">
        <v>525</v>
      </c>
      <c r="B16">
        <v>14</v>
      </c>
      <c r="C16" s="316">
        <v>0.17758571428571426</v>
      </c>
      <c r="D16" s="316">
        <v>0.1841178889079714</v>
      </c>
      <c r="E16" s="316">
        <v>0.14061186752496585</v>
      </c>
      <c r="F16" s="316">
        <v>3.5533603951288774E-2</v>
      </c>
      <c r="G16" s="335">
        <v>0.761515774451065</v>
      </c>
      <c r="H16" s="335">
        <v>1.1320272727272729</v>
      </c>
      <c r="I16" s="316">
        <v>9.4268825454545471E-2</v>
      </c>
      <c r="J16" s="316">
        <v>0.26315139851739083</v>
      </c>
      <c r="K16" s="316">
        <v>4.1800000000000004E-2</v>
      </c>
      <c r="L16" s="316">
        <v>0.41416336215039434</v>
      </c>
      <c r="M16" s="316">
        <v>6.8210153161737105E-2</v>
      </c>
      <c r="N16" s="335">
        <v>0.79311531019712844</v>
      </c>
      <c r="O16" s="335">
        <v>2.963493834330174</v>
      </c>
      <c r="P16" s="335">
        <v>8.3881184563574891</v>
      </c>
      <c r="Q16" s="335">
        <v>15.659773313807497</v>
      </c>
      <c r="R16" s="335">
        <v>1.8577673570890567</v>
      </c>
      <c r="S16" s="335">
        <v>10.685156430334361</v>
      </c>
      <c r="T16" s="316">
        <v>-2.489078095879154E-3</v>
      </c>
      <c r="U16" s="316">
        <v>0.12883630761864609</v>
      </c>
      <c r="V16" s="316">
        <v>-2.3705444269231393E-2</v>
      </c>
      <c r="W16" s="316">
        <v>-9.8445277405374829E-2</v>
      </c>
      <c r="X16" s="316">
        <v>0.36400521004008479</v>
      </c>
      <c r="Y16" s="316">
        <v>0.10323953286941578</v>
      </c>
      <c r="Z16" s="316">
        <v>0.10323953286941578</v>
      </c>
    </row>
    <row r="17" spans="1:26">
      <c r="A17" t="s">
        <v>526</v>
      </c>
      <c r="B17">
        <v>39</v>
      </c>
      <c r="C17" s="316">
        <v>8.4436874999999995E-2</v>
      </c>
      <c r="D17" s="316">
        <v>0.12729514310814333</v>
      </c>
      <c r="E17" s="316">
        <v>0.19174072268168035</v>
      </c>
      <c r="F17" s="316">
        <v>0.18682561072975765</v>
      </c>
      <c r="G17" s="335">
        <v>1.1226945412373202</v>
      </c>
      <c r="H17" s="335">
        <v>1.5495339506172838</v>
      </c>
      <c r="I17" s="316">
        <v>0.11915222345679012</v>
      </c>
      <c r="J17" s="316">
        <v>0.54334844367949997</v>
      </c>
      <c r="K17" s="316">
        <v>4.5600000000000002E-2</v>
      </c>
      <c r="L17" s="316">
        <v>0.39932415433211743</v>
      </c>
      <c r="M17" s="316">
        <v>8.5228748666274334E-2</v>
      </c>
      <c r="N17" s="335">
        <v>1.6111118484114295</v>
      </c>
      <c r="O17" s="335">
        <v>1.101434304751598</v>
      </c>
      <c r="P17" s="335">
        <v>5.6155617004770688</v>
      </c>
      <c r="Q17" s="335">
        <v>8.542636886016485</v>
      </c>
      <c r="R17" s="335">
        <v>1.8022545650440824</v>
      </c>
      <c r="S17" s="335">
        <v>13.469103577042613</v>
      </c>
      <c r="T17" s="316">
        <v>0.2040130057436943</v>
      </c>
      <c r="U17" s="316">
        <v>5.5759546499482372E-2</v>
      </c>
      <c r="V17" s="316">
        <v>3.5436864325686657E-2</v>
      </c>
      <c r="W17" s="316">
        <v>0.52778894443642965</v>
      </c>
      <c r="X17" s="316">
        <v>0.29227889626673775</v>
      </c>
      <c r="Y17" s="316">
        <v>0.17890878313277644</v>
      </c>
      <c r="Z17" s="316">
        <v>0.17890878313277647</v>
      </c>
    </row>
    <row r="18" spans="1:26">
      <c r="A18" t="s">
        <v>527</v>
      </c>
      <c r="B18">
        <v>6</v>
      </c>
      <c r="C18" s="316">
        <v>-1.1599999999999997E-2</v>
      </c>
      <c r="D18" s="316">
        <v>0.13591853453139674</v>
      </c>
      <c r="E18" s="316">
        <v>0.16615880834935912</v>
      </c>
      <c r="F18" s="316">
        <v>3.9957188726364612E-2</v>
      </c>
      <c r="G18" s="335">
        <v>1.4913554180375088</v>
      </c>
      <c r="H18" s="335">
        <v>1.8173888888888889</v>
      </c>
      <c r="I18" s="316">
        <v>0.13511637777777777</v>
      </c>
      <c r="J18" s="316">
        <v>0.32600131705662116</v>
      </c>
      <c r="K18" s="316">
        <v>4.1800000000000004E-2</v>
      </c>
      <c r="L18" s="316">
        <v>0.26898138402761113</v>
      </c>
      <c r="M18" s="316">
        <v>0.10720515386757914</v>
      </c>
      <c r="N18" s="335">
        <v>1.185262233521704</v>
      </c>
      <c r="O18" s="335">
        <v>1.6543650863683661</v>
      </c>
      <c r="P18" s="335">
        <v>8.0291096849775148</v>
      </c>
      <c r="Q18" s="335">
        <v>12.11555391859188</v>
      </c>
      <c r="R18" s="335">
        <v>1.2792924407629522</v>
      </c>
      <c r="S18" s="335">
        <v>18.592151801617362</v>
      </c>
      <c r="T18" s="316">
        <v>0.22704065721117067</v>
      </c>
      <c r="U18" s="316">
        <v>4.9564498086599261E-2</v>
      </c>
      <c r="V18" s="316">
        <v>3.3138661356946313E-2</v>
      </c>
      <c r="W18" s="316">
        <v>4.4392087324088503E-2</v>
      </c>
      <c r="X18" s="316">
        <v>5.0202924484065173E-2</v>
      </c>
      <c r="Y18" s="316">
        <v>0.83114141034587652</v>
      </c>
      <c r="Z18" s="316">
        <v>0.83114141034587652</v>
      </c>
    </row>
    <row r="19" spans="1:26">
      <c r="A19" t="s">
        <v>528</v>
      </c>
      <c r="B19">
        <v>89</v>
      </c>
      <c r="C19" s="316">
        <v>6.1728367346938769E-2</v>
      </c>
      <c r="D19" s="316">
        <v>0.13648147681016079</v>
      </c>
      <c r="E19" s="316">
        <v>0.17229442204400203</v>
      </c>
      <c r="F19" s="316">
        <v>0.26473889516158366</v>
      </c>
      <c r="G19" s="335">
        <v>0.98902378999477181</v>
      </c>
      <c r="H19" s="335">
        <v>1.1702732804232803</v>
      </c>
      <c r="I19" s="316">
        <v>9.6548287513227513E-2</v>
      </c>
      <c r="J19" s="316">
        <v>0.42326856760488069</v>
      </c>
      <c r="K19" s="316">
        <v>4.5600000000000002E-2</v>
      </c>
      <c r="L19" s="316">
        <v>0.24596795123635015</v>
      </c>
      <c r="M19" s="316">
        <v>8.1212606970504017E-2</v>
      </c>
      <c r="N19" s="335">
        <v>1.3735518444158143</v>
      </c>
      <c r="O19" s="335">
        <v>2.3652355470161712</v>
      </c>
      <c r="P19" s="335">
        <v>11.352154811002768</v>
      </c>
      <c r="Q19" s="335">
        <v>16.929217438435447</v>
      </c>
      <c r="R19" s="335">
        <v>3.2188658498634783</v>
      </c>
      <c r="S19" s="335">
        <v>24.649478133099741</v>
      </c>
      <c r="T19" s="316">
        <v>0.18220309070057614</v>
      </c>
      <c r="U19" s="316">
        <v>5.4169526693468271E-2</v>
      </c>
      <c r="V19" s="316">
        <v>5.2250877424662674E-2</v>
      </c>
      <c r="W19" s="316">
        <v>0.62536815173368954</v>
      </c>
      <c r="X19" s="316">
        <v>0.16729991327312385</v>
      </c>
      <c r="Y19" s="316">
        <v>0.33328299359807717</v>
      </c>
      <c r="Z19" s="316">
        <v>0.33328299359807723</v>
      </c>
    </row>
    <row r="20" spans="1:26">
      <c r="A20" t="s">
        <v>529</v>
      </c>
      <c r="B20">
        <v>23</v>
      </c>
      <c r="C20" s="316">
        <v>-7.9585714285714287E-2</v>
      </c>
      <c r="D20" s="316">
        <v>7.9945068171415487E-2</v>
      </c>
      <c r="E20" s="316">
        <v>0.13593236024869651</v>
      </c>
      <c r="F20" s="316">
        <v>5.3182963966720585E-2</v>
      </c>
      <c r="G20" s="335">
        <v>0.96728429164799401</v>
      </c>
      <c r="H20" s="335">
        <v>1.1683761111111113</v>
      </c>
      <c r="I20" s="316">
        <v>9.6435216222222231E-2</v>
      </c>
      <c r="J20" s="316">
        <v>0.53577212233545379</v>
      </c>
      <c r="K20" s="316">
        <v>4.5600000000000002E-2</v>
      </c>
      <c r="L20" s="316">
        <v>0.40261727633360556</v>
      </c>
      <c r="M20" s="316">
        <v>7.1378242974798084E-2</v>
      </c>
      <c r="N20" s="335">
        <v>1.614422532079232</v>
      </c>
      <c r="O20" s="335">
        <v>0.74047682654665237</v>
      </c>
      <c r="P20" s="335">
        <v>3.3655484214791582</v>
      </c>
      <c r="Q20" s="335">
        <v>7.8547589235518185</v>
      </c>
      <c r="R20" s="335">
        <v>1.3847524418782557</v>
      </c>
      <c r="S20" s="335">
        <v>10.439968024961205</v>
      </c>
      <c r="T20" s="316">
        <v>3.8344973736280902E-2</v>
      </c>
      <c r="U20" s="316">
        <v>5.1464411302627952E-2</v>
      </c>
      <c r="V20" s="316">
        <v>-4.4960317733242383E-2</v>
      </c>
      <c r="W20" s="316">
        <v>-0.88114584635419912</v>
      </c>
      <c r="X20" s="316">
        <v>0.21784555655470111</v>
      </c>
      <c r="Y20" s="316">
        <v>0.11925800014227468</v>
      </c>
      <c r="Z20" s="316">
        <v>0.11925800014227472</v>
      </c>
    </row>
    <row r="21" spans="1:26">
      <c r="A21" t="s">
        <v>530</v>
      </c>
      <c r="B21">
        <v>119</v>
      </c>
      <c r="C21" s="316">
        <v>0.2722365384615385</v>
      </c>
      <c r="D21" s="316">
        <v>8.3471664199342419E-2</v>
      </c>
      <c r="E21" s="316">
        <v>0.26656474753245069</v>
      </c>
      <c r="F21" s="316">
        <v>0.38853903895238118</v>
      </c>
      <c r="G21" s="335">
        <v>1.0462592460215911</v>
      </c>
      <c r="H21" s="335">
        <v>1.2695705612829324</v>
      </c>
      <c r="I21" s="316">
        <v>0.10246640545246277</v>
      </c>
      <c r="J21" s="316">
        <v>0.41692722150292855</v>
      </c>
      <c r="K21" s="316">
        <v>4.5600000000000002E-2</v>
      </c>
      <c r="L21" s="316">
        <v>0.28152606751447029</v>
      </c>
      <c r="M21" s="316">
        <v>8.324763278208254E-2</v>
      </c>
      <c r="N21" s="335">
        <v>3.3895179177408576</v>
      </c>
      <c r="O21" s="335">
        <v>1.0137978466098212</v>
      </c>
      <c r="P21" s="335">
        <v>7.9895581013883614</v>
      </c>
      <c r="Q21" s="335">
        <v>11.679665182233364</v>
      </c>
      <c r="R21" s="335">
        <v>3.0747327203451342</v>
      </c>
      <c r="S21" s="335">
        <v>19.288495130075322</v>
      </c>
      <c r="T21" s="316">
        <v>0.12180435731581443</v>
      </c>
      <c r="U21" s="316">
        <v>1.89523768572516E-2</v>
      </c>
      <c r="V21" s="316">
        <v>3.4652938109758501E-4</v>
      </c>
      <c r="W21" s="316">
        <v>3.3430676973555028E-2</v>
      </c>
      <c r="X21" s="316">
        <v>0.16455836747209965</v>
      </c>
      <c r="Y21" s="316">
        <v>0.63365766203634732</v>
      </c>
      <c r="Z21" s="316">
        <v>0.63365766203634732</v>
      </c>
    </row>
    <row r="22" spans="1:26">
      <c r="A22" t="s">
        <v>531</v>
      </c>
      <c r="B22">
        <v>57</v>
      </c>
      <c r="C22" s="316">
        <v>2.0653703703703733E-2</v>
      </c>
      <c r="D22" s="316">
        <v>0.16344530827439291</v>
      </c>
      <c r="E22" s="316">
        <v>0.22261273626498257</v>
      </c>
      <c r="F22" s="316">
        <v>0.20806743661698687</v>
      </c>
      <c r="G22" s="335">
        <v>1.4982789281613096</v>
      </c>
      <c r="H22" s="335">
        <v>1.6798532494758911</v>
      </c>
      <c r="I22" s="316">
        <v>0.12691925366876311</v>
      </c>
      <c r="J22" s="316">
        <v>0.49870428196343347</v>
      </c>
      <c r="K22" s="316">
        <v>4.5600000000000002E-2</v>
      </c>
      <c r="L22" s="316">
        <v>0.20083517013182245</v>
      </c>
      <c r="M22" s="316">
        <v>0.10829796658370146</v>
      </c>
      <c r="N22" s="335">
        <v>1.4102520547355188</v>
      </c>
      <c r="O22" s="335">
        <v>2.0811854975069406</v>
      </c>
      <c r="P22" s="335">
        <v>9.3873426524421841</v>
      </c>
      <c r="Q22" s="335">
        <v>12.650388987543431</v>
      </c>
      <c r="R22" s="335">
        <v>5.2730995862595211</v>
      </c>
      <c r="S22" s="335">
        <v>50.939899398108381</v>
      </c>
      <c r="T22" s="316">
        <v>-8.7253488408825602E-2</v>
      </c>
      <c r="U22" s="316">
        <v>3.9610606810042498E-2</v>
      </c>
      <c r="V22" s="316">
        <v>6.441575120182382E-3</v>
      </c>
      <c r="W22" s="316">
        <v>-6.0081439075996999E-3</v>
      </c>
      <c r="X22" s="316">
        <v>0.33649569482675779</v>
      </c>
      <c r="Y22" s="316">
        <v>0.25772908056731192</v>
      </c>
      <c r="Z22" s="316">
        <v>0.25772908056731192</v>
      </c>
    </row>
    <row r="23" spans="1:26">
      <c r="A23" t="s">
        <v>532</v>
      </c>
      <c r="B23">
        <v>48</v>
      </c>
      <c r="C23" s="316">
        <v>6.2687428571428574E-2</v>
      </c>
      <c r="D23" s="316">
        <v>0.11790266553172365</v>
      </c>
      <c r="E23" s="316">
        <v>0.16866969069477702</v>
      </c>
      <c r="F23" s="316">
        <v>0.35461255436846484</v>
      </c>
      <c r="G23" s="335">
        <v>1.1495970541250109</v>
      </c>
      <c r="H23" s="335">
        <v>1.4522237037037042</v>
      </c>
      <c r="I23" s="316">
        <v>0.11335253274074078</v>
      </c>
      <c r="J23" s="316">
        <v>0.32236678277443553</v>
      </c>
      <c r="K23" s="316">
        <v>4.1800000000000004E-2</v>
      </c>
      <c r="L23" s="316">
        <v>0.31450006387468238</v>
      </c>
      <c r="M23" s="316">
        <v>8.7562730955892065E-2</v>
      </c>
      <c r="N23" s="335">
        <v>1.6114651666131532</v>
      </c>
      <c r="O23" s="335">
        <v>1.4651283498729533</v>
      </c>
      <c r="P23" s="335">
        <v>9.0717539222624861</v>
      </c>
      <c r="Q23" s="335">
        <v>12.307620825634503</v>
      </c>
      <c r="R23" s="335">
        <v>2.9521915229260043</v>
      </c>
      <c r="S23" s="335">
        <v>14.371351281498375</v>
      </c>
      <c r="T23" s="316">
        <v>0.16000244794412644</v>
      </c>
      <c r="U23" s="316">
        <v>5.3662598993982111E-2</v>
      </c>
      <c r="V23" s="316">
        <v>4.3455123291731665E-2</v>
      </c>
      <c r="W23" s="316">
        <v>0.893670612466127</v>
      </c>
      <c r="X23" s="316">
        <v>0.22716984129609993</v>
      </c>
      <c r="Y23" s="316">
        <v>0.30173918396286509</v>
      </c>
      <c r="Z23" s="316">
        <v>0.30173918396286514</v>
      </c>
    </row>
    <row r="24" spans="1:26">
      <c r="A24" t="s">
        <v>533</v>
      </c>
      <c r="B24">
        <v>23</v>
      </c>
      <c r="C24" s="316">
        <v>5.2422222222222231E-2</v>
      </c>
      <c r="D24" s="316">
        <v>0.12930341988526417</v>
      </c>
      <c r="E24" s="316">
        <v>0.10932912627449273</v>
      </c>
      <c r="F24" s="316">
        <v>0.13172947733893819</v>
      </c>
      <c r="G24" s="335">
        <v>1.1438090814341535</v>
      </c>
      <c r="H24" s="335">
        <v>1.3598321637426898</v>
      </c>
      <c r="I24" s="316">
        <v>0.10784599695906431</v>
      </c>
      <c r="J24" s="316">
        <v>0.39461086623709107</v>
      </c>
      <c r="K24" s="316">
        <v>4.1800000000000004E-2</v>
      </c>
      <c r="L24" s="316">
        <v>0.26182334979177091</v>
      </c>
      <c r="M24" s="316">
        <v>8.7817558789580974E-2</v>
      </c>
      <c r="N24" s="335">
        <v>0.90992351248652981</v>
      </c>
      <c r="O24" s="335">
        <v>2.2391273519485733</v>
      </c>
      <c r="P24" s="335">
        <v>12.278162103016561</v>
      </c>
      <c r="Q24" s="335">
        <v>17.256126846784788</v>
      </c>
      <c r="R24" s="335">
        <v>1.708588494869081</v>
      </c>
      <c r="S24" s="335">
        <v>18.639796378359534</v>
      </c>
      <c r="T24" s="316">
        <v>5.9768474286284491E-2</v>
      </c>
      <c r="U24" s="316">
        <v>5.1017433298188627E-2</v>
      </c>
      <c r="V24" s="316">
        <v>1.6723043324511966E-2</v>
      </c>
      <c r="W24" s="316">
        <v>0.15133779906109218</v>
      </c>
      <c r="X24" s="316">
        <v>9.2292876911366173E-2</v>
      </c>
      <c r="Y24" s="316">
        <v>0.24566597029425352</v>
      </c>
      <c r="Z24" s="316">
        <v>0.24566597029425352</v>
      </c>
    </row>
    <row r="25" spans="1:26">
      <c r="A25" t="s">
        <v>534</v>
      </c>
      <c r="B25">
        <v>481</v>
      </c>
      <c r="C25" s="316">
        <v>0.33894532374100733</v>
      </c>
      <c r="D25" s="316">
        <v>0.19312553018819423</v>
      </c>
      <c r="E25" s="316">
        <v>9.4970814989409139E-2</v>
      </c>
      <c r="F25" s="316">
        <v>0.49718471463119329</v>
      </c>
      <c r="G25" s="335">
        <v>1.4307835597315306</v>
      </c>
      <c r="H25" s="335">
        <v>1.5117912025827276</v>
      </c>
      <c r="I25" s="316">
        <v>0.11690275567393058</v>
      </c>
      <c r="J25" s="316">
        <v>0.68956567741970209</v>
      </c>
      <c r="K25" s="316">
        <v>5.4300000000000001E-2</v>
      </c>
      <c r="L25" s="316">
        <v>0.15912838112229047</v>
      </c>
      <c r="M25" s="316">
        <v>0.10478071273600863</v>
      </c>
      <c r="N25" s="335">
        <v>0.42153906594962343</v>
      </c>
      <c r="O25" s="335">
        <v>6.4625141821674204</v>
      </c>
      <c r="P25" s="335">
        <v>11.992411783573226</v>
      </c>
      <c r="Q25" s="335">
        <v>26.11689707099756</v>
      </c>
      <c r="R25" s="335">
        <v>6.2441401431994628</v>
      </c>
      <c r="S25" s="335">
        <v>68.566810200545461</v>
      </c>
      <c r="T25" s="316">
        <v>0.13439098807745811</v>
      </c>
      <c r="U25" s="316">
        <v>4.3174555493562E-2</v>
      </c>
      <c r="V25" s="316">
        <v>0.17932733520079708</v>
      </c>
      <c r="W25" s="316">
        <v>3.0639302211949033</v>
      </c>
      <c r="X25" s="316">
        <v>-1.5689473513952328E-2</v>
      </c>
      <c r="Y25" s="316">
        <v>1.2843543329504902E-3</v>
      </c>
      <c r="Z25" s="316">
        <v>1.2843543329504881E-3</v>
      </c>
    </row>
    <row r="26" spans="1:26">
      <c r="A26" t="s">
        <v>535</v>
      </c>
      <c r="B26">
        <v>237</v>
      </c>
      <c r="C26" s="316">
        <v>0.7066988333333335</v>
      </c>
      <c r="D26" s="316">
        <v>0.23303355862606615</v>
      </c>
      <c r="E26" s="316">
        <v>0.16791688065597959</v>
      </c>
      <c r="F26" s="316">
        <v>0.53286789529224998</v>
      </c>
      <c r="G26" s="335">
        <v>1.3790871702678402</v>
      </c>
      <c r="H26" s="335">
        <v>1.4652906120023765</v>
      </c>
      <c r="I26" s="316">
        <v>0.11413132047534165</v>
      </c>
      <c r="J26" s="316">
        <v>0.72446101025919885</v>
      </c>
      <c r="K26" s="316">
        <v>5.4300000000000001E-2</v>
      </c>
      <c r="L26" s="316">
        <v>0.12558936194039536</v>
      </c>
      <c r="M26" s="316">
        <v>0.10491226752445131</v>
      </c>
      <c r="N26" s="335">
        <v>0.70486114020112933</v>
      </c>
      <c r="O26" s="335">
        <v>4.7910074707663375</v>
      </c>
      <c r="P26" s="335">
        <v>13.458456559176875</v>
      </c>
      <c r="Q26" s="335">
        <v>20.000237538950294</v>
      </c>
      <c r="R26" s="335">
        <v>4.8543804130499124</v>
      </c>
      <c r="S26" s="335">
        <v>106.46338783487425</v>
      </c>
      <c r="T26" s="316">
        <v>0.22145364286235658</v>
      </c>
      <c r="U26" s="316">
        <v>4.5855862606634788E-2</v>
      </c>
      <c r="V26" s="316">
        <v>3.588816949122381E-5</v>
      </c>
      <c r="W26" s="316">
        <v>-3.5306793863413316E-2</v>
      </c>
      <c r="X26" s="316">
        <v>0.12547597852890091</v>
      </c>
      <c r="Y26" s="316">
        <v>0.98103411516431882</v>
      </c>
      <c r="Z26" s="316">
        <v>0.98103411516431882</v>
      </c>
    </row>
    <row r="27" spans="1:26">
      <c r="A27" t="s">
        <v>536</v>
      </c>
      <c r="B27">
        <v>35</v>
      </c>
      <c r="C27" s="316">
        <v>-4.8458823529411782E-3</v>
      </c>
      <c r="D27" s="316">
        <v>9.2063472943879704E-2</v>
      </c>
      <c r="E27" s="316">
        <v>0.13158906886062149</v>
      </c>
      <c r="F27" s="316">
        <v>0.18682040107025621</v>
      </c>
      <c r="G27" s="335">
        <v>1.1083755117525074</v>
      </c>
      <c r="H27" s="335">
        <v>1.2767152777777779</v>
      </c>
      <c r="I27" s="316">
        <v>0.10289223055555557</v>
      </c>
      <c r="J27" s="316">
        <v>0.37656284188288391</v>
      </c>
      <c r="K27" s="316">
        <v>4.1800000000000004E-2</v>
      </c>
      <c r="L27" s="316">
        <v>0.2350670255970144</v>
      </c>
      <c r="M27" s="316">
        <v>8.6075011214285291E-2</v>
      </c>
      <c r="N27" s="335">
        <v>1.4691970908237819</v>
      </c>
      <c r="O27" s="335">
        <v>2.1640231953535829</v>
      </c>
      <c r="P27" s="335">
        <v>11.59446853086558</v>
      </c>
      <c r="Q27" s="335">
        <v>22.798099707326454</v>
      </c>
      <c r="R27" s="335">
        <v>2.4058250077625245</v>
      </c>
      <c r="S27" s="335">
        <v>48.473888722971758</v>
      </c>
      <c r="T27" s="316">
        <v>0.11628492926598692</v>
      </c>
      <c r="U27" s="316">
        <v>4.8850466672751697E-2</v>
      </c>
      <c r="V27" s="316">
        <v>1.1722598730548107E-2</v>
      </c>
      <c r="W27" s="316">
        <v>0.45456869730393712</v>
      </c>
      <c r="X27" s="316">
        <v>0.11157751397524325</v>
      </c>
      <c r="Y27" s="316">
        <v>4.2409367147506455E-2</v>
      </c>
      <c r="Z27" s="316">
        <v>4.2409367147506427E-2</v>
      </c>
    </row>
    <row r="28" spans="1:26">
      <c r="A28" t="s">
        <v>537</v>
      </c>
      <c r="B28">
        <v>116</v>
      </c>
      <c r="C28" s="316">
        <v>-9.8980392156861681E-4</v>
      </c>
      <c r="D28" s="316">
        <v>0.13246074733632421</v>
      </c>
      <c r="E28" s="316">
        <v>0.26847119506849004</v>
      </c>
      <c r="F28" s="316">
        <v>0.24304468786449249</v>
      </c>
      <c r="G28" s="335">
        <v>1.1823979253907428</v>
      </c>
      <c r="H28" s="335">
        <v>1.3225290429042904</v>
      </c>
      <c r="I28" s="316">
        <v>0.10562273095709571</v>
      </c>
      <c r="J28" s="316">
        <v>0.57291756945382677</v>
      </c>
      <c r="K28" s="316">
        <v>4.5600000000000002E-2</v>
      </c>
      <c r="L28" s="316">
        <v>0.18125572194873116</v>
      </c>
      <c r="M28" s="316">
        <v>9.2676952293917328E-2</v>
      </c>
      <c r="N28" s="335">
        <v>2.0292786222938592</v>
      </c>
      <c r="O28" s="335">
        <v>2.0977713726704752</v>
      </c>
      <c r="P28" s="335">
        <v>10.856091058015581</v>
      </c>
      <c r="Q28" s="335">
        <v>14.898583601417306</v>
      </c>
      <c r="R28" s="335">
        <v>3.8123086260741279</v>
      </c>
      <c r="S28" s="335">
        <v>20.892696599201212</v>
      </c>
      <c r="T28" s="316">
        <v>0.19148335935465677</v>
      </c>
      <c r="U28" s="316">
        <v>4.3608868296779804E-2</v>
      </c>
      <c r="V28" s="316">
        <v>9.2586939151633227E-2</v>
      </c>
      <c r="W28" s="316">
        <v>1.0297381140644697</v>
      </c>
      <c r="X28" s="316">
        <v>0.18971262773563985</v>
      </c>
      <c r="Y28" s="316">
        <v>0.66701265851297997</v>
      </c>
      <c r="Z28" s="316">
        <v>0.66701265851297997</v>
      </c>
    </row>
    <row r="29" spans="1:26">
      <c r="A29" t="s">
        <v>538</v>
      </c>
      <c r="B29">
        <v>19</v>
      </c>
      <c r="C29" s="316">
        <v>6.3939999999999997E-2</v>
      </c>
      <c r="D29" s="316">
        <v>-2.2346815341091297E-2</v>
      </c>
      <c r="E29" s="316">
        <v>-3.5091719673090785E-2</v>
      </c>
      <c r="F29" s="316">
        <v>0.3686115104347395</v>
      </c>
      <c r="G29" s="335">
        <v>1.2240277060430294</v>
      </c>
      <c r="H29" s="335">
        <v>1.1909614379084967</v>
      </c>
      <c r="I29" s="316">
        <v>9.7781301699346415E-2</v>
      </c>
      <c r="J29" s="316">
        <v>0.62714472614580818</v>
      </c>
      <c r="K29" s="316">
        <v>4.5600000000000002E-2</v>
      </c>
      <c r="L29" s="316">
        <v>8.8994075684580939E-2</v>
      </c>
      <c r="M29" s="316">
        <v>9.2122942523790607E-2</v>
      </c>
      <c r="N29" s="335">
        <v>1.8132171548976566</v>
      </c>
      <c r="O29" s="335">
        <v>1.3357788633950201</v>
      </c>
      <c r="P29" s="335">
        <v>22.426726253271941</v>
      </c>
      <c r="Q29" s="335" t="s">
        <v>100</v>
      </c>
      <c r="R29" s="335">
        <v>5.3149456401936312</v>
      </c>
      <c r="S29" s="335">
        <v>56.331115201319967</v>
      </c>
      <c r="T29" s="316">
        <v>0.14061419948834528</v>
      </c>
      <c r="U29" s="316">
        <v>2.3378987949746671E-2</v>
      </c>
      <c r="V29" s="316">
        <v>-8.3860962452522274E-3</v>
      </c>
      <c r="W29" s="316" t="s">
        <v>100</v>
      </c>
      <c r="X29" s="316">
        <v>-0.33486945416099384</v>
      </c>
      <c r="Y29" s="316">
        <v>0</v>
      </c>
      <c r="Z29" s="316">
        <v>0</v>
      </c>
    </row>
    <row r="30" spans="1:26">
      <c r="A30" t="s">
        <v>539</v>
      </c>
      <c r="B30">
        <v>160</v>
      </c>
      <c r="C30" s="316">
        <v>7.7889056603773585E-2</v>
      </c>
      <c r="D30" s="316">
        <v>9.5203852866490857E-2</v>
      </c>
      <c r="E30" s="316">
        <v>0.14438416082646063</v>
      </c>
      <c r="F30" s="316">
        <v>0.67636806775475544</v>
      </c>
      <c r="G30" s="335">
        <v>0.96066030351745013</v>
      </c>
      <c r="H30" s="335">
        <v>1.01628018018018</v>
      </c>
      <c r="I30" s="316">
        <v>8.7370298738738722E-2</v>
      </c>
      <c r="J30" s="316">
        <v>0.4668778154926882</v>
      </c>
      <c r="K30" s="316">
        <v>4.5600000000000002E-2</v>
      </c>
      <c r="L30" s="316">
        <v>0.16233022266706648</v>
      </c>
      <c r="M30" s="316">
        <v>7.8739152305204826E-2</v>
      </c>
      <c r="N30" s="335">
        <v>1.5864964220256446</v>
      </c>
      <c r="O30" s="335">
        <v>1.6438489078053065</v>
      </c>
      <c r="P30" s="335">
        <v>10.456672341764861</v>
      </c>
      <c r="Q30" s="335">
        <v>16.629646618305667</v>
      </c>
      <c r="R30" s="335">
        <v>2.6577510328154772</v>
      </c>
      <c r="S30" s="335">
        <v>46.322948418169638</v>
      </c>
      <c r="T30" s="316">
        <v>0.20360113146054648</v>
      </c>
      <c r="U30" s="316">
        <v>5.7205059081033356E-2</v>
      </c>
      <c r="V30" s="316">
        <v>9.4339727029332604E-2</v>
      </c>
      <c r="W30" s="316">
        <v>1.8946298085527642</v>
      </c>
      <c r="X30" s="316">
        <v>4.1626071353570264E-2</v>
      </c>
      <c r="Y30" s="316">
        <v>0.5879753163626118</v>
      </c>
      <c r="Z30" s="316">
        <v>0.5879753163626118</v>
      </c>
    </row>
    <row r="31" spans="1:26">
      <c r="A31" t="s">
        <v>540</v>
      </c>
      <c r="B31">
        <v>52</v>
      </c>
      <c r="C31" s="316">
        <v>0.11384999999999999</v>
      </c>
      <c r="D31" s="316">
        <v>4.0565098529620272E-2</v>
      </c>
      <c r="E31" s="316">
        <v>0.21255458581813147</v>
      </c>
      <c r="F31" s="316">
        <v>0.28883979802355908</v>
      </c>
      <c r="G31" s="335">
        <v>0.81015878396309304</v>
      </c>
      <c r="H31" s="335">
        <v>1.0073425120772952</v>
      </c>
      <c r="I31" s="316">
        <v>8.6837613719806792E-2</v>
      </c>
      <c r="J31" s="316">
        <v>0.40143175253395441</v>
      </c>
      <c r="K31" s="316">
        <v>4.5600000000000002E-2</v>
      </c>
      <c r="L31" s="316">
        <v>0.32831540518169888</v>
      </c>
      <c r="M31" s="316">
        <v>6.9555874243590679E-2</v>
      </c>
      <c r="N31" s="335">
        <v>5.3132637222604986</v>
      </c>
      <c r="O31" s="335">
        <v>0.5760523429267973</v>
      </c>
      <c r="P31" s="335">
        <v>8.2223510252362839</v>
      </c>
      <c r="Q31" s="335">
        <v>13.183393111520155</v>
      </c>
      <c r="R31" s="335">
        <v>1.4155212567651088</v>
      </c>
      <c r="S31" s="335">
        <v>19.489102638885541</v>
      </c>
      <c r="T31" s="316">
        <v>0.17225865449809002</v>
      </c>
      <c r="U31" s="316">
        <v>1.6039723196318956E-2</v>
      </c>
      <c r="V31" s="316">
        <v>3.5630669069186709E-2</v>
      </c>
      <c r="W31" s="316">
        <v>1.579027786664613</v>
      </c>
      <c r="X31" s="316">
        <v>9.3265569943823179E-2</v>
      </c>
      <c r="Y31" s="316">
        <v>0.16688462378981764</v>
      </c>
      <c r="Z31" s="316">
        <v>0.16688462378981761</v>
      </c>
    </row>
    <row r="32" spans="1:26">
      <c r="A32" t="s">
        <v>541</v>
      </c>
      <c r="B32">
        <v>120</v>
      </c>
      <c r="C32" s="316">
        <v>9.1102142857142868E-2</v>
      </c>
      <c r="D32" s="316">
        <v>0.17963823608966931</v>
      </c>
      <c r="E32" s="316">
        <v>0.26852187124101534</v>
      </c>
      <c r="F32" s="316">
        <v>0.12133102438582942</v>
      </c>
      <c r="G32" s="335">
        <v>1.2140124334135816</v>
      </c>
      <c r="H32" s="335">
        <v>1.3301927437641725</v>
      </c>
      <c r="I32" s="316">
        <v>0.10607948752834469</v>
      </c>
      <c r="J32" s="316">
        <v>0.54337168001581271</v>
      </c>
      <c r="K32" s="316">
        <v>4.5600000000000002E-2</v>
      </c>
      <c r="L32" s="316">
        <v>0.16565169549498948</v>
      </c>
      <c r="M32" s="316">
        <v>9.417252854796343E-2</v>
      </c>
      <c r="N32" s="335">
        <v>1.5252077336234631</v>
      </c>
      <c r="O32" s="335">
        <v>3.4508656043506392</v>
      </c>
      <c r="P32" s="335">
        <v>14.177048462231737</v>
      </c>
      <c r="Q32" s="335">
        <v>19.277949411228178</v>
      </c>
      <c r="R32" s="335">
        <v>3.9088724307909533</v>
      </c>
      <c r="S32" s="335">
        <v>64.022852420503824</v>
      </c>
      <c r="T32" s="316">
        <v>9.7031356101486915E-2</v>
      </c>
      <c r="U32" s="316">
        <v>4.4546514915992458E-2</v>
      </c>
      <c r="V32" s="316">
        <v>1.9785740848550323E-2</v>
      </c>
      <c r="W32" s="316">
        <v>0.2602894685129799</v>
      </c>
      <c r="X32" s="316">
        <v>0.21705594945196666</v>
      </c>
      <c r="Y32" s="316">
        <v>0.20010445677007513</v>
      </c>
      <c r="Z32" s="316">
        <v>0.20010445677007516</v>
      </c>
    </row>
    <row r="33" spans="1:26">
      <c r="A33" t="s">
        <v>542</v>
      </c>
      <c r="B33">
        <v>91</v>
      </c>
      <c r="C33" s="316">
        <v>9.4996999999999984E-2</v>
      </c>
      <c r="D33" s="316">
        <v>0.11819188493832571</v>
      </c>
      <c r="E33" s="316">
        <v>0.21219062559326965</v>
      </c>
      <c r="F33" s="316">
        <v>3.1345734025779538E-2</v>
      </c>
      <c r="G33" s="335">
        <v>0.96017519579922372</v>
      </c>
      <c r="H33" s="335">
        <v>1.1920144927536236</v>
      </c>
      <c r="I33" s="316">
        <v>9.7844063768115969E-2</v>
      </c>
      <c r="J33" s="316">
        <v>0.46148462695520232</v>
      </c>
      <c r="K33" s="316">
        <v>4.5600000000000002E-2</v>
      </c>
      <c r="L33" s="316">
        <v>0.25172641896481629</v>
      </c>
      <c r="M33" s="316">
        <v>8.182317150739972E-2</v>
      </c>
      <c r="N33" s="335">
        <v>1.7757747209952037</v>
      </c>
      <c r="O33" s="335">
        <v>2.6078642700309649</v>
      </c>
      <c r="P33" s="335">
        <v>11.669430179279489</v>
      </c>
      <c r="Q33" s="335">
        <v>20.967730674934337</v>
      </c>
      <c r="R33" s="335">
        <v>3.5034183535942001</v>
      </c>
      <c r="S33" s="335">
        <v>30.916621173139195</v>
      </c>
      <c r="T33" s="316">
        <v>0.1028680436112636</v>
      </c>
      <c r="U33" s="316">
        <v>7.7079188409501481E-2</v>
      </c>
      <c r="V33" s="316">
        <v>3.675545421040502E-2</v>
      </c>
      <c r="W33" s="316">
        <v>0.34637345343723736</v>
      </c>
      <c r="X33" s="316">
        <v>0.17953974773950038</v>
      </c>
      <c r="Y33" s="316">
        <v>0.36079300025378458</v>
      </c>
      <c r="Z33" s="316">
        <v>0.36079300025378458</v>
      </c>
    </row>
    <row r="34" spans="1:26">
      <c r="A34" t="s">
        <v>543</v>
      </c>
      <c r="B34">
        <v>33</v>
      </c>
      <c r="C34" s="316">
        <v>2.7625624999999997E-2</v>
      </c>
      <c r="D34" s="316">
        <v>5.1868032690474637E-2</v>
      </c>
      <c r="E34" s="316">
        <v>8.7696649265949472E-2</v>
      </c>
      <c r="F34" s="316">
        <v>0.28289212858441759</v>
      </c>
      <c r="G34" s="335">
        <v>0.49587806644422544</v>
      </c>
      <c r="H34" s="335">
        <v>0.71687777777777772</v>
      </c>
      <c r="I34" s="316">
        <v>6.9525915555555554E-2</v>
      </c>
      <c r="J34" s="316">
        <v>0.29067662291101459</v>
      </c>
      <c r="K34" s="316">
        <v>4.1800000000000004E-2</v>
      </c>
      <c r="L34" s="316">
        <v>0.39854705060312812</v>
      </c>
      <c r="M34" s="316">
        <v>5.4311017006814809E-2</v>
      </c>
      <c r="N34" s="335">
        <v>1.7657260291552208</v>
      </c>
      <c r="O34" s="335">
        <v>0.92771807194532885</v>
      </c>
      <c r="P34" s="335">
        <v>11.353581985054397</v>
      </c>
      <c r="Q34" s="335">
        <v>17.349111531816217</v>
      </c>
      <c r="R34" s="335">
        <v>2.0666903555251412</v>
      </c>
      <c r="S34" s="335">
        <v>41.098488187388256</v>
      </c>
      <c r="T34" s="316">
        <v>0.12148079739514681</v>
      </c>
      <c r="U34" s="316">
        <v>3.1333156070605765E-2</v>
      </c>
      <c r="V34" s="316">
        <v>4.9848090787198845E-2</v>
      </c>
      <c r="W34" s="316">
        <v>2.0807502912451592</v>
      </c>
      <c r="X34" s="316">
        <v>0.13314419639249256</v>
      </c>
      <c r="Y34" s="316">
        <v>0.357185800436568</v>
      </c>
      <c r="Z34" s="316">
        <v>0.357185800436568</v>
      </c>
    </row>
    <row r="35" spans="1:26">
      <c r="A35" t="s">
        <v>544</v>
      </c>
      <c r="B35">
        <v>259</v>
      </c>
      <c r="C35" s="316">
        <v>0.10725981366459622</v>
      </c>
      <c r="D35" s="316">
        <v>8.7040439961518043E-2</v>
      </c>
      <c r="E35" s="316">
        <v>2.5355829838917114E-3</v>
      </c>
      <c r="F35" s="316">
        <v>0.47297227059053903</v>
      </c>
      <c r="G35" s="335">
        <v>7.5615335031345252E-2</v>
      </c>
      <c r="H35" s="335">
        <v>0.70254169000933675</v>
      </c>
      <c r="I35" s="316">
        <v>6.8671484724556475E-2</v>
      </c>
      <c r="J35" s="316">
        <v>0.27326283385015138</v>
      </c>
      <c r="K35" s="316">
        <v>4.1800000000000004E-2</v>
      </c>
      <c r="L35" s="316">
        <v>0.9192446175525687</v>
      </c>
      <c r="M35" s="316">
        <v>3.4363910772437528E-2</v>
      </c>
      <c r="N35" s="335">
        <v>3.7019938804569948E-2</v>
      </c>
      <c r="O35" s="335">
        <v>28.985014189676768</v>
      </c>
      <c r="P35" s="335" t="s">
        <v>100</v>
      </c>
      <c r="Q35" s="335" t="s">
        <v>100</v>
      </c>
      <c r="R35" s="335">
        <v>1.8612997724182456</v>
      </c>
      <c r="S35" s="335">
        <v>50.785906752958233</v>
      </c>
      <c r="T35" s="316" t="s">
        <v>100</v>
      </c>
      <c r="U35" s="316">
        <v>8.2242750182922902E-2</v>
      </c>
      <c r="V35" s="316">
        <v>9.3091828500416404E-2</v>
      </c>
      <c r="W35" s="316">
        <v>1.053907283448358</v>
      </c>
      <c r="X35" s="316">
        <v>1.2111208793954404E-3</v>
      </c>
      <c r="Y35" s="316">
        <v>0.1974807546408259</v>
      </c>
      <c r="Z35" s="316">
        <v>0.19748075464082593</v>
      </c>
    </row>
    <row r="36" spans="1:26">
      <c r="A36" t="s">
        <v>545</v>
      </c>
      <c r="B36">
        <v>83</v>
      </c>
      <c r="C36" s="316">
        <v>6.5351282051282045E-2</v>
      </c>
      <c r="D36" s="316">
        <v>0.13219148648138226</v>
      </c>
      <c r="E36" s="316">
        <v>0.20190832778525372</v>
      </c>
      <c r="F36" s="316">
        <v>9.225682364660398E-2</v>
      </c>
      <c r="G36" s="335">
        <v>0.61142199192503821</v>
      </c>
      <c r="H36" s="335">
        <v>0.81095108024691342</v>
      </c>
      <c r="I36" s="316">
        <v>7.5132684382716045E-2</v>
      </c>
      <c r="J36" s="316">
        <v>0.27455863641303507</v>
      </c>
      <c r="K36" s="316">
        <v>4.1800000000000004E-2</v>
      </c>
      <c r="L36" s="316">
        <v>0.31880846149644559</v>
      </c>
      <c r="M36" s="316">
        <v>6.1174394134477887E-2</v>
      </c>
      <c r="N36" s="335">
        <v>1.5941977841129547</v>
      </c>
      <c r="O36" s="335">
        <v>2.0052310236178945</v>
      </c>
      <c r="P36" s="335">
        <v>11.6880917376358</v>
      </c>
      <c r="Q36" s="335">
        <v>14.980678422467388</v>
      </c>
      <c r="R36" s="335">
        <v>1.9710101016482582</v>
      </c>
      <c r="S36" s="335">
        <v>21.981431806294804</v>
      </c>
      <c r="T36" s="316">
        <v>6.6336799147724376E-2</v>
      </c>
      <c r="U36" s="316">
        <v>3.6271526175247801E-2</v>
      </c>
      <c r="V36" s="316">
        <v>0.13216820611943522</v>
      </c>
      <c r="W36" s="316">
        <v>1.0856722602498829</v>
      </c>
      <c r="X36" s="316">
        <v>0.19485687618005673</v>
      </c>
      <c r="Y36" s="316">
        <v>0.34870962149696505</v>
      </c>
      <c r="Z36" s="316">
        <v>0.34870962149696505</v>
      </c>
    </row>
    <row r="37" spans="1:26">
      <c r="A37" t="s">
        <v>546</v>
      </c>
      <c r="B37">
        <v>18</v>
      </c>
      <c r="C37" s="316">
        <v>0.1149</v>
      </c>
      <c r="D37" s="316">
        <v>3.1179476165257753E-2</v>
      </c>
      <c r="E37" s="316">
        <v>0.23330789528074206</v>
      </c>
      <c r="F37" s="316">
        <v>0.16545710199535196</v>
      </c>
      <c r="G37" s="335">
        <v>1.234429635135682</v>
      </c>
      <c r="H37" s="335">
        <v>1.6240375</v>
      </c>
      <c r="I37" s="316">
        <v>0.12359263500000001</v>
      </c>
      <c r="J37" s="316">
        <v>0.40989628897603486</v>
      </c>
      <c r="K37" s="316">
        <v>4.5600000000000002E-2</v>
      </c>
      <c r="L37" s="316">
        <v>0.30965915361881824</v>
      </c>
      <c r="M37" s="316">
        <v>9.5911387306144055E-2</v>
      </c>
      <c r="N37" s="335">
        <v>7.6826499014966565</v>
      </c>
      <c r="O37" s="335">
        <v>0.52541459274398172</v>
      </c>
      <c r="P37" s="335">
        <v>11.272809626195818</v>
      </c>
      <c r="Q37" s="335">
        <v>16.483232415345825</v>
      </c>
      <c r="R37" s="335">
        <v>4.2948607007372752</v>
      </c>
      <c r="S37" s="335">
        <v>18.835649386263846</v>
      </c>
      <c r="T37" s="316">
        <v>7.3100800601824709E-2</v>
      </c>
      <c r="U37" s="316">
        <v>1.1492377998438667E-2</v>
      </c>
      <c r="V37" s="316">
        <v>1.9868363637933796E-2</v>
      </c>
      <c r="W37" s="316">
        <v>0.77104713380488499</v>
      </c>
      <c r="X37" s="316">
        <v>0.27619658587386781</v>
      </c>
      <c r="Y37" s="316">
        <v>0.30375813873746799</v>
      </c>
      <c r="Z37" s="316">
        <v>0.30375813873746793</v>
      </c>
    </row>
    <row r="38" spans="1:26">
      <c r="A38" t="s">
        <v>547</v>
      </c>
      <c r="B38">
        <v>30</v>
      </c>
      <c r="C38" s="316">
        <v>0.10604</v>
      </c>
      <c r="D38" s="316">
        <v>8.3102193452303325E-2</v>
      </c>
      <c r="E38" s="316">
        <v>0.1466001409744207</v>
      </c>
      <c r="F38" s="316">
        <v>0.27465994873569555</v>
      </c>
      <c r="G38" s="335">
        <v>0.66780864677192153</v>
      </c>
      <c r="H38" s="335">
        <v>0.88463931623931624</v>
      </c>
      <c r="I38" s="316">
        <v>7.9524503247863254E-2</v>
      </c>
      <c r="J38" s="316">
        <v>0.4351294607662971</v>
      </c>
      <c r="K38" s="316">
        <v>4.5600000000000002E-2</v>
      </c>
      <c r="L38" s="316">
        <v>0.33630171027062022</v>
      </c>
      <c r="M38" s="316">
        <v>6.4281795288440566E-2</v>
      </c>
      <c r="N38" s="335">
        <v>2.0292087046542848</v>
      </c>
      <c r="O38" s="335">
        <v>0.98159505347427234</v>
      </c>
      <c r="P38" s="335">
        <v>7.5132767203951785</v>
      </c>
      <c r="Q38" s="335">
        <v>11.182310545171564</v>
      </c>
      <c r="R38" s="335">
        <v>1.9838469807931838</v>
      </c>
      <c r="S38" s="335">
        <v>36.529979340853174</v>
      </c>
      <c r="T38" s="316">
        <v>0.14767812993802187</v>
      </c>
      <c r="U38" s="316">
        <v>4.2715008285336566E-2</v>
      </c>
      <c r="V38" s="316">
        <v>4.3157468695165756E-2</v>
      </c>
      <c r="W38" s="316">
        <v>0.74809224654074324</v>
      </c>
      <c r="X38" s="316">
        <v>6.334435755810261E-2</v>
      </c>
      <c r="Y38" s="316">
        <v>0.55098295564594213</v>
      </c>
      <c r="Z38" s="316">
        <v>0.55098295564594213</v>
      </c>
    </row>
    <row r="39" spans="1:26">
      <c r="A39" t="s">
        <v>548</v>
      </c>
      <c r="B39">
        <v>21</v>
      </c>
      <c r="C39" s="316">
        <v>3.44E-2</v>
      </c>
      <c r="D39" s="316">
        <v>0.16154865093312093</v>
      </c>
      <c r="E39" s="316">
        <v>2.4226862460701572E-2</v>
      </c>
      <c r="F39" s="316">
        <v>0</v>
      </c>
      <c r="G39" s="335">
        <v>0.79876309391982148</v>
      </c>
      <c r="H39" s="335">
        <v>1.6214868055555556</v>
      </c>
      <c r="I39" s="316">
        <v>0.12344061361111111</v>
      </c>
      <c r="J39" s="316">
        <v>0.69475481172532183</v>
      </c>
      <c r="K39" s="316">
        <v>5.4300000000000001E-2</v>
      </c>
      <c r="L39" s="316">
        <v>0.59415955824495659</v>
      </c>
      <c r="M39" s="316">
        <v>7.4294341167972816E-2</v>
      </c>
      <c r="N39" s="335">
        <v>0.18670206933347955</v>
      </c>
      <c r="O39" s="335">
        <v>8.899261641245749</v>
      </c>
      <c r="P39" s="335">
        <v>15.573359333523763</v>
      </c>
      <c r="Q39" s="335">
        <v>68.28450305638512</v>
      </c>
      <c r="R39" s="335">
        <v>1.0867868062131099</v>
      </c>
      <c r="S39" s="335">
        <v>16.637476604707427</v>
      </c>
      <c r="T39" s="316">
        <v>6.4158759416318184E-2</v>
      </c>
      <c r="U39" s="316">
        <v>0.24053489671877831</v>
      </c>
      <c r="V39" s="316">
        <v>0.51621892204036235</v>
      </c>
      <c r="W39" s="316">
        <v>4.3293710889184318</v>
      </c>
      <c r="X39" s="316">
        <v>5.6302227343808429E-2</v>
      </c>
      <c r="Y39" s="316">
        <v>1.4932481056597382</v>
      </c>
      <c r="Z39" s="316">
        <v>1.4932481056597382</v>
      </c>
    </row>
    <row r="40" spans="1:26">
      <c r="A40" t="s">
        <v>549</v>
      </c>
      <c r="B40">
        <v>248</v>
      </c>
      <c r="C40" s="316">
        <v>0.13970709677419346</v>
      </c>
      <c r="D40" s="316">
        <v>0.15298032120720137</v>
      </c>
      <c r="E40" s="316">
        <v>0.1655750160056694</v>
      </c>
      <c r="F40" s="316">
        <v>0.38593228226050191</v>
      </c>
      <c r="G40" s="335">
        <v>1.0412420580286896</v>
      </c>
      <c r="H40" s="335">
        <v>1.1219401449275359</v>
      </c>
      <c r="I40" s="316">
        <v>9.3667632637681145E-2</v>
      </c>
      <c r="J40" s="316">
        <v>0.56321834039206675</v>
      </c>
      <c r="K40" s="316">
        <v>4.5600000000000002E-2</v>
      </c>
      <c r="L40" s="316">
        <v>0.12939357153292819</v>
      </c>
      <c r="M40" s="316">
        <v>8.5972903260083458E-2</v>
      </c>
      <c r="N40" s="335">
        <v>1.0785653418391359</v>
      </c>
      <c r="O40" s="335">
        <v>4.9969133371822787</v>
      </c>
      <c r="P40" s="335">
        <v>19.331872918181052</v>
      </c>
      <c r="Q40" s="335">
        <v>31.504997994725148</v>
      </c>
      <c r="R40" s="335">
        <v>4.3553907902617937</v>
      </c>
      <c r="S40" s="335">
        <v>87.604073141146458</v>
      </c>
      <c r="T40" s="316">
        <v>0.22599684247525031</v>
      </c>
      <c r="U40" s="316">
        <v>5.3214742807706217E-2</v>
      </c>
      <c r="V40" s="316">
        <v>0.16306712116033939</v>
      </c>
      <c r="W40" s="316">
        <v>1.6767197332485184</v>
      </c>
      <c r="X40" s="316">
        <v>6.1481545515343315E-2</v>
      </c>
      <c r="Y40" s="316">
        <v>0.50678541233213459</v>
      </c>
      <c r="Z40" s="316">
        <v>0.50678541233213459</v>
      </c>
    </row>
    <row r="41" spans="1:26">
      <c r="A41" t="s">
        <v>550</v>
      </c>
      <c r="B41">
        <v>111</v>
      </c>
      <c r="C41" s="316">
        <v>0.12487783333333334</v>
      </c>
      <c r="D41" s="316">
        <v>4.5296521541746293E-2</v>
      </c>
      <c r="E41" s="316">
        <v>0.43958914291638246</v>
      </c>
      <c r="F41" s="316">
        <v>0.18013076788928636</v>
      </c>
      <c r="G41" s="335">
        <v>1.0266507370055664</v>
      </c>
      <c r="H41" s="335">
        <v>1.1535581111111113</v>
      </c>
      <c r="I41" s="316">
        <v>9.5552063422222236E-2</v>
      </c>
      <c r="J41" s="316">
        <v>0.48132175437109431</v>
      </c>
      <c r="K41" s="316">
        <v>4.5600000000000002E-2</v>
      </c>
      <c r="L41" s="316">
        <v>0.26588902765670414</v>
      </c>
      <c r="M41" s="316">
        <v>7.9239222934155126E-2</v>
      </c>
      <c r="N41" s="335">
        <v>10.790828946574333</v>
      </c>
      <c r="O41" s="335">
        <v>0.6318465951863258</v>
      </c>
      <c r="P41" s="335">
        <v>10.702471577141605</v>
      </c>
      <c r="Q41" s="335">
        <v>14.106077888759673</v>
      </c>
      <c r="R41" s="335">
        <v>3.1492991238943109</v>
      </c>
      <c r="S41" s="335">
        <v>38.682414731837767</v>
      </c>
      <c r="T41" s="316">
        <v>-5.1970718710201452E-2</v>
      </c>
      <c r="U41" s="316">
        <v>8.2256436637486528E-3</v>
      </c>
      <c r="V41" s="316">
        <v>1.8841186076849988E-2</v>
      </c>
      <c r="W41" s="316">
        <v>0.53238401477622777</v>
      </c>
      <c r="X41" s="316">
        <v>0.16725044840937803</v>
      </c>
      <c r="Y41" s="316">
        <v>0.2480619692734804</v>
      </c>
      <c r="Z41" s="316">
        <v>0.24806196927348045</v>
      </c>
    </row>
    <row r="42" spans="1:26">
      <c r="A42" t="s">
        <v>551</v>
      </c>
      <c r="B42">
        <v>119</v>
      </c>
      <c r="C42" s="316">
        <v>0.14634107142857147</v>
      </c>
      <c r="D42" s="316">
        <v>0.13107899207743001</v>
      </c>
      <c r="E42" s="316">
        <v>0.14783304012186585</v>
      </c>
      <c r="F42" s="316">
        <v>0.29068059498319893</v>
      </c>
      <c r="G42" s="335">
        <v>1.1770734443491222</v>
      </c>
      <c r="H42" s="335">
        <v>1.2890799603174605</v>
      </c>
      <c r="I42" s="316">
        <v>0.10362916563492065</v>
      </c>
      <c r="J42" s="316">
        <v>0.53011660406406902</v>
      </c>
      <c r="K42" s="316">
        <v>4.5600000000000002E-2</v>
      </c>
      <c r="L42" s="316">
        <v>0.14704528149427656</v>
      </c>
      <c r="M42" s="316">
        <v>9.3419934430220994E-2</v>
      </c>
      <c r="N42" s="335">
        <v>1.1291905150139132</v>
      </c>
      <c r="O42" s="335">
        <v>4.5835888882193583</v>
      </c>
      <c r="P42" s="335">
        <v>19.331911834708905</v>
      </c>
      <c r="Q42" s="335">
        <v>33.178530027325543</v>
      </c>
      <c r="R42" s="335">
        <v>4.135012439616581</v>
      </c>
      <c r="S42" s="335">
        <v>195.1394814613038</v>
      </c>
      <c r="T42" s="316">
        <v>0.22458150144695005</v>
      </c>
      <c r="U42" s="316">
        <v>3.963201930157801E-2</v>
      </c>
      <c r="V42" s="316">
        <v>6.1517823777945485E-2</v>
      </c>
      <c r="W42" s="316">
        <v>0.83376625182323971</v>
      </c>
      <c r="X42" s="316">
        <v>0.10947794282113764</v>
      </c>
      <c r="Y42" s="316">
        <v>7.5644230444830568E-2</v>
      </c>
      <c r="Z42" s="316">
        <v>7.5644230444830596E-2</v>
      </c>
    </row>
    <row r="43" spans="1:26">
      <c r="A43" t="s">
        <v>552</v>
      </c>
      <c r="B43">
        <v>31</v>
      </c>
      <c r="C43" s="316">
        <v>0.23694545454545451</v>
      </c>
      <c r="D43" s="316">
        <v>0.10505338910015143</v>
      </c>
      <c r="E43" s="316">
        <v>0.11549499598544917</v>
      </c>
      <c r="F43" s="316">
        <v>0.30601559540492218</v>
      </c>
      <c r="G43" s="335">
        <v>0.72461491658678878</v>
      </c>
      <c r="H43" s="335">
        <v>0.98090536398467421</v>
      </c>
      <c r="I43" s="316">
        <v>8.5261959693486586E-2</v>
      </c>
      <c r="J43" s="316">
        <v>0.34075277770767604</v>
      </c>
      <c r="K43" s="316">
        <v>4.1800000000000004E-2</v>
      </c>
      <c r="L43" s="316">
        <v>0.38364623082455901</v>
      </c>
      <c r="M43" s="316">
        <v>6.4578839560714918E-2</v>
      </c>
      <c r="N43" s="335">
        <v>1.4387271808967952</v>
      </c>
      <c r="O43" s="335">
        <v>0.99171587657511395</v>
      </c>
      <c r="P43" s="335">
        <v>8.705259976580809</v>
      </c>
      <c r="Q43" s="335">
        <v>9.2602035871241917</v>
      </c>
      <c r="R43" s="335">
        <v>1.2281649127932748</v>
      </c>
      <c r="S43" s="335">
        <v>10.452982128782997</v>
      </c>
      <c r="T43" s="316">
        <v>0.73899458075070967</v>
      </c>
      <c r="U43" s="316">
        <v>6.5615861407446706E-3</v>
      </c>
      <c r="V43" s="316">
        <v>2.7428373884379603E-2</v>
      </c>
      <c r="W43" s="316">
        <v>0.7935925006293868</v>
      </c>
      <c r="X43" s="316">
        <v>0.17038079592439456</v>
      </c>
      <c r="Y43" s="316">
        <v>8.3354865094712668E-2</v>
      </c>
      <c r="Z43" s="316">
        <v>8.3354865094712682E-2</v>
      </c>
    </row>
    <row r="44" spans="1:26">
      <c r="A44" t="s">
        <v>553</v>
      </c>
      <c r="B44">
        <v>34</v>
      </c>
      <c r="C44" s="316">
        <v>4.0011000000000012E-2</v>
      </c>
      <c r="D44" s="316">
        <v>0.10126000375877782</v>
      </c>
      <c r="E44" s="316">
        <v>0.14132274250933038</v>
      </c>
      <c r="F44" s="316">
        <v>0.28866908068907776</v>
      </c>
      <c r="G44" s="335">
        <v>0.55219511182946646</v>
      </c>
      <c r="H44" s="335">
        <v>1.1166198412698412</v>
      </c>
      <c r="I44" s="316">
        <v>9.3350542539682543E-2</v>
      </c>
      <c r="J44" s="316">
        <v>0.49691449467379523</v>
      </c>
      <c r="K44" s="316">
        <v>4.5600000000000002E-2</v>
      </c>
      <c r="L44" s="316">
        <v>0.58291282156657831</v>
      </c>
      <c r="M44" s="316">
        <v>5.8870932890682279E-2</v>
      </c>
      <c r="N44" s="335">
        <v>1.5317050709380036</v>
      </c>
      <c r="O44" s="335">
        <v>1.4491957585540765</v>
      </c>
      <c r="P44" s="335">
        <v>8.6265072474297355</v>
      </c>
      <c r="Q44" s="335">
        <v>14.620164258764293</v>
      </c>
      <c r="R44" s="335">
        <v>6.103524839492362</v>
      </c>
      <c r="S44" s="335">
        <v>17.873302458811754</v>
      </c>
      <c r="T44" s="316">
        <v>0.1186858198211129</v>
      </c>
      <c r="U44" s="316">
        <v>5.7541056482428396E-2</v>
      </c>
      <c r="V44" s="316">
        <v>2.7549147837075981E-2</v>
      </c>
      <c r="W44" s="316">
        <v>0.88619423634019345</v>
      </c>
      <c r="X44" s="316">
        <v>0.13841056773435129</v>
      </c>
      <c r="Y44" s="316">
        <v>0.58945676699731742</v>
      </c>
      <c r="Z44" s="316">
        <v>0.58945676699731742</v>
      </c>
    </row>
    <row r="45" spans="1:26">
      <c r="A45" t="s">
        <v>554</v>
      </c>
      <c r="B45">
        <v>70</v>
      </c>
      <c r="C45" s="316">
        <v>8.3267948717948723E-2</v>
      </c>
      <c r="D45" s="316">
        <v>0.20418307709506364</v>
      </c>
      <c r="E45" s="316">
        <v>0.14231559907654606</v>
      </c>
      <c r="F45" s="316">
        <v>0.12886723503971576</v>
      </c>
      <c r="G45" s="335">
        <v>0.71171194651767145</v>
      </c>
      <c r="H45" s="335">
        <v>1.0069901234567902</v>
      </c>
      <c r="I45" s="316">
        <v>8.6816611358024695E-2</v>
      </c>
      <c r="J45" s="316">
        <v>0.35012959324618553</v>
      </c>
      <c r="K45" s="316">
        <v>4.1800000000000004E-2</v>
      </c>
      <c r="L45" s="316">
        <v>0.38988632654767069</v>
      </c>
      <c r="M45" s="316">
        <v>6.5190938009597146E-2</v>
      </c>
      <c r="N45" s="335">
        <v>0.79271030888634042</v>
      </c>
      <c r="O45" s="335">
        <v>3.2635269910838285</v>
      </c>
      <c r="P45" s="335">
        <v>10.604143507260126</v>
      </c>
      <c r="Q45" s="335">
        <v>16.414341237005761</v>
      </c>
      <c r="R45" s="335">
        <v>2.8686926500465075</v>
      </c>
      <c r="S45" s="335">
        <v>17.269685414514857</v>
      </c>
      <c r="T45" s="316">
        <v>6.8719561346573338E-2</v>
      </c>
      <c r="U45" s="316">
        <v>0.10924131772348525</v>
      </c>
      <c r="V45" s="316">
        <v>9.1180973368839291E-2</v>
      </c>
      <c r="W45" s="316">
        <v>0.51594394087470996</v>
      </c>
      <c r="X45" s="316">
        <v>0.31851380102067411</v>
      </c>
      <c r="Y45" s="316">
        <v>0.30936935570242124</v>
      </c>
      <c r="Z45" s="316">
        <v>0.3093693557024213</v>
      </c>
    </row>
    <row r="46" spans="1:26">
      <c r="A46" t="s">
        <v>555</v>
      </c>
      <c r="B46">
        <v>141</v>
      </c>
      <c r="C46" s="316">
        <v>7.3984705882352939E-2</v>
      </c>
      <c r="D46" s="316">
        <v>0.17564992437088853</v>
      </c>
      <c r="E46" s="316">
        <v>0.26993259594113239</v>
      </c>
      <c r="F46" s="316">
        <v>0.29593481219563106</v>
      </c>
      <c r="G46" s="335">
        <v>0.99725066748303448</v>
      </c>
      <c r="H46" s="335">
        <v>1.1301850045167119</v>
      </c>
      <c r="I46" s="316">
        <v>9.4159026269196033E-2</v>
      </c>
      <c r="J46" s="316">
        <v>0.54641648342715865</v>
      </c>
      <c r="K46" s="316">
        <v>4.5600000000000002E-2</v>
      </c>
      <c r="L46" s="316">
        <v>0.17440101439982408</v>
      </c>
      <c r="M46" s="316">
        <v>8.3702111265422555E-2</v>
      </c>
      <c r="N46" s="335">
        <v>1.6442903474198431</v>
      </c>
      <c r="O46" s="335">
        <v>3.0373380322874834</v>
      </c>
      <c r="P46" s="335">
        <v>13.376441188636576</v>
      </c>
      <c r="Q46" s="335">
        <v>17.135603736166292</v>
      </c>
      <c r="R46" s="335">
        <v>5.5906140134177962</v>
      </c>
      <c r="S46" s="335">
        <v>40.457234285618469</v>
      </c>
      <c r="T46" s="316">
        <v>0.1171981297496619</v>
      </c>
      <c r="U46" s="316">
        <v>4.1162134706354346E-2</v>
      </c>
      <c r="V46" s="316">
        <v>1.8775976436398008E-2</v>
      </c>
      <c r="W46" s="316">
        <v>9.7826821808626604E-2</v>
      </c>
      <c r="X46" s="316">
        <v>0.13417584197617044</v>
      </c>
      <c r="Y46" s="316">
        <v>1.0234211898056169</v>
      </c>
      <c r="Z46" s="316">
        <v>1.0234211898056169</v>
      </c>
    </row>
    <row r="47" spans="1:26">
      <c r="A47" t="s">
        <v>556</v>
      </c>
      <c r="B47">
        <v>71</v>
      </c>
      <c r="C47" s="316">
        <v>0.12085891891891891</v>
      </c>
      <c r="D47" s="316">
        <v>0.2686380692751606</v>
      </c>
      <c r="E47" s="316">
        <v>0.38947494172606234</v>
      </c>
      <c r="F47" s="316">
        <v>0.23042996836163859</v>
      </c>
      <c r="G47" s="335">
        <v>1.0476147604347601</v>
      </c>
      <c r="H47" s="335">
        <v>1.1212998148148152</v>
      </c>
      <c r="I47" s="316">
        <v>9.3629468962962994E-2</v>
      </c>
      <c r="J47" s="316">
        <v>0.37113661075050075</v>
      </c>
      <c r="K47" s="316">
        <v>4.1800000000000004E-2</v>
      </c>
      <c r="L47" s="316">
        <v>0.1308918005079891</v>
      </c>
      <c r="M47" s="316">
        <v>8.5477597135719341E-2</v>
      </c>
      <c r="N47" s="335">
        <v>1.5766752596826885</v>
      </c>
      <c r="O47" s="335">
        <v>6.3589882452840909</v>
      </c>
      <c r="P47" s="335">
        <v>18.777196726329265</v>
      </c>
      <c r="Q47" s="335">
        <v>23.396702441584562</v>
      </c>
      <c r="R47" s="335">
        <v>7.4541417748892043</v>
      </c>
      <c r="S47" s="335">
        <v>34.034714681118608</v>
      </c>
      <c r="T47" s="316">
        <v>4.2687611322583988E-2</v>
      </c>
      <c r="U47" s="316">
        <v>3.3800390412360583E-2</v>
      </c>
      <c r="V47" s="316">
        <v>2.5517525470826214E-2</v>
      </c>
      <c r="W47" s="316">
        <v>0.18223880374907911</v>
      </c>
      <c r="X47" s="316">
        <v>0.30288376735084954</v>
      </c>
      <c r="Y47" s="316">
        <v>0.22460999163797776</v>
      </c>
      <c r="Z47" s="316">
        <v>0.22460999163797779</v>
      </c>
    </row>
    <row r="48" spans="1:26">
      <c r="A48" t="s">
        <v>557</v>
      </c>
      <c r="B48">
        <v>20</v>
      </c>
      <c r="C48" s="316">
        <v>7.0900624999999995E-2</v>
      </c>
      <c r="D48" s="316">
        <v>0.11000987653940247</v>
      </c>
      <c r="E48" s="316">
        <v>6.9509025269547081E-2</v>
      </c>
      <c r="F48" s="316">
        <v>0.9479453691452292</v>
      </c>
      <c r="G48" s="335">
        <v>0.67179161955338684</v>
      </c>
      <c r="H48" s="335">
        <v>0.87232046783625727</v>
      </c>
      <c r="I48" s="316">
        <v>7.879029988304094E-2</v>
      </c>
      <c r="J48" s="316">
        <v>0.24625122315171519</v>
      </c>
      <c r="K48" s="316">
        <v>3.5799999999999998E-2</v>
      </c>
      <c r="L48" s="316">
        <v>0.32366911002147214</v>
      </c>
      <c r="M48" s="316">
        <v>6.1978829245648709E-2</v>
      </c>
      <c r="N48" s="335">
        <v>0.72861851448275439</v>
      </c>
      <c r="O48" s="335">
        <v>1.6329555785749539</v>
      </c>
      <c r="P48" s="335">
        <v>9.1498061201979812</v>
      </c>
      <c r="Q48" s="335">
        <v>14.646083614939968</v>
      </c>
      <c r="R48" s="335">
        <v>1.164987072573106</v>
      </c>
      <c r="S48" s="335">
        <v>18.818377531265732</v>
      </c>
      <c r="T48" s="316">
        <v>-0.26411938045339584</v>
      </c>
      <c r="U48" s="316">
        <v>1.4669382650752152E-2</v>
      </c>
      <c r="V48" s="316">
        <v>2.9378060204485221E-2</v>
      </c>
      <c r="W48" s="316">
        <v>0.14427060236586589</v>
      </c>
      <c r="X48" s="316">
        <v>-1.4929843575969073E-2</v>
      </c>
      <c r="Y48" s="316">
        <v>2.7595313856123493E-3</v>
      </c>
      <c r="Z48" s="316">
        <v>2.7595313856123571E-3</v>
      </c>
    </row>
    <row r="49" spans="1:26">
      <c r="A49" t="s">
        <v>558</v>
      </c>
      <c r="B49">
        <v>23</v>
      </c>
      <c r="C49" s="316">
        <v>5.9788888888888878E-3</v>
      </c>
      <c r="D49" s="316">
        <v>0.10930110109890767</v>
      </c>
      <c r="E49" s="316">
        <v>8.4534338372509524E-2</v>
      </c>
      <c r="F49" s="316">
        <v>1.5738610396819324E-2</v>
      </c>
      <c r="G49" s="335">
        <v>0.70335628063826439</v>
      </c>
      <c r="H49" s="335">
        <v>1.1094575757575758</v>
      </c>
      <c r="I49" s="316">
        <v>9.2923671515151518E-2</v>
      </c>
      <c r="J49" s="316">
        <v>0.27640853318834147</v>
      </c>
      <c r="K49" s="316">
        <v>4.1800000000000004E-2</v>
      </c>
      <c r="L49" s="316">
        <v>0.51155326784924693</v>
      </c>
      <c r="M49" s="316">
        <v>6.1425458638099673E-2</v>
      </c>
      <c r="N49" s="335">
        <v>0.80089966632723975</v>
      </c>
      <c r="O49" s="335">
        <v>1.3425040518235618</v>
      </c>
      <c r="P49" s="335">
        <v>10.58263479298655</v>
      </c>
      <c r="Q49" s="335">
        <v>11.847514114679527</v>
      </c>
      <c r="R49" s="335">
        <v>0.82445430543062392</v>
      </c>
      <c r="S49" s="335">
        <v>10.77630481462367</v>
      </c>
      <c r="T49" s="316">
        <v>0.1710242529553295</v>
      </c>
      <c r="U49" s="316">
        <v>1.7258745401700761E-3</v>
      </c>
      <c r="V49" s="316">
        <v>2.8593945874484249E-3</v>
      </c>
      <c r="W49" s="316">
        <v>7.1211133074821159E-2</v>
      </c>
      <c r="X49" s="316">
        <v>0.11932673173719316</v>
      </c>
      <c r="Y49" s="316">
        <v>0.20749070084111679</v>
      </c>
      <c r="Z49" s="316">
        <v>0.20749070084111676</v>
      </c>
    </row>
    <row r="50" spans="1:26">
      <c r="A50" t="s">
        <v>559</v>
      </c>
      <c r="B50">
        <v>50</v>
      </c>
      <c r="C50" s="316">
        <v>7.5722857142857133E-2</v>
      </c>
      <c r="D50" s="316">
        <v>0.12286947960512125</v>
      </c>
      <c r="E50" s="316">
        <v>0.11989718627337254</v>
      </c>
      <c r="F50" s="316">
        <v>0.15583998964925447</v>
      </c>
      <c r="G50" s="335">
        <v>0.65115065979406583</v>
      </c>
      <c r="H50" s="335">
        <v>0.74039333333333346</v>
      </c>
      <c r="I50" s="316">
        <v>7.0927442666666674E-2</v>
      </c>
      <c r="J50" s="316">
        <v>0.23895405789245266</v>
      </c>
      <c r="K50" s="316">
        <v>3.5799999999999998E-2</v>
      </c>
      <c r="L50" s="316">
        <v>0.20290351532040565</v>
      </c>
      <c r="M50" s="316">
        <v>6.1983974603266372E-2</v>
      </c>
      <c r="N50" s="335">
        <v>1.1519138140658751</v>
      </c>
      <c r="O50" s="335">
        <v>1.342843185522399</v>
      </c>
      <c r="P50" s="335">
        <v>9.2637820509508995</v>
      </c>
      <c r="Q50" s="335">
        <v>10.820687629149079</v>
      </c>
      <c r="R50" s="335">
        <v>1.5622239725962637</v>
      </c>
      <c r="S50" s="335">
        <v>18.24502226872789</v>
      </c>
      <c r="T50" s="316">
        <v>-0.45813044819626664</v>
      </c>
      <c r="U50" s="316">
        <v>6.6759988672673663E-3</v>
      </c>
      <c r="V50" s="316">
        <v>3.0035990821210275E-3</v>
      </c>
      <c r="W50" s="316">
        <v>9.6186091144759164E-2</v>
      </c>
      <c r="X50" s="316">
        <v>0.14031950171343366</v>
      </c>
      <c r="Y50" s="316">
        <v>0.24620434072826122</v>
      </c>
      <c r="Z50" s="316">
        <v>0.24620434072826125</v>
      </c>
    </row>
    <row r="51" spans="1:26">
      <c r="A51" t="s">
        <v>560</v>
      </c>
      <c r="B51">
        <v>172</v>
      </c>
      <c r="C51" s="316">
        <v>5.1901451612903243E-2</v>
      </c>
      <c r="D51" s="316">
        <v>0.19253577570935354</v>
      </c>
      <c r="E51" s="316">
        <v>8.2153972364634578E-2</v>
      </c>
      <c r="F51" s="316">
        <v>0.17933318000299472</v>
      </c>
      <c r="G51" s="335">
        <v>0.86668447411796701</v>
      </c>
      <c r="H51" s="335">
        <v>1.1038535781544252</v>
      </c>
      <c r="I51" s="316">
        <v>9.2589673258003741E-2</v>
      </c>
      <c r="J51" s="316">
        <v>0.35433384019109015</v>
      </c>
      <c r="K51" s="316">
        <v>4.1800000000000004E-2</v>
      </c>
      <c r="L51" s="316">
        <v>0.40243415088952694</v>
      </c>
      <c r="M51" s="316">
        <v>6.7944737349666939E-2</v>
      </c>
      <c r="N51" s="335">
        <v>0.46583067900475605</v>
      </c>
      <c r="O51" s="335">
        <v>3.7998787093343434</v>
      </c>
      <c r="P51" s="335">
        <v>16.801976377712087</v>
      </c>
      <c r="Q51" s="335">
        <v>19.206417616537362</v>
      </c>
      <c r="R51" s="335">
        <v>1.364653279450379</v>
      </c>
      <c r="S51" s="335">
        <v>29.796705087204128</v>
      </c>
      <c r="T51" s="316" t="s">
        <v>100</v>
      </c>
      <c r="U51" s="316">
        <v>2.6042077679276288E-2</v>
      </c>
      <c r="V51" s="316">
        <v>5.0874799824262053E-2</v>
      </c>
      <c r="W51" s="316">
        <v>0.34113832322302257</v>
      </c>
      <c r="X51" s="316">
        <v>0.16176669827433787</v>
      </c>
      <c r="Y51" s="316">
        <v>0.33614445853819169</v>
      </c>
      <c r="Z51" s="316">
        <v>0.33614445853819164</v>
      </c>
    </row>
    <row r="52" spans="1:26">
      <c r="A52" t="s">
        <v>561</v>
      </c>
      <c r="B52">
        <v>127</v>
      </c>
      <c r="C52" s="316">
        <v>4.0133466666666687E-2</v>
      </c>
      <c r="D52" s="316">
        <v>0.13852289655304456</v>
      </c>
      <c r="E52" s="316">
        <v>0.25823556476988108</v>
      </c>
      <c r="F52" s="316">
        <v>0.29930356431047817</v>
      </c>
      <c r="G52" s="335">
        <v>1.0121653053546547</v>
      </c>
      <c r="H52" s="335">
        <v>1.1704096491228071</v>
      </c>
      <c r="I52" s="316">
        <v>9.6556415087719311E-2</v>
      </c>
      <c r="J52" s="316">
        <v>0.34355380440821015</v>
      </c>
      <c r="K52" s="316">
        <v>4.1800000000000004E-2</v>
      </c>
      <c r="L52" s="316">
        <v>0.21217271681434113</v>
      </c>
      <c r="M52" s="316">
        <v>8.2721392844834263E-2</v>
      </c>
      <c r="N52" s="335">
        <v>2.1027953849357077</v>
      </c>
      <c r="O52" s="335">
        <v>1.9955498216863783</v>
      </c>
      <c r="P52" s="335">
        <v>10.792012966439131</v>
      </c>
      <c r="Q52" s="335">
        <v>14.106401630170291</v>
      </c>
      <c r="R52" s="335">
        <v>3.3085460802212117</v>
      </c>
      <c r="S52" s="335">
        <v>25.334323402299031</v>
      </c>
      <c r="T52" s="316">
        <v>0.22233288792200964</v>
      </c>
      <c r="U52" s="316">
        <v>2.934058121716589E-2</v>
      </c>
      <c r="V52" s="316">
        <v>7.6442704620162463E-2</v>
      </c>
      <c r="W52" s="316">
        <v>0.90266565337892524</v>
      </c>
      <c r="X52" s="316">
        <v>0.17241930254907037</v>
      </c>
      <c r="Y52" s="316">
        <v>0.31113801060764451</v>
      </c>
      <c r="Z52" s="316">
        <v>0.31113801060764446</v>
      </c>
    </row>
    <row r="53" spans="1:26">
      <c r="A53" t="s">
        <v>562</v>
      </c>
      <c r="B53">
        <v>94</v>
      </c>
      <c r="C53" s="316">
        <v>0.31605583333333331</v>
      </c>
      <c r="D53" s="316">
        <v>0.23700670126253914</v>
      </c>
      <c r="E53" s="316">
        <v>0.26711954521304415</v>
      </c>
      <c r="F53" s="316">
        <v>0.45469392039243933</v>
      </c>
      <c r="G53" s="335">
        <v>1.1094422701693822</v>
      </c>
      <c r="H53" s="335">
        <v>1.3218101851851847</v>
      </c>
      <c r="I53" s="316">
        <v>0.10557988703703701</v>
      </c>
      <c r="J53" s="316">
        <v>0.75457965885964196</v>
      </c>
      <c r="K53" s="316">
        <v>8.43E-2</v>
      </c>
      <c r="L53" s="316">
        <v>0.29468159911524217</v>
      </c>
      <c r="M53" s="316">
        <v>9.3098681194617505E-2</v>
      </c>
      <c r="N53" s="335">
        <v>1.156542963009318</v>
      </c>
      <c r="O53" s="335">
        <v>1.4114808825055776</v>
      </c>
      <c r="P53" s="335">
        <v>4.0948170440123057</v>
      </c>
      <c r="Q53" s="335">
        <v>5.5400878550859574</v>
      </c>
      <c r="R53" s="335">
        <v>1.7343466141709452</v>
      </c>
      <c r="S53" s="335">
        <v>43.790315662457722</v>
      </c>
      <c r="T53" s="316">
        <v>0.13832161112636768</v>
      </c>
      <c r="U53" s="316">
        <v>7.5915819537514043E-2</v>
      </c>
      <c r="V53" s="316">
        <v>2.6336617976390067E-3</v>
      </c>
      <c r="W53" s="316">
        <v>9.2697402421260483E-2</v>
      </c>
      <c r="X53" s="316">
        <v>0.16623740048824762</v>
      </c>
      <c r="Y53" s="316">
        <v>0.31424162685000007</v>
      </c>
      <c r="Z53" s="316">
        <v>0.31424162685000012</v>
      </c>
    </row>
    <row r="54" spans="1:26">
      <c r="A54" t="s">
        <v>563</v>
      </c>
      <c r="B54">
        <v>24</v>
      </c>
      <c r="C54" s="316">
        <v>3.0261333333333335E-2</v>
      </c>
      <c r="D54" s="316">
        <v>7.3883230774293304E-2</v>
      </c>
      <c r="E54" s="316">
        <v>0.18431653756219374</v>
      </c>
      <c r="F54" s="316">
        <v>0.20097938419124647</v>
      </c>
      <c r="G54" s="335">
        <v>1.3336679465607404</v>
      </c>
      <c r="H54" s="335">
        <v>1.8129217391304349</v>
      </c>
      <c r="I54" s="316">
        <v>0.13485013565217391</v>
      </c>
      <c r="J54" s="316">
        <v>0.39462479084116475</v>
      </c>
      <c r="K54" s="316">
        <v>4.1800000000000004E-2</v>
      </c>
      <c r="L54" s="316">
        <v>0.3803227485546683</v>
      </c>
      <c r="M54" s="316">
        <v>9.5486679585158121E-2</v>
      </c>
      <c r="N54" s="335">
        <v>2.7026841465496232</v>
      </c>
      <c r="O54" s="335">
        <v>0.86581833718917833</v>
      </c>
      <c r="P54" s="335">
        <v>7.4333722786727776</v>
      </c>
      <c r="Q54" s="335">
        <v>11.066231477566035</v>
      </c>
      <c r="R54" s="335">
        <v>2.372445185649223</v>
      </c>
      <c r="S54" s="335">
        <v>17.396786967080253</v>
      </c>
      <c r="T54" s="316">
        <v>9.107403172200465E-2</v>
      </c>
      <c r="U54" s="316">
        <v>2.6263615123893514E-2</v>
      </c>
      <c r="V54" s="316">
        <v>6.5626106485899505E-2</v>
      </c>
      <c r="W54" s="316">
        <v>1.1314911000361882</v>
      </c>
      <c r="X54" s="316">
        <v>0.17345872906715237</v>
      </c>
      <c r="Y54" s="316">
        <v>0.48503739579538385</v>
      </c>
      <c r="Z54" s="316">
        <v>0.48503739579538385</v>
      </c>
    </row>
    <row r="55" spans="1:26">
      <c r="A55" t="s">
        <v>564</v>
      </c>
      <c r="B55">
        <v>5</v>
      </c>
      <c r="C55" s="316">
        <v>-6.8900000000000003E-2</v>
      </c>
      <c r="D55" s="316">
        <v>8.4475166113512953E-2</v>
      </c>
      <c r="E55" s="316">
        <v>7.9931714394995676E-2</v>
      </c>
      <c r="F55" s="316">
        <v>0.12639762586469935</v>
      </c>
      <c r="G55" s="335">
        <v>1.0556071646429179</v>
      </c>
      <c r="H55" s="335">
        <v>1.1578600000000001</v>
      </c>
      <c r="I55" s="316">
        <v>9.5808456000000014E-2</v>
      </c>
      <c r="J55" s="316">
        <v>0.17619701820832323</v>
      </c>
      <c r="K55" s="316">
        <v>3.5799999999999998E-2</v>
      </c>
      <c r="L55" s="316">
        <v>0.14709655650283113</v>
      </c>
      <c r="M55" s="316">
        <v>8.5664904580648016E-2</v>
      </c>
      <c r="N55" s="335">
        <v>1.0264490716363879</v>
      </c>
      <c r="O55" s="335">
        <v>1.3799075966504435</v>
      </c>
      <c r="P55" s="335">
        <v>7.7000720738373509</v>
      </c>
      <c r="Q55" s="335">
        <v>16.135009362502103</v>
      </c>
      <c r="R55" s="335">
        <v>1.4555695434547733</v>
      </c>
      <c r="S55" s="335">
        <v>12.961159995273192</v>
      </c>
      <c r="T55" s="316">
        <v>3.6626439334251415E-2</v>
      </c>
      <c r="U55" s="316">
        <v>8.2473099319922236E-2</v>
      </c>
      <c r="V55" s="316">
        <v>-8.0421929438863251E-3</v>
      </c>
      <c r="W55" s="316">
        <v>-4.4363787352233161E-2</v>
      </c>
      <c r="X55" s="316">
        <v>0.11824983269366066</v>
      </c>
      <c r="Y55" s="316">
        <v>0.58959537572254339</v>
      </c>
      <c r="Z55" s="316">
        <v>0.58959537572254339</v>
      </c>
    </row>
    <row r="56" spans="1:26">
      <c r="A56" t="s">
        <v>565</v>
      </c>
      <c r="B56">
        <v>301</v>
      </c>
      <c r="C56" s="316">
        <v>-1.8838636363636363E-2</v>
      </c>
      <c r="D56" s="316">
        <v>0.13735488109188473</v>
      </c>
      <c r="E56" s="316">
        <v>7.1903306860103641E-2</v>
      </c>
      <c r="F56" s="316">
        <v>0.16578912614051766</v>
      </c>
      <c r="G56" s="335">
        <v>1.0743174544514105</v>
      </c>
      <c r="H56" s="335">
        <v>1.4533522093522093</v>
      </c>
      <c r="I56" s="316">
        <v>0.11341979167739168</v>
      </c>
      <c r="J56" s="316">
        <v>0.57358375573765152</v>
      </c>
      <c r="K56" s="316">
        <v>4.5600000000000002E-2</v>
      </c>
      <c r="L56" s="316">
        <v>0.35561905864655141</v>
      </c>
      <c r="M56" s="316">
        <v>8.5247723934901737E-2</v>
      </c>
      <c r="N56" s="335">
        <v>0.52088012553661878</v>
      </c>
      <c r="O56" s="335">
        <v>2.7185625624853116</v>
      </c>
      <c r="P56" s="335">
        <v>5.7278782023156669</v>
      </c>
      <c r="Q56" s="335">
        <v>18.769051826645683</v>
      </c>
      <c r="R56" s="335">
        <v>1.303934676498256</v>
      </c>
      <c r="S56" s="335">
        <v>22.078783059906062</v>
      </c>
      <c r="T56" s="316">
        <v>-3.2227225078281491E-2</v>
      </c>
      <c r="U56" s="316">
        <v>0.46144123074641202</v>
      </c>
      <c r="V56" s="316">
        <v>0.20286319174149073</v>
      </c>
      <c r="W56" s="316">
        <v>1.8569250598546849</v>
      </c>
      <c r="X56" s="316">
        <v>8.9801514475512711E-2</v>
      </c>
      <c r="Y56" s="316">
        <v>0.23248606117792636</v>
      </c>
      <c r="Z56" s="316">
        <v>0.23248606117792636</v>
      </c>
    </row>
    <row r="57" spans="1:26">
      <c r="A57" t="s">
        <v>566</v>
      </c>
      <c r="B57">
        <v>20</v>
      </c>
      <c r="C57" s="316">
        <v>0.17172499999999999</v>
      </c>
      <c r="D57" s="316">
        <v>0.16609303185351232</v>
      </c>
      <c r="E57" s="316">
        <v>7.23601060479723E-2</v>
      </c>
      <c r="F57" s="316">
        <v>0.36167073207456263</v>
      </c>
      <c r="G57" s="335">
        <v>0.6231608561764338</v>
      </c>
      <c r="H57" s="335">
        <v>1.0711679012345678</v>
      </c>
      <c r="I57" s="316">
        <v>9.0641606913580253E-2</v>
      </c>
      <c r="J57" s="316">
        <v>0.360303171652889</v>
      </c>
      <c r="K57" s="316">
        <v>4.1800000000000004E-2</v>
      </c>
      <c r="L57" s="316">
        <v>0.50317328475158574</v>
      </c>
      <c r="M57" s="316">
        <v>6.0807654304674247E-2</v>
      </c>
      <c r="N57" s="335">
        <v>0.47069473922162997</v>
      </c>
      <c r="O57" s="335">
        <v>3.4261023558651629</v>
      </c>
      <c r="P57" s="335">
        <v>12.303180809921246</v>
      </c>
      <c r="Q57" s="335">
        <v>20.387477807827757</v>
      </c>
      <c r="R57" s="335">
        <v>1.3630945518578448</v>
      </c>
      <c r="S57" s="335">
        <v>55.400409630384445</v>
      </c>
      <c r="T57" s="316">
        <v>4.2014936400057164E-2</v>
      </c>
      <c r="U57" s="316">
        <v>0.23864256610798748</v>
      </c>
      <c r="V57" s="316">
        <v>0.13791571175523643</v>
      </c>
      <c r="W57" s="316">
        <v>1.1410218205134721</v>
      </c>
      <c r="X57" s="316">
        <v>6.7503723737088378E-2</v>
      </c>
      <c r="Y57" s="316">
        <v>1.5794403407699313</v>
      </c>
      <c r="Z57" s="316">
        <v>1.5794403407699313</v>
      </c>
    </row>
    <row r="58" spans="1:26">
      <c r="A58" t="s">
        <v>567</v>
      </c>
      <c r="B58">
        <v>134</v>
      </c>
      <c r="C58" s="316">
        <v>4.9927681159420291E-2</v>
      </c>
      <c r="D58" s="316">
        <v>4.7422153442043397E-2</v>
      </c>
      <c r="E58" s="316">
        <v>0.13705327972575945</v>
      </c>
      <c r="F58" s="316">
        <v>0.12006895268249351</v>
      </c>
      <c r="G58" s="335">
        <v>1.0668864769579942</v>
      </c>
      <c r="H58" s="335">
        <v>1.3278635748792276</v>
      </c>
      <c r="I58" s="316">
        <v>0.10594066906280197</v>
      </c>
      <c r="J58" s="316">
        <v>0.49290404209349575</v>
      </c>
      <c r="K58" s="316">
        <v>4.5600000000000002E-2</v>
      </c>
      <c r="L58" s="316">
        <v>0.31869798356422718</v>
      </c>
      <c r="M58" s="316">
        <v>8.3077062492938447E-2</v>
      </c>
      <c r="N58" s="335">
        <v>2.9046444660055464</v>
      </c>
      <c r="O58" s="335">
        <v>0.63860357086530328</v>
      </c>
      <c r="P58" s="335">
        <v>7.1874546076252281</v>
      </c>
      <c r="Q58" s="335">
        <v>12.898309819867771</v>
      </c>
      <c r="R58" s="335">
        <v>1.1693383342782016</v>
      </c>
      <c r="S58" s="335">
        <v>21.751988880094451</v>
      </c>
      <c r="T58" s="316">
        <v>8.4618288954568466E-2</v>
      </c>
      <c r="U58" s="316">
        <v>3.7496109366825778E-2</v>
      </c>
      <c r="V58" s="316">
        <v>1.6236274244693632E-2</v>
      </c>
      <c r="W58" s="316">
        <v>0.51025359425386818</v>
      </c>
      <c r="X58" s="316">
        <v>0.10192982551258584</v>
      </c>
      <c r="Y58" s="316">
        <v>0.46594669629580054</v>
      </c>
      <c r="Z58" s="316">
        <v>0.46594669629580054</v>
      </c>
    </row>
    <row r="59" spans="1:26">
      <c r="A59" t="s">
        <v>568</v>
      </c>
      <c r="B59">
        <v>27</v>
      </c>
      <c r="C59" s="316">
        <v>3.0866666666666667E-2</v>
      </c>
      <c r="D59" s="316">
        <v>0.10549882278594462</v>
      </c>
      <c r="E59" s="316">
        <v>0.17679219886695752</v>
      </c>
      <c r="F59" s="316">
        <v>0.23089006401335935</v>
      </c>
      <c r="G59" s="335">
        <v>0.73705502274807633</v>
      </c>
      <c r="H59" s="335">
        <v>1.0749449074074073</v>
      </c>
      <c r="I59" s="316">
        <v>9.086671648148148E-2</v>
      </c>
      <c r="J59" s="316">
        <v>0.27465343415585192</v>
      </c>
      <c r="K59" s="316">
        <v>4.1800000000000004E-2</v>
      </c>
      <c r="L59" s="316">
        <v>0.399081157948248</v>
      </c>
      <c r="M59" s="316">
        <v>6.7114716350774276E-2</v>
      </c>
      <c r="N59" s="335">
        <v>1.8936185251959525</v>
      </c>
      <c r="O59" s="335">
        <v>1.3430640546016788</v>
      </c>
      <c r="P59" s="335">
        <v>8.0287897577060932</v>
      </c>
      <c r="Q59" s="335">
        <v>12.51171439800866</v>
      </c>
      <c r="R59" s="335">
        <v>2.621873514391591</v>
      </c>
      <c r="S59" s="335">
        <v>17.573399144400728</v>
      </c>
      <c r="T59" s="316">
        <v>0.10685967601917817</v>
      </c>
      <c r="U59" s="316">
        <v>5.747876827887316E-2</v>
      </c>
      <c r="V59" s="316">
        <v>6.6184395420934988E-2</v>
      </c>
      <c r="W59" s="316">
        <v>0.78909314075936277</v>
      </c>
      <c r="X59" s="316">
        <v>0.27340402394036817</v>
      </c>
      <c r="Y59" s="316">
        <v>0.28162138736449455</v>
      </c>
      <c r="Z59" s="316">
        <v>0.2816213873644946</v>
      </c>
    </row>
    <row r="60" spans="1:26">
      <c r="A60" t="s">
        <v>569</v>
      </c>
      <c r="B60">
        <v>20</v>
      </c>
      <c r="C60" s="316">
        <v>6.9341666666666676E-2</v>
      </c>
      <c r="D60" s="316">
        <v>7.641257432598493E-2</v>
      </c>
      <c r="E60" s="316">
        <v>0.15400895907062817</v>
      </c>
      <c r="F60" s="316">
        <v>0.21680938004826605</v>
      </c>
      <c r="G60" s="335">
        <v>1.1728745712683208</v>
      </c>
      <c r="H60" s="335">
        <v>1.395969590643275</v>
      </c>
      <c r="I60" s="316">
        <v>0.10999978760233919</v>
      </c>
      <c r="J60" s="316">
        <v>0.42718555495233718</v>
      </c>
      <c r="K60" s="316">
        <v>4.5600000000000002E-2</v>
      </c>
      <c r="L60" s="316">
        <v>0.32598994436886214</v>
      </c>
      <c r="M60" s="316">
        <v>8.5289819058681077E-2</v>
      </c>
      <c r="N60" s="335">
        <v>2.178500947022008</v>
      </c>
      <c r="O60" s="335">
        <v>0.58900111908135733</v>
      </c>
      <c r="P60" s="335">
        <v>4.7623232049168402</v>
      </c>
      <c r="Q60" s="335">
        <v>7.5784397268431771</v>
      </c>
      <c r="R60" s="335">
        <v>1.2054078169994731</v>
      </c>
      <c r="S60" s="335">
        <v>33.352525029374533</v>
      </c>
      <c r="T60" s="316">
        <v>0.12766914628890649</v>
      </c>
      <c r="U60" s="316">
        <v>4.4804863976710095E-2</v>
      </c>
      <c r="V60" s="316">
        <v>6.23879684908203E-3</v>
      </c>
      <c r="W60" s="316">
        <v>0.20254469721211843</v>
      </c>
      <c r="X60" s="316">
        <v>8.4452735035519172E-2</v>
      </c>
      <c r="Y60" s="316">
        <v>0.4170599534991723</v>
      </c>
      <c r="Z60" s="316">
        <v>0.41705995349917235</v>
      </c>
    </row>
    <row r="61" spans="1:26">
      <c r="A61" t="s">
        <v>570</v>
      </c>
      <c r="B61">
        <v>51</v>
      </c>
      <c r="C61" s="316">
        <v>4.987521739130435E-2</v>
      </c>
      <c r="D61" s="316">
        <v>0.18877177179805388</v>
      </c>
      <c r="E61" s="316">
        <v>6.9104101603661178E-2</v>
      </c>
      <c r="F61" s="316">
        <v>0.15511070349471817</v>
      </c>
      <c r="G61" s="335">
        <v>0.3460165075906414</v>
      </c>
      <c r="H61" s="335">
        <v>0.54395646258503405</v>
      </c>
      <c r="I61" s="316">
        <v>5.9219805170068029E-2</v>
      </c>
      <c r="J61" s="316">
        <v>0.20533951611915865</v>
      </c>
      <c r="K61" s="316">
        <v>3.5799999999999998E-2</v>
      </c>
      <c r="L61" s="316">
        <v>0.44260669225022686</v>
      </c>
      <c r="M61" s="316">
        <v>4.4892712774959924E-2</v>
      </c>
      <c r="N61" s="335">
        <v>0.43092641770446677</v>
      </c>
      <c r="O61" s="335">
        <v>3.516320379948938</v>
      </c>
      <c r="P61" s="335">
        <v>10.368802354737554</v>
      </c>
      <c r="Q61" s="335">
        <v>18.946975289803767</v>
      </c>
      <c r="R61" s="335">
        <v>1.6836137416925701</v>
      </c>
      <c r="S61" s="335">
        <v>23.028519595617951</v>
      </c>
      <c r="T61" s="316">
        <v>4.9443918354772742E-2</v>
      </c>
      <c r="U61" s="316">
        <v>0.30780777558589972</v>
      </c>
      <c r="V61" s="316">
        <v>0.18817424159943735</v>
      </c>
      <c r="W61" s="316">
        <v>1.1936536680465797</v>
      </c>
      <c r="X61" s="316">
        <v>9.2738801428353723E-2</v>
      </c>
      <c r="Y61" s="316">
        <v>0.66779726326985733</v>
      </c>
      <c r="Z61" s="316">
        <v>0.66779726326985733</v>
      </c>
    </row>
    <row r="62" spans="1:26">
      <c r="A62" t="s">
        <v>571</v>
      </c>
      <c r="B62">
        <v>91</v>
      </c>
      <c r="C62" s="316">
        <v>-9.3261999999999998E-2</v>
      </c>
      <c r="D62" s="316">
        <v>0.1028890764334853</v>
      </c>
      <c r="E62" s="316">
        <v>4.6451383140911878E-2</v>
      </c>
      <c r="F62" s="316">
        <v>1.1481428271201974</v>
      </c>
      <c r="G62" s="335">
        <v>1.1490747541483908</v>
      </c>
      <c r="H62" s="335">
        <v>1.1914886002886005</v>
      </c>
      <c r="I62" s="316">
        <v>9.7812720577200599E-2</v>
      </c>
      <c r="J62" s="316">
        <v>0.745434836185771</v>
      </c>
      <c r="K62" s="316">
        <v>5.4300000000000001E-2</v>
      </c>
      <c r="L62" s="316">
        <v>0.17523935251131612</v>
      </c>
      <c r="M62" s="316">
        <v>8.7808705386905023E-2</v>
      </c>
      <c r="N62" s="335">
        <v>0.45157863662170239</v>
      </c>
      <c r="O62" s="335">
        <v>3.1269341128336277</v>
      </c>
      <c r="P62" s="335">
        <v>8.1504620203560005</v>
      </c>
      <c r="Q62" s="335">
        <v>29.544991528384816</v>
      </c>
      <c r="R62" s="335">
        <v>1.3978168997548348</v>
      </c>
      <c r="S62" s="335">
        <v>263.94639069198433</v>
      </c>
      <c r="T62" s="316">
        <v>0.15002071334471526</v>
      </c>
      <c r="U62" s="316">
        <v>0.20598931459965056</v>
      </c>
      <c r="V62" s="316">
        <v>4.7525414254459778E-3</v>
      </c>
      <c r="W62" s="316">
        <v>1.2163128096825331</v>
      </c>
      <c r="X62" s="316">
        <v>-2.9470895199172439E-2</v>
      </c>
      <c r="Y62" s="316">
        <v>6.9444444444444447E-4</v>
      </c>
      <c r="Z62" s="316">
        <v>6.9444444444444198E-4</v>
      </c>
    </row>
    <row r="63" spans="1:26">
      <c r="A63" t="s">
        <v>659</v>
      </c>
      <c r="B63">
        <v>33</v>
      </c>
      <c r="C63" s="316">
        <v>-9.9474999999999911E-3</v>
      </c>
      <c r="D63" s="316">
        <v>7.2854965014286496E-2</v>
      </c>
      <c r="E63" s="316">
        <v>0.14976409202023588</v>
      </c>
      <c r="F63" s="316">
        <v>0.46477351821887974</v>
      </c>
      <c r="G63" s="335">
        <v>0.89788591137584506</v>
      </c>
      <c r="H63" s="335">
        <v>1.255168100358423</v>
      </c>
      <c r="I63" s="316">
        <v>0.10160801878136201</v>
      </c>
      <c r="J63" s="316">
        <v>0.39315783028815493</v>
      </c>
      <c r="K63" s="316">
        <v>4.1800000000000004E-2</v>
      </c>
      <c r="L63" s="316">
        <v>0.41219058618014903</v>
      </c>
      <c r="M63" s="316">
        <v>7.2648324836016479E-2</v>
      </c>
      <c r="N63" s="335">
        <v>2.3448764546579448</v>
      </c>
      <c r="O63" s="335">
        <v>0.90235202333767184</v>
      </c>
      <c r="P63" s="335">
        <v>6.8372713383506794</v>
      </c>
      <c r="Q63" s="335">
        <v>12.313548488470204</v>
      </c>
      <c r="R63" s="335">
        <v>1.2451910457211997</v>
      </c>
      <c r="S63" s="335">
        <v>37.879646989649331</v>
      </c>
      <c r="T63" s="316">
        <v>0.14224917683432914</v>
      </c>
      <c r="U63" s="316">
        <v>3.0978004045693161E-2</v>
      </c>
      <c r="V63" s="316">
        <v>8.8413503009109246E-2</v>
      </c>
      <c r="W63" s="316">
        <v>1.7150498463984516</v>
      </c>
      <c r="X63" s="316">
        <v>-2.3037301067798166E-2</v>
      </c>
      <c r="Y63" s="316">
        <v>9.1989949971530739E-3</v>
      </c>
      <c r="Z63" s="316">
        <v>9.1989949971530427E-3</v>
      </c>
    </row>
    <row r="64" spans="1:26">
      <c r="A64" t="s">
        <v>572</v>
      </c>
      <c r="B64">
        <v>238</v>
      </c>
      <c r="C64" s="316">
        <v>0.14608423076923083</v>
      </c>
      <c r="D64" s="316">
        <v>0.25733413039218006</v>
      </c>
      <c r="E64" s="316">
        <v>3.1703261024566706E-2</v>
      </c>
      <c r="F64" s="316">
        <v>2.1687460015406317E-2</v>
      </c>
      <c r="G64" s="335">
        <v>0.40946857953268101</v>
      </c>
      <c r="H64" s="335">
        <v>0.6779410818713455</v>
      </c>
      <c r="I64" s="316">
        <v>6.7205288479532194E-2</v>
      </c>
      <c r="J64" s="316">
        <v>0.21221096012551544</v>
      </c>
      <c r="K64" s="316">
        <v>3.5799999999999998E-2</v>
      </c>
      <c r="L64" s="316">
        <v>0.47563029470453888</v>
      </c>
      <c r="M64" s="316">
        <v>4.8011090727125609E-2</v>
      </c>
      <c r="N64" s="335">
        <v>0.14384316080051229</v>
      </c>
      <c r="O64" s="335">
        <v>10.63668062905273</v>
      </c>
      <c r="P64" s="335">
        <v>19.202756343386465</v>
      </c>
      <c r="Q64" s="335">
        <v>42.226355399427106</v>
      </c>
      <c r="R64" s="335">
        <v>1.8791801277810796</v>
      </c>
      <c r="S64" s="335">
        <v>36.582936301704493</v>
      </c>
      <c r="T64" s="316">
        <v>0.61596518611982953</v>
      </c>
      <c r="U64" s="316">
        <v>3.4132019890944408E-2</v>
      </c>
      <c r="V64" s="316">
        <v>-4.8020054037839426E-2</v>
      </c>
      <c r="W64" s="316">
        <v>-0.20164024422535295</v>
      </c>
      <c r="X64" s="316">
        <v>9.4852391836706379E-2</v>
      </c>
      <c r="Y64" s="316">
        <v>1.3047019666056465</v>
      </c>
      <c r="Z64" s="316">
        <v>1.3047019666056465</v>
      </c>
    </row>
    <row r="65" spans="1:26">
      <c r="A65" t="s">
        <v>573</v>
      </c>
      <c r="B65">
        <v>18</v>
      </c>
      <c r="C65" s="316">
        <v>9.8379999999999995E-2</v>
      </c>
      <c r="D65" s="316">
        <v>9.0681881658221275E-2</v>
      </c>
      <c r="E65" s="316">
        <v>8.8314323979757393E-3</v>
      </c>
      <c r="F65" s="316">
        <v>0</v>
      </c>
      <c r="G65" s="335">
        <v>0.87103759301648254</v>
      </c>
      <c r="H65" s="335">
        <v>1.1946681481481485</v>
      </c>
      <c r="I65" s="316">
        <v>9.8002221629629654E-2</v>
      </c>
      <c r="J65" s="316">
        <v>0.40783718362831506</v>
      </c>
      <c r="K65" s="316">
        <v>4.5600000000000002E-2</v>
      </c>
      <c r="L65" s="316">
        <v>0.40986121985010332</v>
      </c>
      <c r="M65" s="316">
        <v>7.1852165243363006E-2</v>
      </c>
      <c r="N65" s="335">
        <v>0.17888572139148473</v>
      </c>
      <c r="O65" s="335">
        <v>7.1458479631189533</v>
      </c>
      <c r="P65" s="335">
        <v>33.801170912233857</v>
      </c>
      <c r="Q65" s="335">
        <v>140.5626369993619</v>
      </c>
      <c r="R65" s="335">
        <v>1.2992535058221402</v>
      </c>
      <c r="S65" s="335">
        <v>13.728159756798554</v>
      </c>
      <c r="T65" s="316">
        <v>0.23164106451741615</v>
      </c>
      <c r="U65" s="316">
        <v>0.2698878825360092</v>
      </c>
      <c r="V65" s="316">
        <v>0.16224713721422013</v>
      </c>
      <c r="W65" s="316">
        <v>3.058307279258496</v>
      </c>
      <c r="X65" s="316">
        <v>5.3588509858987506E-2</v>
      </c>
      <c r="Y65" s="316">
        <v>0</v>
      </c>
      <c r="Z65" s="316">
        <v>0</v>
      </c>
    </row>
    <row r="66" spans="1:26">
      <c r="A66" t="s">
        <v>574</v>
      </c>
      <c r="B66">
        <v>11</v>
      </c>
      <c r="C66" s="316">
        <v>0.14624833333333334</v>
      </c>
      <c r="D66" s="316">
        <v>0.34013784920248691</v>
      </c>
      <c r="E66" s="316">
        <v>0.11989373462746633</v>
      </c>
      <c r="F66" s="316">
        <v>0.15513729724423941</v>
      </c>
      <c r="G66" s="335">
        <v>1.3273571545799101</v>
      </c>
      <c r="H66" s="335">
        <v>1.3648122222222221</v>
      </c>
      <c r="I66" s="316">
        <v>0.10814280844444445</v>
      </c>
      <c r="J66" s="316">
        <v>0.21502070283968019</v>
      </c>
      <c r="K66" s="316">
        <v>3.5799999999999998E-2</v>
      </c>
      <c r="L66" s="316">
        <v>0.33261535881029369</v>
      </c>
      <c r="M66" s="316">
        <v>8.110357179499908E-2</v>
      </c>
      <c r="N66" s="335">
        <v>0.38281027197526746</v>
      </c>
      <c r="O66" s="335">
        <v>4.3763389289105037</v>
      </c>
      <c r="P66" s="335">
        <v>6.9684187437004175</v>
      </c>
      <c r="Q66" s="335">
        <v>10.702748792522486</v>
      </c>
      <c r="R66" s="335">
        <v>0.81955544301384398</v>
      </c>
      <c r="S66" s="335">
        <v>21.507120335759826</v>
      </c>
      <c r="T66" s="316">
        <v>2.1550666827062406</v>
      </c>
      <c r="U66" s="316">
        <v>9.6893608412027491E-3</v>
      </c>
      <c r="V66" s="316">
        <v>-5.5553884766596853E-2</v>
      </c>
      <c r="W66" s="316">
        <v>0.89778642833437095</v>
      </c>
      <c r="X66" s="316">
        <v>0.18277692389744385</v>
      </c>
      <c r="Y66" s="316">
        <v>5.8094230699087132E-2</v>
      </c>
      <c r="Z66" s="316">
        <v>5.8094230699087146E-2</v>
      </c>
    </row>
    <row r="67" spans="1:26">
      <c r="A67" t="s">
        <v>575</v>
      </c>
      <c r="B67">
        <v>59</v>
      </c>
      <c r="C67" s="316">
        <v>7.6976363636363662E-2</v>
      </c>
      <c r="D67" s="316">
        <v>7.1251865194406572E-2</v>
      </c>
      <c r="E67" s="316">
        <v>0.11082646254113668</v>
      </c>
      <c r="F67" s="316">
        <v>0.33495683574277541</v>
      </c>
      <c r="G67" s="335">
        <v>0.95287705840966175</v>
      </c>
      <c r="H67" s="335">
        <v>1.3460990929705217</v>
      </c>
      <c r="I67" s="316">
        <v>0.1070275059410431</v>
      </c>
      <c r="J67" s="316">
        <v>0.42491288645085756</v>
      </c>
      <c r="K67" s="316">
        <v>4.5600000000000002E-2</v>
      </c>
      <c r="L67" s="316">
        <v>0.39517359592343337</v>
      </c>
      <c r="M67" s="316">
        <v>7.82479985361859E-2</v>
      </c>
      <c r="N67" s="335">
        <v>1.6829076340518379</v>
      </c>
      <c r="O67" s="335">
        <v>1.4449880216449453</v>
      </c>
      <c r="P67" s="335">
        <v>10.742768149797939</v>
      </c>
      <c r="Q67" s="335">
        <v>19.006421605639883</v>
      </c>
      <c r="R67" s="335">
        <v>2.0478733017049704</v>
      </c>
      <c r="S67" s="335">
        <v>18.372384414276176</v>
      </c>
      <c r="T67" s="316">
        <v>0.1192194161408595</v>
      </c>
      <c r="U67" s="316">
        <v>1.4673031420532064E-2</v>
      </c>
      <c r="V67" s="316">
        <v>-4.9260796811050628E-3</v>
      </c>
      <c r="W67" s="316">
        <v>-5.8995453965051174E-2</v>
      </c>
      <c r="X67" s="316">
        <v>0.1586633834628853</v>
      </c>
      <c r="Y67" s="316">
        <v>0.15790454322690728</v>
      </c>
      <c r="Z67" s="316">
        <v>0.15790454322690728</v>
      </c>
    </row>
    <row r="68" spans="1:26">
      <c r="A68" t="s">
        <v>576</v>
      </c>
      <c r="B68">
        <v>72</v>
      </c>
      <c r="C68" s="316">
        <v>4.9324193548387102E-2</v>
      </c>
      <c r="D68" s="316">
        <v>8.8048697040767343E-2</v>
      </c>
      <c r="E68" s="316">
        <v>0.12729999094236399</v>
      </c>
      <c r="F68" s="316">
        <v>0.36802295671825974</v>
      </c>
      <c r="G68" s="335">
        <v>0.80923296728017891</v>
      </c>
      <c r="H68" s="335">
        <v>0.97858395061728398</v>
      </c>
      <c r="I68" s="316">
        <v>8.5123603456790126E-2</v>
      </c>
      <c r="J68" s="316">
        <v>0.42731430588951713</v>
      </c>
      <c r="K68" s="316">
        <v>4.5600000000000002E-2</v>
      </c>
      <c r="L68" s="316">
        <v>0.26641120402581497</v>
      </c>
      <c r="M68" s="316">
        <v>7.1556984946533522E-2</v>
      </c>
      <c r="N68" s="335">
        <v>1.5456122611769123</v>
      </c>
      <c r="O68" s="335">
        <v>1.898170989989153</v>
      </c>
      <c r="P68" s="335">
        <v>12.318043182451945</v>
      </c>
      <c r="Q68" s="335">
        <v>21.267106340387524</v>
      </c>
      <c r="R68" s="335">
        <v>3.8636838019319075</v>
      </c>
      <c r="S68" s="335">
        <v>21.260969177514202</v>
      </c>
      <c r="T68" s="316">
        <v>0.18904828404034871</v>
      </c>
      <c r="U68" s="316">
        <v>4.7151917879715941E-2</v>
      </c>
      <c r="V68" s="316">
        <v>6.2895467586160186E-2</v>
      </c>
      <c r="W68" s="316">
        <v>0.88729377123987552</v>
      </c>
      <c r="X68" s="316">
        <v>9.0300648831004693E-2</v>
      </c>
      <c r="Y68" s="316">
        <v>0.92550652651594179</v>
      </c>
      <c r="Z68" s="316">
        <v>0.92550652651594179</v>
      </c>
    </row>
    <row r="69" spans="1:26">
      <c r="A69" t="s">
        <v>577</v>
      </c>
      <c r="B69">
        <v>2</v>
      </c>
      <c r="C69" s="316">
        <v>6.6099999999999992E-2</v>
      </c>
      <c r="D69" s="316">
        <v>0.11847979206761769</v>
      </c>
      <c r="E69" s="316">
        <v>0.11026895172464408</v>
      </c>
      <c r="F69" s="316">
        <v>0.10633344419632253</v>
      </c>
      <c r="G69" s="335">
        <v>0.8820173563179452</v>
      </c>
      <c r="H69" s="335">
        <v>0.97012222222222233</v>
      </c>
      <c r="I69" s="316">
        <v>8.4619284444444456E-2</v>
      </c>
      <c r="J69" s="316">
        <v>0.16272070696910848</v>
      </c>
      <c r="K69" s="316">
        <v>3.5799999999999998E-2</v>
      </c>
      <c r="L69" s="316">
        <v>0.22999782202790869</v>
      </c>
      <c r="M69" s="316">
        <v>7.1332474842111485E-2</v>
      </c>
      <c r="N69" s="335">
        <v>1.0364801330069928</v>
      </c>
      <c r="O69" s="335">
        <v>1.0448766440434418</v>
      </c>
      <c r="P69" s="335">
        <v>8.1063384493855946</v>
      </c>
      <c r="Q69" s="335">
        <v>8.8584370703024273</v>
      </c>
      <c r="R69" s="335">
        <v>1.0426213979171599</v>
      </c>
      <c r="S69" s="335">
        <v>7.5246983767164206</v>
      </c>
      <c r="T69" s="316">
        <v>-6.0762683280094097E-3</v>
      </c>
      <c r="U69" s="316">
        <v>3.4870339874208843E-3</v>
      </c>
      <c r="V69" s="316">
        <v>2.1229737505208176E-3</v>
      </c>
      <c r="W69" s="316">
        <v>0.20969954103596691</v>
      </c>
      <c r="X69" s="316">
        <v>0.16735693117602665</v>
      </c>
      <c r="Y69" s="316">
        <v>4.9347411643936058E-2</v>
      </c>
      <c r="Z69" s="316">
        <v>4.9347411643936079E-2</v>
      </c>
    </row>
    <row r="70" spans="1:26">
      <c r="A70" t="s">
        <v>578</v>
      </c>
      <c r="B70">
        <v>78</v>
      </c>
      <c r="C70" s="316">
        <v>6.7511702127659556E-2</v>
      </c>
      <c r="D70" s="316">
        <v>0.15777926720199198</v>
      </c>
      <c r="E70" s="316">
        <v>0.18897711557886759</v>
      </c>
      <c r="F70" s="316">
        <v>0.26334904857464853</v>
      </c>
      <c r="G70" s="335">
        <v>0.65106883994983511</v>
      </c>
      <c r="H70" s="335">
        <v>0.79808174603174609</v>
      </c>
      <c r="I70" s="316">
        <v>7.4365672063492066E-2</v>
      </c>
      <c r="J70" s="316">
        <v>0.38179353269351113</v>
      </c>
      <c r="K70" s="316">
        <v>4.1800000000000004E-2</v>
      </c>
      <c r="L70" s="316">
        <v>0.26214671643135928</v>
      </c>
      <c r="M70" s="316">
        <v>6.3089254876959461E-2</v>
      </c>
      <c r="N70" s="335">
        <v>1.4538311255576128</v>
      </c>
      <c r="O70" s="335">
        <v>3.4951383813017416</v>
      </c>
      <c r="P70" s="335">
        <v>13.794193421856976</v>
      </c>
      <c r="Q70" s="335">
        <v>24.414938116887086</v>
      </c>
      <c r="R70" s="335" t="s">
        <v>100</v>
      </c>
      <c r="S70" s="335">
        <v>30.270574016600051</v>
      </c>
      <c r="T70" s="316">
        <v>8.115250169866214E-3</v>
      </c>
      <c r="U70" s="316">
        <v>6.8060990400431162E-2</v>
      </c>
      <c r="V70" s="316">
        <v>5.5534727242798745E-2</v>
      </c>
      <c r="W70" s="316">
        <v>0.52445909148991277</v>
      </c>
      <c r="X70" s="316">
        <v>1.3160918812212617E-3</v>
      </c>
      <c r="Y70" s="316">
        <v>0.4452782307240532</v>
      </c>
      <c r="Z70" s="316">
        <v>0.44527823072405326</v>
      </c>
    </row>
    <row r="71" spans="1:26">
      <c r="A71" t="s">
        <v>579</v>
      </c>
      <c r="B71">
        <v>24</v>
      </c>
      <c r="C71" s="316">
        <v>0.10279999999999999</v>
      </c>
      <c r="D71" s="316">
        <v>5.6923366889652688E-2</v>
      </c>
      <c r="E71" s="316">
        <v>0.11368320674625382</v>
      </c>
      <c r="F71" s="316">
        <v>0.17134604200323103</v>
      </c>
      <c r="G71" s="335">
        <v>0.76099800140698393</v>
      </c>
      <c r="H71" s="335">
        <v>1.154252380952381</v>
      </c>
      <c r="I71" s="316">
        <v>9.5593441904761919E-2</v>
      </c>
      <c r="J71" s="316">
        <v>0.33219758631856772</v>
      </c>
      <c r="K71" s="316">
        <v>4.1800000000000004E-2</v>
      </c>
      <c r="L71" s="316">
        <v>0.41829265936950916</v>
      </c>
      <c r="M71" s="316">
        <v>6.8720881743368489E-2</v>
      </c>
      <c r="N71" s="335">
        <v>2.3933507580032942</v>
      </c>
      <c r="O71" s="335">
        <v>0.94212971631212405</v>
      </c>
      <c r="P71" s="335">
        <v>11.211170757746714</v>
      </c>
      <c r="Q71" s="335">
        <v>17.838955747389019</v>
      </c>
      <c r="R71" s="335">
        <v>5.1152747470263566</v>
      </c>
      <c r="S71" s="335">
        <v>11.738051192364798</v>
      </c>
      <c r="T71" s="316">
        <v>0.12942790906810389</v>
      </c>
      <c r="U71" s="316">
        <v>1.9217025515176435E-2</v>
      </c>
      <c r="V71" s="316">
        <v>1.5749940369298557E-2</v>
      </c>
      <c r="W71" s="316">
        <v>0.35373218594110184</v>
      </c>
      <c r="X71" s="316">
        <v>0.41489000036994478</v>
      </c>
      <c r="Y71" s="316">
        <v>3.684874849680362E-2</v>
      </c>
      <c r="Z71" s="316">
        <v>3.6848748496803641E-2</v>
      </c>
    </row>
    <row r="72" spans="1:26">
      <c r="A72" t="s">
        <v>580</v>
      </c>
      <c r="B72">
        <v>17</v>
      </c>
      <c r="C72" s="316">
        <v>4.6823076923076919E-2</v>
      </c>
      <c r="D72" s="316">
        <v>0.11139687311374905</v>
      </c>
      <c r="E72" s="316">
        <v>0.26261319278448253</v>
      </c>
      <c r="F72" s="316">
        <v>0.26731374693483934</v>
      </c>
      <c r="G72" s="335">
        <v>0.96727917776256678</v>
      </c>
      <c r="H72" s="335">
        <v>1.1176954248366013</v>
      </c>
      <c r="I72" s="316">
        <v>9.3414647320261446E-2</v>
      </c>
      <c r="J72" s="316">
        <v>0.46935114242506693</v>
      </c>
      <c r="K72" s="316">
        <v>4.5600000000000002E-2</v>
      </c>
      <c r="L72" s="316">
        <v>0.18594747196721065</v>
      </c>
      <c r="M72" s="316">
        <v>8.2403833347628866E-2</v>
      </c>
      <c r="N72" s="335">
        <v>3.0082361054633107</v>
      </c>
      <c r="O72" s="335">
        <v>1.6365286397083401</v>
      </c>
      <c r="P72" s="335">
        <v>10.965544194648682</v>
      </c>
      <c r="Q72" s="335">
        <v>14.980418480282003</v>
      </c>
      <c r="R72" s="335">
        <v>19.277123964373079</v>
      </c>
      <c r="S72" s="335">
        <v>27.477558329840921</v>
      </c>
      <c r="T72" s="316">
        <v>6.8930822671700656E-2</v>
      </c>
      <c r="U72" s="316">
        <v>2.3083408092978111E-2</v>
      </c>
      <c r="V72" s="316">
        <v>4.4560330441574736E-3</v>
      </c>
      <c r="W72" s="316">
        <v>6.3855097065528624E-2</v>
      </c>
      <c r="X72" s="316">
        <v>0.95944642717992668</v>
      </c>
      <c r="Y72" s="316">
        <v>0.40644232368596139</v>
      </c>
      <c r="Z72" s="316">
        <v>0.40644232368596134</v>
      </c>
    </row>
    <row r="73" spans="1:26">
      <c r="A73" t="s">
        <v>581</v>
      </c>
      <c r="B73">
        <v>88</v>
      </c>
      <c r="C73" s="316">
        <v>6.75104255319149E-2</v>
      </c>
      <c r="D73" s="316">
        <v>8.0107118365304403E-2</v>
      </c>
      <c r="E73" s="316">
        <v>0.15557810838453939</v>
      </c>
      <c r="F73" s="316">
        <v>0.1764995941435214</v>
      </c>
      <c r="G73" s="335">
        <v>0.98702118147956253</v>
      </c>
      <c r="H73" s="335">
        <v>1.4393734417344175</v>
      </c>
      <c r="I73" s="316">
        <v>0.11258665712737129</v>
      </c>
      <c r="J73" s="316">
        <v>0.44589738468861506</v>
      </c>
      <c r="K73" s="316">
        <v>4.5600000000000002E-2</v>
      </c>
      <c r="L73" s="316">
        <v>0.39625651666399669</v>
      </c>
      <c r="M73" s="316">
        <v>8.1525433421144086E-2</v>
      </c>
      <c r="N73" s="335">
        <v>2.0262187276695651</v>
      </c>
      <c r="O73" s="335">
        <v>1.1566977555475906</v>
      </c>
      <c r="P73" s="335">
        <v>10.844308461455332</v>
      </c>
      <c r="Q73" s="335">
        <v>13.797442107437986</v>
      </c>
      <c r="R73" s="335">
        <v>2.3965401983738697</v>
      </c>
      <c r="S73" s="335">
        <v>18.925127531230565</v>
      </c>
      <c r="T73" s="316">
        <v>0.17746446315281994</v>
      </c>
      <c r="U73" s="316">
        <v>6.7125666638076328E-2</v>
      </c>
      <c r="V73" s="316">
        <v>0.11932985557462027</v>
      </c>
      <c r="W73" s="316">
        <v>1.9810413727543623</v>
      </c>
      <c r="X73" s="316">
        <v>0.22705861449172537</v>
      </c>
      <c r="Y73" s="316">
        <v>0.21791596162791482</v>
      </c>
      <c r="Z73" s="316">
        <v>0.21791596162791482</v>
      </c>
    </row>
    <row r="74" spans="1:26">
      <c r="A74" t="s">
        <v>582</v>
      </c>
      <c r="B74">
        <v>19</v>
      </c>
      <c r="C74" s="316">
        <v>1.7892500000000002E-2</v>
      </c>
      <c r="D74" s="316">
        <v>4.3634548659709477E-2</v>
      </c>
      <c r="E74" s="316">
        <v>0.14886138651155248</v>
      </c>
      <c r="F74" s="316">
        <v>0.21657965129395085</v>
      </c>
      <c r="G74" s="335">
        <v>0.7514861871220232</v>
      </c>
      <c r="H74" s="335">
        <v>0.91219629629629628</v>
      </c>
      <c r="I74" s="316">
        <v>8.1166899259259254E-2</v>
      </c>
      <c r="J74" s="316">
        <v>0.39634979752602972</v>
      </c>
      <c r="K74" s="316">
        <v>4.1800000000000004E-2</v>
      </c>
      <c r="L74" s="316">
        <v>0.25421187062850076</v>
      </c>
      <c r="M74" s="316">
        <v>6.8502852109651388E-2</v>
      </c>
      <c r="N74" s="335">
        <v>4.0536328815765339</v>
      </c>
      <c r="O74" s="335">
        <v>0.69833638630437911</v>
      </c>
      <c r="P74" s="335">
        <v>9.3124464736290182</v>
      </c>
      <c r="Q74" s="335">
        <v>16.773708727058384</v>
      </c>
      <c r="R74" s="335">
        <v>3.7276059140942088</v>
      </c>
      <c r="S74" s="335">
        <v>18.482157821928595</v>
      </c>
      <c r="T74" s="316">
        <v>2.0693556528331446E-2</v>
      </c>
      <c r="U74" s="316">
        <v>2.3428511492316954E-2</v>
      </c>
      <c r="V74" s="316">
        <v>1.710869798500593E-2</v>
      </c>
      <c r="W74" s="316">
        <v>0.46737600755878966</v>
      </c>
      <c r="X74" s="316">
        <v>0.14104657856921798</v>
      </c>
      <c r="Y74" s="316">
        <v>0.59133778208888943</v>
      </c>
      <c r="Z74" s="316">
        <v>0.59133778208888943</v>
      </c>
    </row>
    <row r="75" spans="1:26">
      <c r="A75" t="s">
        <v>583</v>
      </c>
      <c r="B75">
        <v>12</v>
      </c>
      <c r="C75" s="316">
        <v>5.7500000000000002E-2</v>
      </c>
      <c r="D75" s="316">
        <v>2.142768049980194E-2</v>
      </c>
      <c r="E75" s="316">
        <v>8.7667692974413722E-2</v>
      </c>
      <c r="F75" s="316">
        <v>6.8615295735704766E-3</v>
      </c>
      <c r="G75" s="335">
        <v>0.28123262190943138</v>
      </c>
      <c r="H75" s="335">
        <v>0.45178989898989902</v>
      </c>
      <c r="I75" s="316">
        <v>5.3726677979797979E-2</v>
      </c>
      <c r="J75" s="316">
        <v>0.33063266948853998</v>
      </c>
      <c r="K75" s="316">
        <v>4.1800000000000004E-2</v>
      </c>
      <c r="L75" s="316">
        <v>0.45484665842812599</v>
      </c>
      <c r="M75" s="316">
        <v>4.3548720773964641E-2</v>
      </c>
      <c r="N75" s="335">
        <v>4.704565473631396</v>
      </c>
      <c r="O75" s="335">
        <v>0.3873838183337705</v>
      </c>
      <c r="P75" s="335">
        <v>7.5040261267337618</v>
      </c>
      <c r="Q75" s="335">
        <v>20.162043973135397</v>
      </c>
      <c r="R75" s="335">
        <v>2.6914680610033304</v>
      </c>
      <c r="S75" s="335">
        <v>12.671516828039541</v>
      </c>
      <c r="T75" s="316">
        <v>6.5740138864348128E-4</v>
      </c>
      <c r="U75" s="316">
        <v>2.6863160530301418E-2</v>
      </c>
      <c r="V75" s="316">
        <v>8.5510668419754472E-3</v>
      </c>
      <c r="W75" s="316">
        <v>0.48291192802173138</v>
      </c>
      <c r="X75" s="316">
        <v>0.41638384807561751</v>
      </c>
      <c r="Y75" s="316">
        <v>0.12238963244313798</v>
      </c>
      <c r="Z75" s="316">
        <v>0.12238963244313794</v>
      </c>
    </row>
    <row r="76" spans="1:26">
      <c r="A76" t="s">
        <v>584</v>
      </c>
      <c r="B76">
        <v>79</v>
      </c>
      <c r="C76" s="316">
        <v>8.6207931034482807E-2</v>
      </c>
      <c r="D76" s="316">
        <v>6.5431285335484993E-2</v>
      </c>
      <c r="E76" s="316">
        <v>0.1156825943556411</v>
      </c>
      <c r="F76" s="316">
        <v>0.18427115915213807</v>
      </c>
      <c r="G76" s="335">
        <v>1.34449825920508</v>
      </c>
      <c r="H76" s="335">
        <v>1.4161400966183577</v>
      </c>
      <c r="I76" s="316">
        <v>0.11120194975845413</v>
      </c>
      <c r="J76" s="316">
        <v>0.54223615938048642</v>
      </c>
      <c r="K76" s="316">
        <v>4.5600000000000002E-2</v>
      </c>
      <c r="L76" s="316">
        <v>0.10714358177154719</v>
      </c>
      <c r="M76" s="316">
        <v>0.10295168505794064</v>
      </c>
      <c r="N76" s="335">
        <v>1.9850299621533982</v>
      </c>
      <c r="O76" s="335">
        <v>3.3210740297701458</v>
      </c>
      <c r="P76" s="335">
        <v>23.400089699604891</v>
      </c>
      <c r="Q76" s="335">
        <v>53.91426810981531</v>
      </c>
      <c r="R76" s="335">
        <v>6.1091303827964003</v>
      </c>
      <c r="S76" s="335">
        <v>38.955169847295821</v>
      </c>
      <c r="T76" s="316">
        <v>-1.176988973724857E-2</v>
      </c>
      <c r="U76" s="316">
        <v>5.5354349256050178E-2</v>
      </c>
      <c r="V76" s="316">
        <v>1.1296942508992542E-2</v>
      </c>
      <c r="W76" s="316">
        <v>0.36307692416961512</v>
      </c>
      <c r="X76" s="316">
        <v>0.29662431123465416</v>
      </c>
      <c r="Y76" s="316">
        <v>6.5880742639450353E-3</v>
      </c>
      <c r="Z76" s="316">
        <v>6.5880742639450318E-3</v>
      </c>
    </row>
    <row r="77" spans="1:26">
      <c r="A77" t="s">
        <v>585</v>
      </c>
      <c r="B77">
        <v>91</v>
      </c>
      <c r="C77" s="316">
        <v>3.1814761904761901E-2</v>
      </c>
      <c r="D77" s="316">
        <v>6.3497383904905003E-2</v>
      </c>
      <c r="E77" s="316">
        <v>0.14122236402333366</v>
      </c>
      <c r="F77" s="316">
        <v>0.25222593144631972</v>
      </c>
      <c r="G77" s="335">
        <v>0.80006504109099119</v>
      </c>
      <c r="H77" s="335">
        <v>1.0705119047619047</v>
      </c>
      <c r="I77" s="316">
        <v>9.0602509523809521E-2</v>
      </c>
      <c r="J77" s="316">
        <v>0.49166133132732115</v>
      </c>
      <c r="K77" s="316">
        <v>4.5600000000000002E-2</v>
      </c>
      <c r="L77" s="316">
        <v>0.34046635542830384</v>
      </c>
      <c r="M77" s="316">
        <v>7.1399352669227895E-2</v>
      </c>
      <c r="N77" s="335">
        <v>2.5263331933671718</v>
      </c>
      <c r="O77" s="335">
        <v>0.94800659199041937</v>
      </c>
      <c r="P77" s="335">
        <v>7.3377069818680747</v>
      </c>
      <c r="Q77" s="335">
        <v>14.595895991878235</v>
      </c>
      <c r="R77" s="335">
        <v>3.8792072138946212</v>
      </c>
      <c r="S77" s="335">
        <v>15.489027832772736</v>
      </c>
      <c r="T77" s="316">
        <v>7.8875540299783498E-2</v>
      </c>
      <c r="U77" s="316">
        <v>2.2393450645682184E-2</v>
      </c>
      <c r="V77" s="316">
        <v>1.728794652524691E-2</v>
      </c>
      <c r="W77" s="316">
        <v>0.41085598588142858</v>
      </c>
      <c r="X77" s="316">
        <v>0.24372948328714539</v>
      </c>
      <c r="Y77" s="316">
        <v>0.34204172934675886</v>
      </c>
      <c r="Z77" s="316">
        <v>0.3420417293467588</v>
      </c>
    </row>
    <row r="78" spans="1:26">
      <c r="A78" t="s">
        <v>586</v>
      </c>
      <c r="B78">
        <v>4</v>
      </c>
      <c r="C78" s="316">
        <v>-8.3524999999999988E-2</v>
      </c>
      <c r="D78" s="316">
        <v>7.4263652844360623E-2</v>
      </c>
      <c r="E78" s="316">
        <v>8.2797860123328446E-2</v>
      </c>
      <c r="F78" s="316">
        <v>0.55775185337893007</v>
      </c>
      <c r="G78" s="335">
        <v>0.23902988074589715</v>
      </c>
      <c r="H78" s="335">
        <v>0.41858611111111121</v>
      </c>
      <c r="I78" s="316">
        <v>5.1747732222222231E-2</v>
      </c>
      <c r="J78" s="316">
        <v>0.2903045258184882</v>
      </c>
      <c r="K78" s="316">
        <v>4.1800000000000004E-2</v>
      </c>
      <c r="L78" s="316">
        <v>0.54472518822111249</v>
      </c>
      <c r="M78" s="316">
        <v>4.0636573698188377E-2</v>
      </c>
      <c r="N78" s="335">
        <v>1.3737629530261652</v>
      </c>
      <c r="O78" s="335">
        <v>0.71648617744776733</v>
      </c>
      <c r="P78" s="335">
        <v>5.0180958376800655</v>
      </c>
      <c r="Q78" s="335">
        <v>8.8586945168488018</v>
      </c>
      <c r="R78" s="335">
        <v>1.0410453134857165</v>
      </c>
      <c r="S78" s="335">
        <v>28.849735262416704</v>
      </c>
      <c r="T78" s="316">
        <v>0.16351563446461639</v>
      </c>
      <c r="U78" s="316">
        <v>5.5604296827676918E-2</v>
      </c>
      <c r="V78" s="316">
        <v>6.1639206659628507E-3</v>
      </c>
      <c r="W78" s="316">
        <v>-3.9986228421693693E-2</v>
      </c>
      <c r="X78" s="316">
        <v>8.2339433763868444E-2</v>
      </c>
      <c r="Y78" s="316">
        <v>0.31070355857020671</v>
      </c>
      <c r="Z78" s="316">
        <v>0.31070355857020671</v>
      </c>
    </row>
    <row r="79" spans="1:26">
      <c r="A79" t="s">
        <v>587</v>
      </c>
      <c r="B79">
        <v>72</v>
      </c>
      <c r="C79" s="316">
        <v>0.10495862745098039</v>
      </c>
      <c r="D79" s="316">
        <v>0.29608766963381133</v>
      </c>
      <c r="E79" s="316">
        <v>0.22698523927054282</v>
      </c>
      <c r="F79" s="316">
        <v>0.30054089499262099</v>
      </c>
      <c r="G79" s="335">
        <v>1.2637967280679967</v>
      </c>
      <c r="H79" s="335">
        <v>1.3358009661835752</v>
      </c>
      <c r="I79" s="316">
        <v>0.10641373758454109</v>
      </c>
      <c r="J79" s="316">
        <v>0.42656447514373413</v>
      </c>
      <c r="K79" s="316">
        <v>4.5600000000000002E-2</v>
      </c>
      <c r="L79" s="316">
        <v>0.12389006085730238</v>
      </c>
      <c r="M79" s="316">
        <v>9.7467173240459032E-2</v>
      </c>
      <c r="N79" s="335">
        <v>0.81974616241498055</v>
      </c>
      <c r="O79" s="335">
        <v>3.713755554763646</v>
      </c>
      <c r="P79" s="335">
        <v>8.9205870431751784</v>
      </c>
      <c r="Q79" s="335">
        <v>12.453435893320909</v>
      </c>
      <c r="R79" s="335">
        <v>3.7209182950464332</v>
      </c>
      <c r="S79" s="335">
        <v>77.822151079244591</v>
      </c>
      <c r="T79" s="316">
        <v>0.16867270831435804</v>
      </c>
      <c r="U79" s="316">
        <v>0.14043452278483642</v>
      </c>
      <c r="V79" s="316">
        <v>0.15431912128343719</v>
      </c>
      <c r="W79" s="316">
        <v>0.7374478680323413</v>
      </c>
      <c r="X79" s="316">
        <v>0.23007366216634811</v>
      </c>
      <c r="Y79" s="316">
        <v>0.34306910906386645</v>
      </c>
      <c r="Z79" s="316">
        <v>0.34306910906386645</v>
      </c>
    </row>
    <row r="80" spans="1:26">
      <c r="A80" t="s">
        <v>588</v>
      </c>
      <c r="B80">
        <v>41</v>
      </c>
      <c r="C80" s="316">
        <v>0.10308064516129027</v>
      </c>
      <c r="D80" s="316">
        <v>0.23987144009516331</v>
      </c>
      <c r="E80" s="316">
        <v>0.26864718420814077</v>
      </c>
      <c r="F80" s="316">
        <v>0.29965428012897705</v>
      </c>
      <c r="G80" s="335">
        <v>1.3908894934763405</v>
      </c>
      <c r="H80" s="335">
        <v>1.3884948509485096</v>
      </c>
      <c r="I80" s="316">
        <v>0.10955429311653117</v>
      </c>
      <c r="J80" s="316">
        <v>0.48660076704878841</v>
      </c>
      <c r="K80" s="316">
        <v>4.5600000000000002E-2</v>
      </c>
      <c r="L80" s="316">
        <v>0.14215960413183629</v>
      </c>
      <c r="M80" s="316">
        <v>9.884195663745074E-2</v>
      </c>
      <c r="N80" s="335">
        <v>1.2450144059221533</v>
      </c>
      <c r="O80" s="335">
        <v>1.9438000196796261</v>
      </c>
      <c r="P80" s="335">
        <v>6.7439762715971376</v>
      </c>
      <c r="Q80" s="335">
        <v>8.0430925656034731</v>
      </c>
      <c r="R80" s="335">
        <v>3.5215839841303671</v>
      </c>
      <c r="S80" s="335">
        <v>17.634674600822706</v>
      </c>
      <c r="T80" s="316">
        <v>0.24909801409585539</v>
      </c>
      <c r="U80" s="316">
        <v>4.4094434576752592E-2</v>
      </c>
      <c r="V80" s="316">
        <v>3.603832103348744E-2</v>
      </c>
      <c r="W80" s="316">
        <v>0.50045682666843494</v>
      </c>
      <c r="X80" s="316">
        <v>0.26218323773239277</v>
      </c>
      <c r="Y80" s="316">
        <v>0.21164440029860287</v>
      </c>
      <c r="Z80" s="316">
        <v>0.21164440029860287</v>
      </c>
    </row>
    <row r="81" spans="1:26">
      <c r="A81" t="s">
        <v>589</v>
      </c>
      <c r="B81">
        <v>9</v>
      </c>
      <c r="C81" s="316">
        <v>9.083999999999999E-2</v>
      </c>
      <c r="D81" s="316">
        <v>7.5320129430663907E-2</v>
      </c>
      <c r="E81" s="316">
        <v>7.4046689011118258E-2</v>
      </c>
      <c r="F81" s="316">
        <v>0</v>
      </c>
      <c r="G81" s="335">
        <v>0.77850734487942919</v>
      </c>
      <c r="H81" s="335">
        <v>1.07731975308642</v>
      </c>
      <c r="I81" s="316">
        <v>9.1008257283950636E-2</v>
      </c>
      <c r="J81" s="316">
        <v>0.55886695891051674</v>
      </c>
      <c r="K81" s="316">
        <v>4.5600000000000002E-2</v>
      </c>
      <c r="L81" s="316">
        <v>0.3618553217294006</v>
      </c>
      <c r="M81" s="316">
        <v>7.0451887067580113E-2</v>
      </c>
      <c r="N81" s="335">
        <v>0.86888396363501552</v>
      </c>
      <c r="O81" s="335">
        <v>1.7028055663029862</v>
      </c>
      <c r="P81" s="335">
        <v>9.1971898054346592</v>
      </c>
      <c r="Q81" s="335">
        <v>18.430364748016316</v>
      </c>
      <c r="R81" s="335">
        <v>1.1666303239658327</v>
      </c>
      <c r="S81" s="335">
        <v>7.7941001404992321</v>
      </c>
      <c r="T81" s="316">
        <v>0.18459039040824121</v>
      </c>
      <c r="U81" s="316">
        <v>0.15246075315419436</v>
      </c>
      <c r="V81" s="316">
        <v>0.16455423388763479</v>
      </c>
      <c r="W81" s="316">
        <v>2.0199385420744527</v>
      </c>
      <c r="X81" s="316">
        <v>0.10304312476083929</v>
      </c>
      <c r="Y81" s="316">
        <v>6.7322330876927544E-2</v>
      </c>
      <c r="Z81" s="316">
        <v>6.7322330876927516E-2</v>
      </c>
    </row>
    <row r="82" spans="1:26">
      <c r="A82" t="s">
        <v>590</v>
      </c>
      <c r="B82">
        <v>10</v>
      </c>
      <c r="C82" s="316">
        <v>3.0670000000000003E-2</v>
      </c>
      <c r="D82" s="316">
        <v>0.1172763432642721</v>
      </c>
      <c r="E82" s="316">
        <v>0.21542831536299628</v>
      </c>
      <c r="F82" s="316">
        <v>0.49581472820020073</v>
      </c>
      <c r="G82" s="335">
        <v>0.74128200359267893</v>
      </c>
      <c r="H82" s="335">
        <v>0.75496666666666667</v>
      </c>
      <c r="I82" s="316">
        <v>7.1796013333333339E-2</v>
      </c>
      <c r="J82" s="316">
        <v>0.38649958783286831</v>
      </c>
      <c r="K82" s="316">
        <v>4.1800000000000004E-2</v>
      </c>
      <c r="L82" s="316">
        <v>6.9172235679129515E-2</v>
      </c>
      <c r="M82" s="316">
        <v>6.8998272166758787E-2</v>
      </c>
      <c r="N82" s="335">
        <v>2.2892942421214015</v>
      </c>
      <c r="O82" s="335">
        <v>2.7595618874791574</v>
      </c>
      <c r="P82" s="335">
        <v>17.493093859572657</v>
      </c>
      <c r="Q82" s="335">
        <v>23.911606757198022</v>
      </c>
      <c r="R82" s="335">
        <v>9.2964810353521212</v>
      </c>
      <c r="S82" s="335">
        <v>30.100303551557982</v>
      </c>
      <c r="T82" s="316">
        <v>0.19463350202490057</v>
      </c>
      <c r="U82" s="316">
        <v>4.1979929514605564E-3</v>
      </c>
      <c r="V82" s="316">
        <v>-1.5732504518165942E-2</v>
      </c>
      <c r="W82" s="316">
        <v>-0.22115385599264731</v>
      </c>
      <c r="X82" s="316">
        <v>0.16544745835113203</v>
      </c>
      <c r="Y82" s="316">
        <v>0.49120255320674866</v>
      </c>
      <c r="Z82" s="316">
        <v>0.49120255320674866</v>
      </c>
    </row>
    <row r="83" spans="1:26">
      <c r="A83" t="s">
        <v>591</v>
      </c>
      <c r="B83">
        <v>92</v>
      </c>
      <c r="C83" s="316">
        <v>0.23505769230769225</v>
      </c>
      <c r="D83" s="316">
        <v>0.27621105166409365</v>
      </c>
      <c r="E83" s="316">
        <v>0.19760740280091274</v>
      </c>
      <c r="F83" s="316">
        <v>0.33188686850334831</v>
      </c>
      <c r="G83" s="335">
        <v>1.2697947323690497</v>
      </c>
      <c r="H83" s="335">
        <v>1.257575375375376</v>
      </c>
      <c r="I83" s="316">
        <v>0.10175149237237241</v>
      </c>
      <c r="J83" s="316">
        <v>0.65580117293529283</v>
      </c>
      <c r="K83" s="316">
        <v>5.4300000000000001E-2</v>
      </c>
      <c r="L83" s="316">
        <v>2.1427430946847847E-2</v>
      </c>
      <c r="M83" s="316">
        <v>0.10044385142113507</v>
      </c>
      <c r="N83" s="335">
        <v>0.69333437905637207</v>
      </c>
      <c r="O83" s="335">
        <v>5.8979497525352036</v>
      </c>
      <c r="P83" s="335">
        <v>16.215662521120901</v>
      </c>
      <c r="Q83" s="335">
        <v>21.425057163687299</v>
      </c>
      <c r="R83" s="335">
        <v>4.3035644939740845</v>
      </c>
      <c r="S83" s="335">
        <v>48.654358215840602</v>
      </c>
      <c r="T83" s="316">
        <v>6.3308026466333808E-2</v>
      </c>
      <c r="U83" s="316">
        <v>0.17476860825808724</v>
      </c>
      <c r="V83" s="316">
        <v>0.13882818445200507</v>
      </c>
      <c r="W83" s="316">
        <v>0.85629237944293379</v>
      </c>
      <c r="X83" s="316">
        <v>0.15314687288764517</v>
      </c>
      <c r="Y83" s="316">
        <v>0</v>
      </c>
      <c r="Z83" s="316">
        <v>0</v>
      </c>
    </row>
    <row r="84" spans="1:26">
      <c r="A84" t="s">
        <v>592</v>
      </c>
      <c r="B84">
        <v>44</v>
      </c>
      <c r="C84" s="316">
        <v>0.32872545454545454</v>
      </c>
      <c r="D84" s="316">
        <v>0.11218727887455289</v>
      </c>
      <c r="E84" s="316">
        <v>0.15589786713198003</v>
      </c>
      <c r="F84" s="316">
        <v>0.16518201078582431</v>
      </c>
      <c r="G84" s="335">
        <v>1.3051434552841432</v>
      </c>
      <c r="H84" s="335">
        <v>1.4572765765765769</v>
      </c>
      <c r="I84" s="316">
        <v>0.113653683963964</v>
      </c>
      <c r="J84" s="316">
        <v>0.51900519220130437</v>
      </c>
      <c r="K84" s="316">
        <v>4.5600000000000002E-2</v>
      </c>
      <c r="L84" s="316">
        <v>0.17797975467033142</v>
      </c>
      <c r="M84" s="316">
        <v>9.9512536784403638E-2</v>
      </c>
      <c r="N84" s="335">
        <v>1.2045627995986508</v>
      </c>
      <c r="O84" s="335">
        <v>6.6856642801298083</v>
      </c>
      <c r="P84" s="335">
        <v>18.983326019185277</v>
      </c>
      <c r="Q84" s="335">
        <v>42.57230155746246</v>
      </c>
      <c r="R84" s="335">
        <v>14.042875664067402</v>
      </c>
      <c r="S84" s="335">
        <v>70.266914465319275</v>
      </c>
      <c r="T84" s="316">
        <v>0.10314745757518792</v>
      </c>
      <c r="U84" s="316">
        <v>4.7895987122125346E-2</v>
      </c>
      <c r="V84" s="316">
        <v>0.25683299500327877</v>
      </c>
      <c r="W84" s="316">
        <v>2.842865583044436</v>
      </c>
      <c r="X84" s="316">
        <v>5.5222113408255467E-2</v>
      </c>
      <c r="Y84" s="316">
        <v>0</v>
      </c>
      <c r="Z84" s="316">
        <v>0</v>
      </c>
    </row>
    <row r="85" spans="1:26">
      <c r="A85" t="s">
        <v>593</v>
      </c>
      <c r="B85">
        <v>355</v>
      </c>
      <c r="C85" s="316">
        <v>0.16903340277777773</v>
      </c>
      <c r="D85" s="316">
        <v>0.21281423816465958</v>
      </c>
      <c r="E85" s="316">
        <v>0.16472240215796857</v>
      </c>
      <c r="F85" s="316">
        <v>0.47580011697510644</v>
      </c>
      <c r="G85" s="335">
        <v>1.1619596463607587</v>
      </c>
      <c r="H85" s="335">
        <v>1.2283144668158097</v>
      </c>
      <c r="I85" s="316">
        <v>0.10000754222222226</v>
      </c>
      <c r="J85" s="316">
        <v>0.50675550273342573</v>
      </c>
      <c r="K85" s="316">
        <v>4.5600000000000002E-2</v>
      </c>
      <c r="L85" s="316">
        <v>0.11403710617374165</v>
      </c>
      <c r="M85" s="316">
        <v>9.2503040542793721E-2</v>
      </c>
      <c r="N85" s="335">
        <v>0.75170617178730659</v>
      </c>
      <c r="O85" s="335">
        <v>6.9895325003191751</v>
      </c>
      <c r="P85" s="335">
        <v>20.211627604691092</v>
      </c>
      <c r="Q85" s="335">
        <v>29.566696392892048</v>
      </c>
      <c r="R85" s="335">
        <v>8.0327344546027426</v>
      </c>
      <c r="S85" s="335">
        <v>109.84469656436976</v>
      </c>
      <c r="T85" s="316">
        <v>0.1127021975934845</v>
      </c>
      <c r="U85" s="316">
        <v>6.5776683229197844E-2</v>
      </c>
      <c r="V85" s="316">
        <v>9.7720138684873323E-2</v>
      </c>
      <c r="W85" s="316">
        <v>1.0356235689329885</v>
      </c>
      <c r="X85" s="316">
        <v>0.13466048057599397</v>
      </c>
      <c r="Y85" s="316">
        <v>0.58530268650920925</v>
      </c>
      <c r="Z85" s="316">
        <v>0.58530268650920925</v>
      </c>
    </row>
    <row r="86" spans="1:26">
      <c r="A86" t="s">
        <v>594</v>
      </c>
      <c r="B86">
        <v>37</v>
      </c>
      <c r="C86" s="316">
        <v>3.3026249999999993E-2</v>
      </c>
      <c r="D86" s="316">
        <v>8.8537051336625525E-2</v>
      </c>
      <c r="E86" s="316">
        <v>0.22426151014585288</v>
      </c>
      <c r="F86" s="316">
        <v>9.2599740997160951E-2</v>
      </c>
      <c r="G86" s="335">
        <v>1.2948714024708063</v>
      </c>
      <c r="H86" s="335">
        <v>1.6185271241830066</v>
      </c>
      <c r="I86" s="316">
        <v>0.12326421660130719</v>
      </c>
      <c r="J86" s="316">
        <v>0.44316554787961554</v>
      </c>
      <c r="K86" s="316">
        <v>4.5600000000000002E-2</v>
      </c>
      <c r="L86" s="316">
        <v>0.33444366087442551</v>
      </c>
      <c r="M86" s="316">
        <v>9.3477253948253236E-2</v>
      </c>
      <c r="N86" s="335">
        <v>2.6075934672122614</v>
      </c>
      <c r="O86" s="335">
        <v>0.64466092770431438</v>
      </c>
      <c r="P86" s="335">
        <v>5.1534860980246551</v>
      </c>
      <c r="Q86" s="335">
        <v>7.1282625458855149</v>
      </c>
      <c r="R86" s="335">
        <v>1.3875328668561029</v>
      </c>
      <c r="S86" s="335">
        <v>6.6686101022587625</v>
      </c>
      <c r="T86" s="316">
        <v>0.20926989416417477</v>
      </c>
      <c r="U86" s="316">
        <v>3.5517161402171191E-2</v>
      </c>
      <c r="V86" s="316">
        <v>2.2639548631296292E-2</v>
      </c>
      <c r="W86" s="316">
        <v>0.64793736171919392</v>
      </c>
      <c r="X86" s="316">
        <v>0.27103245200778309</v>
      </c>
      <c r="Y86" s="316">
        <v>0.15526938309925264</v>
      </c>
      <c r="Z86" s="316">
        <v>0.15526938309925264</v>
      </c>
    </row>
    <row r="87" spans="1:26">
      <c r="A87" t="s">
        <v>595</v>
      </c>
      <c r="B87">
        <v>21</v>
      </c>
      <c r="C87" s="316">
        <v>4.0623749999999993E-2</v>
      </c>
      <c r="D87" s="316">
        <v>0.10193522527221008</v>
      </c>
      <c r="E87" s="316">
        <v>6.6627517896455657E-2</v>
      </c>
      <c r="F87" s="316">
        <v>5.4173970078955202E-3</v>
      </c>
      <c r="G87" s="335">
        <v>0.70626583312516422</v>
      </c>
      <c r="H87" s="335">
        <v>1.2629645833333336</v>
      </c>
      <c r="I87" s="316">
        <v>0.10207268916666669</v>
      </c>
      <c r="J87" s="316">
        <v>0.44485687610936936</v>
      </c>
      <c r="K87" s="316">
        <v>4.5600000000000002E-2</v>
      </c>
      <c r="L87" s="316">
        <v>0.53655867820822012</v>
      </c>
      <c r="M87" s="316">
        <v>6.5655008780962629E-2</v>
      </c>
      <c r="N87" s="335">
        <v>0.65558767313835042</v>
      </c>
      <c r="O87" s="335">
        <v>2.1152079219675675</v>
      </c>
      <c r="P87" s="335">
        <v>5.8247842528619946</v>
      </c>
      <c r="Q87" s="335">
        <v>20.313903946038742</v>
      </c>
      <c r="R87" s="335">
        <v>1.4398806113322213</v>
      </c>
      <c r="S87" s="335">
        <v>11.584088726989686</v>
      </c>
      <c r="T87" s="316">
        <v>1.5781125097075563E-2</v>
      </c>
      <c r="U87" s="316">
        <v>0.21486514184986716</v>
      </c>
      <c r="V87" s="316">
        <v>2.1205171593132184E-2</v>
      </c>
      <c r="W87" s="316">
        <v>0.40961548618796073</v>
      </c>
      <c r="X87" s="316">
        <v>0.27693495092795251</v>
      </c>
      <c r="Y87" s="316">
        <v>7.8183707608085115E-3</v>
      </c>
      <c r="Z87" s="316">
        <v>7.8183707608084907E-3</v>
      </c>
    </row>
    <row r="88" spans="1:26">
      <c r="A88" t="s">
        <v>596</v>
      </c>
      <c r="B88">
        <v>98</v>
      </c>
      <c r="C88" s="316">
        <v>0.14425000000000002</v>
      </c>
      <c r="D88" s="316">
        <v>0.1741088016792888</v>
      </c>
      <c r="E88" s="316">
        <v>0.13653643384741307</v>
      </c>
      <c r="F88" s="316">
        <v>0.84279959362561652</v>
      </c>
      <c r="G88" s="335">
        <v>1.0228587017593667</v>
      </c>
      <c r="H88" s="335">
        <v>1.0898506172839508</v>
      </c>
      <c r="I88" s="316">
        <v>9.1755096790123475E-2</v>
      </c>
      <c r="J88" s="316">
        <v>0.45724269828158842</v>
      </c>
      <c r="K88" s="316">
        <v>4.5600000000000002E-2</v>
      </c>
      <c r="L88" s="316">
        <v>0.15290342844609309</v>
      </c>
      <c r="M88" s="316">
        <v>8.2954725166366872E-2</v>
      </c>
      <c r="N88" s="335">
        <v>0.79392623028991405</v>
      </c>
      <c r="O88" s="335">
        <v>3.3672665484561324</v>
      </c>
      <c r="P88" s="335">
        <v>14.071629020467185</v>
      </c>
      <c r="Q88" s="335">
        <v>18.968975382415632</v>
      </c>
      <c r="R88" s="335">
        <v>4.0663862284473806</v>
      </c>
      <c r="S88" s="335">
        <v>51.46614686020596</v>
      </c>
      <c r="T88" s="316">
        <v>0.17407797881735407</v>
      </c>
      <c r="U88" s="316">
        <v>3.3718338006565346E-2</v>
      </c>
      <c r="V88" s="316">
        <v>0.10466943635719329</v>
      </c>
      <c r="W88" s="316">
        <v>1.0698377536103743</v>
      </c>
      <c r="X88" s="316">
        <v>2.2427276899428125E-2</v>
      </c>
      <c r="Y88" s="316">
        <v>3.0258891220457547</v>
      </c>
      <c r="Z88" s="316">
        <v>3.0258891220457547</v>
      </c>
    </row>
    <row r="89" spans="1:26">
      <c r="A89" t="s">
        <v>597</v>
      </c>
      <c r="B89">
        <v>67</v>
      </c>
      <c r="C89" s="316">
        <v>5.8008846153846168E-2</v>
      </c>
      <c r="D89" s="316">
        <v>0.1853571985204012</v>
      </c>
      <c r="E89" s="316">
        <v>0.17456788018478078</v>
      </c>
      <c r="F89" s="316">
        <v>3.7935820730601488E-3</v>
      </c>
      <c r="G89" s="335">
        <v>0.74082603271700076</v>
      </c>
      <c r="H89" s="335">
        <v>1.2179436781609194</v>
      </c>
      <c r="I89" s="316">
        <v>9.9389443218390799E-2</v>
      </c>
      <c r="J89" s="316">
        <v>0.54234730345965021</v>
      </c>
      <c r="K89" s="316">
        <v>4.5600000000000002E-2</v>
      </c>
      <c r="L89" s="316">
        <v>0.47145639437673281</v>
      </c>
      <c r="M89" s="316">
        <v>6.8655463367221517E-2</v>
      </c>
      <c r="N89" s="335">
        <v>0.9863403560733226</v>
      </c>
      <c r="O89" s="335">
        <v>2.5774765106838178</v>
      </c>
      <c r="P89" s="335">
        <v>7.1135115567403648</v>
      </c>
      <c r="Q89" s="335">
        <v>13.995369352685092</v>
      </c>
      <c r="R89" s="335">
        <v>1.7542147811046342</v>
      </c>
      <c r="S89" s="335">
        <v>21.220353760594485</v>
      </c>
      <c r="T89" s="316">
        <v>1.800206537614521E-2</v>
      </c>
      <c r="U89" s="316">
        <v>0.13767013226128286</v>
      </c>
      <c r="V89" s="316">
        <v>0.12710722093894425</v>
      </c>
      <c r="W89" s="316">
        <v>0.7942587848422773</v>
      </c>
      <c r="X89" s="316">
        <v>0.36989448000441699</v>
      </c>
      <c r="Y89" s="316">
        <v>0.38889765726713255</v>
      </c>
      <c r="Z89" s="316">
        <v>0.38889765726713255</v>
      </c>
    </row>
    <row r="90" spans="1:26">
      <c r="A90" t="s">
        <v>598</v>
      </c>
      <c r="B90">
        <v>17</v>
      </c>
      <c r="C90" s="316">
        <v>0.34537142857142861</v>
      </c>
      <c r="D90" s="316">
        <v>0.39967047434187908</v>
      </c>
      <c r="E90" s="316">
        <v>0.64526876220054918</v>
      </c>
      <c r="F90" s="316">
        <v>0.19775965412203986</v>
      </c>
      <c r="G90" s="335">
        <v>1.1252643536813445</v>
      </c>
      <c r="H90" s="335">
        <v>1.2910809523809523</v>
      </c>
      <c r="I90" s="316">
        <v>0.10374842476190477</v>
      </c>
      <c r="J90" s="316">
        <v>0.48084775760299991</v>
      </c>
      <c r="K90" s="316">
        <v>4.5600000000000002E-2</v>
      </c>
      <c r="L90" s="316">
        <v>0.20150057427499318</v>
      </c>
      <c r="M90" s="316">
        <v>8.9734377232459805E-2</v>
      </c>
      <c r="N90" s="335">
        <v>1.7340049938863855</v>
      </c>
      <c r="O90" s="335">
        <v>4.324383298769142</v>
      </c>
      <c r="P90" s="335">
        <v>10.077759770111046</v>
      </c>
      <c r="Q90" s="335">
        <v>10.775416566638714</v>
      </c>
      <c r="R90" s="335">
        <v>28.739853703292994</v>
      </c>
      <c r="S90" s="335">
        <v>17.114250881915989</v>
      </c>
      <c r="T90" s="316">
        <v>0.15519561553593722</v>
      </c>
      <c r="U90" s="316">
        <v>3.4404589093701317E-2</v>
      </c>
      <c r="V90" s="316">
        <v>3.6994589968330403E-2</v>
      </c>
      <c r="W90" s="316">
        <v>0.1703421154646948</v>
      </c>
      <c r="X90" s="316">
        <v>-2.5171683210235652E-2</v>
      </c>
      <c r="Y90" s="316">
        <v>0.69466609806843171</v>
      </c>
      <c r="Z90" s="316">
        <v>0.69466609806843171</v>
      </c>
    </row>
    <row r="91" spans="1:26">
      <c r="A91" t="s">
        <v>599</v>
      </c>
      <c r="B91">
        <v>19</v>
      </c>
      <c r="C91" s="316">
        <v>0.20825384615384618</v>
      </c>
      <c r="D91" s="316">
        <v>8.4257276721018709E-2</v>
      </c>
      <c r="E91" s="316">
        <v>0.2338375658400938</v>
      </c>
      <c r="F91" s="316">
        <v>0.12927035932619341</v>
      </c>
      <c r="G91" s="335">
        <v>0.89929754045085275</v>
      </c>
      <c r="H91" s="335">
        <v>1.1418875816993466</v>
      </c>
      <c r="I91" s="316">
        <v>9.4856499869281061E-2</v>
      </c>
      <c r="J91" s="316">
        <v>0.33816792696399062</v>
      </c>
      <c r="K91" s="316">
        <v>4.1800000000000004E-2</v>
      </c>
      <c r="L91" s="316">
        <v>0.29808777745132192</v>
      </c>
      <c r="M91" s="316">
        <v>7.5925988469534397E-2</v>
      </c>
      <c r="N91" s="335">
        <v>2.9439162303052506</v>
      </c>
      <c r="O91" s="335">
        <v>1.155436935003753</v>
      </c>
      <c r="P91" s="335">
        <v>8.2947361817694372</v>
      </c>
      <c r="Q91" s="335">
        <v>13.778048224276366</v>
      </c>
      <c r="R91" s="335">
        <v>4.6588604337984609</v>
      </c>
      <c r="S91" s="335">
        <v>17.673047009882403</v>
      </c>
      <c r="T91" s="316">
        <v>7.9942312453321174E-2</v>
      </c>
      <c r="U91" s="316">
        <v>7.0842922890944737E-2</v>
      </c>
      <c r="V91" s="316">
        <v>3.6848529014173785E-2</v>
      </c>
      <c r="W91" s="316">
        <v>0.62767597943522846</v>
      </c>
      <c r="X91" s="316">
        <v>0.45358183946325192</v>
      </c>
      <c r="Y91" s="316">
        <v>0.29324276717889808</v>
      </c>
      <c r="Z91" s="316">
        <v>0.29324276717889808</v>
      </c>
    </row>
    <row r="92" spans="1:26">
      <c r="A92" t="s">
        <v>600</v>
      </c>
      <c r="B92">
        <v>10</v>
      </c>
      <c r="C92" s="316">
        <v>3.0079999999999999E-2</v>
      </c>
      <c r="D92" s="316">
        <v>0.36641757574184897</v>
      </c>
      <c r="E92" s="316">
        <v>0.19933948531278098</v>
      </c>
      <c r="F92" s="316">
        <v>0</v>
      </c>
      <c r="G92" s="335">
        <v>2.0801518230331322</v>
      </c>
      <c r="H92" s="335">
        <v>2.4684638888888886</v>
      </c>
      <c r="I92" s="316">
        <v>0.17392044777777774</v>
      </c>
      <c r="J92" s="316">
        <v>0.20122791236208795</v>
      </c>
      <c r="K92" s="316">
        <v>3.5799999999999998E-2</v>
      </c>
      <c r="L92" s="316">
        <v>0.21217113185298783</v>
      </c>
      <c r="M92" s="316">
        <v>0.14271634441064091</v>
      </c>
      <c r="N92" s="335">
        <v>0.54553290215419636</v>
      </c>
      <c r="O92" s="335">
        <v>5.1673381613735083</v>
      </c>
      <c r="P92" s="335">
        <v>10.711204845258697</v>
      </c>
      <c r="Q92" s="335">
        <v>14.139219066792329</v>
      </c>
      <c r="R92" s="335">
        <v>3.5635876453180728</v>
      </c>
      <c r="S92" s="335">
        <v>35.651939020457448</v>
      </c>
      <c r="T92" s="316">
        <v>2.9046703942527244E-2</v>
      </c>
      <c r="U92" s="316">
        <v>0.15263545354690986</v>
      </c>
      <c r="V92" s="316">
        <v>5.0476136826954683E-2</v>
      </c>
      <c r="W92" s="316">
        <v>0.16470988054521943</v>
      </c>
      <c r="X92" s="316">
        <v>0.51736685603177146</v>
      </c>
      <c r="Y92" s="316">
        <v>0.1507799672815556</v>
      </c>
      <c r="Z92" s="316">
        <v>0.15077996728155563</v>
      </c>
    </row>
    <row r="93" spans="1:26">
      <c r="A93" t="s">
        <v>601</v>
      </c>
      <c r="B93">
        <v>28</v>
      </c>
      <c r="C93" s="316">
        <v>6.6383999999999985E-2</v>
      </c>
      <c r="D93" s="316">
        <v>7.3148614228240788E-2</v>
      </c>
      <c r="E93" s="316">
        <v>0.10533015447889484</v>
      </c>
      <c r="F93" s="316">
        <v>3.5745721271393645E-2</v>
      </c>
      <c r="G93" s="335">
        <v>0.71085656044871004</v>
      </c>
      <c r="H93" s="335">
        <v>1.218820888888889</v>
      </c>
      <c r="I93" s="316">
        <v>9.9441724977777785E-2</v>
      </c>
      <c r="J93" s="316">
        <v>0.41511357813637434</v>
      </c>
      <c r="K93" s="316">
        <v>4.5600000000000002E-2</v>
      </c>
      <c r="L93" s="316">
        <v>0.50762225074060319</v>
      </c>
      <c r="M93" s="316">
        <v>6.6323573702358793E-2</v>
      </c>
      <c r="N93" s="335">
        <v>1.2967491198857084</v>
      </c>
      <c r="O93" s="335">
        <v>1.2993175617607842</v>
      </c>
      <c r="P93" s="335">
        <v>8.1900449511167039</v>
      </c>
      <c r="Q93" s="335">
        <v>15.794627042968429</v>
      </c>
      <c r="R93" s="335">
        <v>2.0080140800807644</v>
      </c>
      <c r="S93" s="335">
        <v>8.5578894135645704</v>
      </c>
      <c r="T93" s="316">
        <v>6.688132283202318E-2</v>
      </c>
      <c r="U93" s="316">
        <v>0.19776323607888857</v>
      </c>
      <c r="V93" s="316">
        <v>0.14728078641238462</v>
      </c>
      <c r="W93" s="316">
        <v>1.9829630254752368</v>
      </c>
      <c r="X93" s="316">
        <v>0.2976683402599275</v>
      </c>
      <c r="Y93" s="316">
        <v>7.083344093796809E-2</v>
      </c>
      <c r="Z93" s="316">
        <v>7.0833440937968062E-2</v>
      </c>
    </row>
    <row r="94" spans="1:26">
      <c r="A94" t="s">
        <v>602</v>
      </c>
      <c r="B94">
        <v>18</v>
      </c>
      <c r="C94" s="316">
        <v>2.3965555555555559E-2</v>
      </c>
      <c r="D94" s="316">
        <v>0.17234448576796615</v>
      </c>
      <c r="E94" s="316">
        <v>6.7264011606970833E-2</v>
      </c>
      <c r="F94" s="316">
        <v>0.15040226166699486</v>
      </c>
      <c r="G94" s="335">
        <v>0.1745698394445703</v>
      </c>
      <c r="H94" s="335">
        <v>0.26653703703703702</v>
      </c>
      <c r="I94" s="316">
        <v>4.2685607407407407E-2</v>
      </c>
      <c r="J94" s="316">
        <v>0.15339167327314723</v>
      </c>
      <c r="K94" s="316">
        <v>3.5799999999999998E-2</v>
      </c>
      <c r="L94" s="316">
        <v>0.41643744798841975</v>
      </c>
      <c r="M94" s="316">
        <v>3.6091067471320154E-2</v>
      </c>
      <c r="N94" s="335">
        <v>0.45937720162296242</v>
      </c>
      <c r="O94" s="335">
        <v>3.6865256767842007</v>
      </c>
      <c r="P94" s="335">
        <v>12.40406269696763</v>
      </c>
      <c r="Q94" s="335">
        <v>21.486348363693502</v>
      </c>
      <c r="R94" s="335">
        <v>1.9598541988359663</v>
      </c>
      <c r="S94" s="335">
        <v>17.902062082995432</v>
      </c>
      <c r="T94" s="316">
        <v>5.718599927403889E-2</v>
      </c>
      <c r="U94" s="316">
        <v>0.27491312637705245</v>
      </c>
      <c r="V94" s="316">
        <v>0.15209705264693132</v>
      </c>
      <c r="W94" s="316">
        <v>1.0669288526205796</v>
      </c>
      <c r="X94" s="316">
        <v>0.12172629385203196</v>
      </c>
      <c r="Y94" s="316">
        <v>0.63648166642887705</v>
      </c>
      <c r="Z94" s="316">
        <v>0.63648166642887705</v>
      </c>
    </row>
    <row r="95" spans="1:26">
      <c r="A95" t="s">
        <v>603</v>
      </c>
      <c r="B95">
        <v>19</v>
      </c>
      <c r="C95" s="316">
        <v>6.4071538461538471E-2</v>
      </c>
      <c r="D95" s="316">
        <v>0.3082092232455762</v>
      </c>
      <c r="E95" s="316">
        <v>8.4383370726732423E-2</v>
      </c>
      <c r="F95" s="316">
        <v>0.31487365332477801</v>
      </c>
      <c r="G95" s="335">
        <v>0.32295708453677063</v>
      </c>
      <c r="H95" s="335">
        <v>0.42497076023391817</v>
      </c>
      <c r="I95" s="316">
        <v>5.2128257309941528E-2</v>
      </c>
      <c r="J95" s="316">
        <v>0.22938056773706297</v>
      </c>
      <c r="K95" s="316">
        <v>3.5799999999999998E-2</v>
      </c>
      <c r="L95" s="316">
        <v>0.30071922008435309</v>
      </c>
      <c r="M95" s="316">
        <v>4.4526599486604312E-2</v>
      </c>
      <c r="N95" s="335">
        <v>0.30342667442991805</v>
      </c>
      <c r="O95" s="335">
        <v>7.3495099539615536</v>
      </c>
      <c r="P95" s="335">
        <v>15.85001713322079</v>
      </c>
      <c r="Q95" s="335">
        <v>23.711328073507246</v>
      </c>
      <c r="R95" s="335">
        <v>3.0476133711296702</v>
      </c>
      <c r="S95" s="335">
        <v>76.626696921422266</v>
      </c>
      <c r="T95" s="316">
        <v>7.8096820253809485E-2</v>
      </c>
      <c r="U95" s="316">
        <v>0.45795175764840435</v>
      </c>
      <c r="V95" s="316">
        <v>0.4185266612422549</v>
      </c>
      <c r="W95" s="316">
        <v>1.9873085176867158</v>
      </c>
      <c r="X95" s="316">
        <v>0.15573154814830018</v>
      </c>
      <c r="Y95" s="316">
        <v>0.65227608195075881</v>
      </c>
      <c r="Z95" s="316">
        <v>0.38972985727560072</v>
      </c>
    </row>
    <row r="96" spans="1:26">
      <c r="A96" t="s">
        <v>752</v>
      </c>
      <c r="B96">
        <v>7209</v>
      </c>
      <c r="C96" s="316">
        <v>0.11209476045416783</v>
      </c>
      <c r="D96" s="316">
        <v>0.11312882673392617</v>
      </c>
      <c r="E96" s="316">
        <v>7.397849322155356E-2</v>
      </c>
      <c r="F96" s="316">
        <v>0.27377435412418177</v>
      </c>
      <c r="G96" s="335">
        <v>0.80201739708391317</v>
      </c>
      <c r="H96" s="335">
        <v>1.1247915828638675</v>
      </c>
      <c r="I96" s="316">
        <v>9.38375783386865E-2</v>
      </c>
      <c r="J96" s="316">
        <v>0.42665284825500943</v>
      </c>
      <c r="K96" s="316">
        <v>4.5600000000000002E-2</v>
      </c>
      <c r="L96" s="316">
        <v>0.39991813487499128</v>
      </c>
      <c r="M96" s="316">
        <v>6.9987429241017821E-2</v>
      </c>
      <c r="N96" s="335">
        <v>0.70649558602738449</v>
      </c>
      <c r="O96" s="335">
        <v>2.7111043699021593</v>
      </c>
      <c r="P96" s="335">
        <v>14.771982108641236</v>
      </c>
      <c r="Q96" s="335">
        <v>23.484031101003623</v>
      </c>
      <c r="R96" s="335">
        <v>2.6605214518309661</v>
      </c>
      <c r="S96" s="335">
        <v>35.334465324888299</v>
      </c>
      <c r="T96" s="316">
        <v>-0.24071460955441984</v>
      </c>
      <c r="U96" s="316">
        <v>6.1525796700062002E-2</v>
      </c>
      <c r="V96" s="316">
        <v>4.6386392950487042E-2</v>
      </c>
      <c r="W96" s="316">
        <v>0.60503263908743954</v>
      </c>
      <c r="X96" s="316">
        <v>0.15573154814830018</v>
      </c>
      <c r="Y96" s="316">
        <v>0.38972985727560072</v>
      </c>
      <c r="Z96" s="316">
        <v>0.38972985727560072</v>
      </c>
    </row>
    <row r="97" spans="1:26">
      <c r="A97" t="s">
        <v>753</v>
      </c>
      <c r="B97">
        <v>6004</v>
      </c>
      <c r="C97" s="316">
        <v>0.11655088719820789</v>
      </c>
      <c r="D97" s="316">
        <v>0.11847306786333939</v>
      </c>
      <c r="E97" s="316">
        <v>0.1410400144383199</v>
      </c>
      <c r="F97" s="316">
        <v>0.25323292435807443</v>
      </c>
      <c r="G97" s="335">
        <v>0.99855894726946337</v>
      </c>
      <c r="H97" s="335">
        <v>1.2064435613270634</v>
      </c>
      <c r="I97" s="316">
        <v>9.8704036255092983E-2</v>
      </c>
      <c r="J97" s="316">
        <v>0.46241580454939579</v>
      </c>
      <c r="K97" s="316">
        <v>4.5600000000000002E-2</v>
      </c>
      <c r="L97" s="316">
        <v>0.25656648800946874</v>
      </c>
      <c r="M97" s="316">
        <v>8.2154462210688339E-2</v>
      </c>
      <c r="N97" s="335">
        <v>1.2502223375465085</v>
      </c>
      <c r="O97" s="335">
        <v>2.2028959819598373</v>
      </c>
      <c r="P97" s="335">
        <v>11.309414571300744</v>
      </c>
      <c r="Q97" s="335">
        <v>18.155570784315515</v>
      </c>
      <c r="R97" s="335">
        <v>3.1845514175623895</v>
      </c>
      <c r="S97" s="335">
        <v>36.255419853826048</v>
      </c>
      <c r="T97" s="316">
        <v>8.6216233608267578E-2</v>
      </c>
      <c r="U97" s="316">
        <v>6.5184936604295335E-2</v>
      </c>
      <c r="V97" s="316">
        <v>4.7935366023537304E-2</v>
      </c>
      <c r="W97" s="316">
        <v>0.58767033589421591</v>
      </c>
      <c r="X97" s="316">
        <v>0.16876174865147825</v>
      </c>
      <c r="Y97" s="316">
        <v>0.41330174625517813</v>
      </c>
      <c r="Z97" s="316">
        <v>0.41330174625517813</v>
      </c>
    </row>
  </sheetData>
  <phoneticPr fontId="4"/>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7"/>
  <sheetViews>
    <sheetView topLeftCell="A37" workbookViewId="0">
      <selection activeCell="A26" sqref="A26:XFD26"/>
    </sheetView>
  </sheetViews>
  <sheetFormatPr defaultColWidth="11" defaultRowHeight="11.4"/>
  <cols>
    <col min="1" max="1" width="20.375" bestFit="1" customWidth="1"/>
    <col min="2" max="2" width="11.5" bestFit="1" customWidth="1"/>
    <col min="3" max="3" width="9.5" bestFit="1" customWidth="1"/>
    <col min="4" max="4" width="11.875" bestFit="1" customWidth="1"/>
    <col min="5" max="5" width="12.5" customWidth="1"/>
    <col min="6" max="6" width="10.5" bestFit="1" customWidth="1"/>
    <col min="7" max="7" width="11.5" bestFit="1" customWidth="1"/>
    <col min="8" max="8" width="22.5" bestFit="1" customWidth="1"/>
  </cols>
  <sheetData>
    <row r="1" spans="1:26" s="242" customFormat="1" ht="68.400000000000006">
      <c r="A1" s="336" t="s">
        <v>98</v>
      </c>
      <c r="B1" s="336" t="s">
        <v>175</v>
      </c>
      <c r="C1" s="337" t="s">
        <v>163</v>
      </c>
      <c r="D1" s="337" t="s">
        <v>751</v>
      </c>
      <c r="E1" s="337" t="s">
        <v>182</v>
      </c>
      <c r="F1" s="336" t="s">
        <v>164</v>
      </c>
      <c r="G1" s="336" t="s">
        <v>212</v>
      </c>
      <c r="H1" s="336" t="s">
        <v>165</v>
      </c>
      <c r="I1" s="336" t="s">
        <v>166</v>
      </c>
      <c r="J1" s="336" t="s">
        <v>167</v>
      </c>
      <c r="K1" s="336" t="s">
        <v>168</v>
      </c>
      <c r="L1" s="336" t="s">
        <v>169</v>
      </c>
      <c r="M1" s="336" t="s">
        <v>148</v>
      </c>
      <c r="N1" s="338" t="s">
        <v>101</v>
      </c>
      <c r="O1" s="336" t="s">
        <v>170</v>
      </c>
      <c r="P1" s="336" t="s">
        <v>171</v>
      </c>
      <c r="Q1" s="336" t="s">
        <v>172</v>
      </c>
      <c r="R1" s="336" t="s">
        <v>173</v>
      </c>
      <c r="S1" s="336" t="s">
        <v>174</v>
      </c>
      <c r="T1" s="336" t="s">
        <v>498</v>
      </c>
      <c r="U1" s="336" t="s">
        <v>499</v>
      </c>
      <c r="V1" s="336" t="s">
        <v>500</v>
      </c>
      <c r="W1" s="336" t="s">
        <v>501</v>
      </c>
      <c r="X1" s="336" t="s">
        <v>484</v>
      </c>
      <c r="Y1" s="336" t="s">
        <v>502</v>
      </c>
      <c r="Z1" s="336" t="s">
        <v>503</v>
      </c>
    </row>
    <row r="2" spans="1:26" s="312" customFormat="1">
      <c r="A2" t="s">
        <v>99</v>
      </c>
      <c r="B2">
        <v>303</v>
      </c>
      <c r="C2" s="316">
        <v>0.10244079787234039</v>
      </c>
      <c r="D2" s="316">
        <v>9.5172740213444393E-2</v>
      </c>
      <c r="E2" s="316">
        <v>0.25414408174543091</v>
      </c>
      <c r="F2" s="316">
        <v>0.2462317983724408</v>
      </c>
      <c r="G2" s="335">
        <v>0.91369234778676578</v>
      </c>
      <c r="H2" s="335">
        <v>1.1049668393282548</v>
      </c>
      <c r="I2" s="316">
        <v>0.10878853947815652</v>
      </c>
      <c r="J2" s="316">
        <v>0.48588554478151658</v>
      </c>
      <c r="K2" s="316">
        <v>5.7499999999999996E-2</v>
      </c>
      <c r="L2" s="316">
        <v>0.32121107399752352</v>
      </c>
      <c r="M2" s="316">
        <v>8.7622804892879644E-2</v>
      </c>
      <c r="N2" s="335">
        <v>3.0545914216365651</v>
      </c>
      <c r="O2" s="335">
        <v>1.3984937362402772</v>
      </c>
      <c r="P2" s="335">
        <v>8.6371376322783728</v>
      </c>
      <c r="Q2" s="335">
        <v>13.865446017748292</v>
      </c>
      <c r="R2" s="335">
        <v>1.8623570898630317</v>
      </c>
      <c r="S2" s="335">
        <v>42.506572613682451</v>
      </c>
      <c r="T2" s="316">
        <v>-3.6295530975531953E-2</v>
      </c>
      <c r="U2" s="316">
        <v>2.1463234223128482E-2</v>
      </c>
      <c r="V2" s="316">
        <v>1.9322962597386244E-2</v>
      </c>
      <c r="W2" s="316">
        <v>0.34230575637870164</v>
      </c>
      <c r="X2" s="316">
        <v>0.12703852472561541</v>
      </c>
      <c r="Y2" s="316">
        <v>0.52741318779090418</v>
      </c>
      <c r="Z2" s="316">
        <v>0.52741318779090418</v>
      </c>
    </row>
    <row r="3" spans="1:26" s="312" customFormat="1">
      <c r="A3" t="s">
        <v>512</v>
      </c>
      <c r="B3">
        <v>234</v>
      </c>
      <c r="C3" s="316">
        <v>7.3661390728476828E-2</v>
      </c>
      <c r="D3" s="316">
        <v>9.9140438250497329E-2</v>
      </c>
      <c r="E3" s="316">
        <v>0.23147633981710192</v>
      </c>
      <c r="F3" s="316">
        <v>0.24599571753195767</v>
      </c>
      <c r="G3" s="335">
        <v>1.0569406646334956</v>
      </c>
      <c r="H3" s="335">
        <v>1.1722343606577026</v>
      </c>
      <c r="I3" s="316">
        <v>0.11377978956080154</v>
      </c>
      <c r="J3" s="316">
        <v>0.40222387826203437</v>
      </c>
      <c r="K3" s="316">
        <v>5.7499999999999996E-2</v>
      </c>
      <c r="L3" s="316">
        <v>0.20182257557692143</v>
      </c>
      <c r="M3" s="316">
        <v>9.9473638762412497E-2</v>
      </c>
      <c r="N3" s="335">
        <v>2.6451491810567487</v>
      </c>
      <c r="O3" s="335">
        <v>1.6249880007768158</v>
      </c>
      <c r="P3" s="335">
        <v>11.970602716760302</v>
      </c>
      <c r="Q3" s="335">
        <v>16.138119113468697</v>
      </c>
      <c r="R3" s="335">
        <v>4.5255612605050715</v>
      </c>
      <c r="S3" s="335">
        <v>47.825508702867474</v>
      </c>
      <c r="T3" s="316">
        <v>0.30706431521211752</v>
      </c>
      <c r="U3" s="316">
        <v>3.1687854273623695E-2</v>
      </c>
      <c r="V3" s="316">
        <v>4.2668850014768236E-2</v>
      </c>
      <c r="W3" s="316">
        <v>0.7627919929400051</v>
      </c>
      <c r="X3" s="316">
        <v>0.25161998421867282</v>
      </c>
      <c r="Y3" s="316">
        <v>0.37817871307258999</v>
      </c>
      <c r="Z3" s="316">
        <v>0.37817871307258999</v>
      </c>
    </row>
    <row r="4" spans="1:26" s="312" customFormat="1">
      <c r="A4" t="s">
        <v>513</v>
      </c>
      <c r="B4">
        <v>162</v>
      </c>
      <c r="C4" s="316">
        <v>8.0141344537815143E-2</v>
      </c>
      <c r="D4" s="316">
        <v>9.4732294501846268E-2</v>
      </c>
      <c r="E4" s="316">
        <v>8.4756402104298703E-2</v>
      </c>
      <c r="F4" s="316">
        <v>0.19892455238389348</v>
      </c>
      <c r="G4" s="335">
        <v>0.5942202018191366</v>
      </c>
      <c r="H4" s="335">
        <v>0.93923966252049618</v>
      </c>
      <c r="I4" s="316">
        <v>9.6491582959020827E-2</v>
      </c>
      <c r="J4" s="316">
        <v>0.31417686832211172</v>
      </c>
      <c r="K4" s="316">
        <v>5.3699999999999998E-2</v>
      </c>
      <c r="L4" s="316">
        <v>0.48429133110769779</v>
      </c>
      <c r="M4" s="316">
        <v>6.9162353389548376E-2</v>
      </c>
      <c r="N4" s="335">
        <v>1.0686599968887411</v>
      </c>
      <c r="O4" s="335">
        <v>1.3757631123598302</v>
      </c>
      <c r="P4" s="335">
        <v>6.5407349359421545</v>
      </c>
      <c r="Q4" s="335">
        <v>14.726599055531848</v>
      </c>
      <c r="R4" s="335">
        <v>1.7625173905878992</v>
      </c>
      <c r="S4" s="335">
        <v>16.121782351055547</v>
      </c>
      <c r="T4" s="316">
        <v>-9.6679392101754122E-3</v>
      </c>
      <c r="U4" s="316">
        <v>0.11632602798288799</v>
      </c>
      <c r="V4" s="316">
        <v>5.4986312814544219E-2</v>
      </c>
      <c r="W4" s="316">
        <v>0.74879280105581247</v>
      </c>
      <c r="X4" s="316">
        <v>0.15319472161881822</v>
      </c>
      <c r="Y4" s="316">
        <v>0.36415002776098165</v>
      </c>
      <c r="Z4" s="316">
        <v>0.36415002776098171</v>
      </c>
    </row>
    <row r="5" spans="1:26" s="312" customFormat="1">
      <c r="A5" t="s">
        <v>514</v>
      </c>
      <c r="B5">
        <v>1148</v>
      </c>
      <c r="C5" s="316">
        <v>4.0149689366786118E-2</v>
      </c>
      <c r="D5" s="316">
        <v>0.11373092436928148</v>
      </c>
      <c r="E5" s="316">
        <v>0.1520986772234196</v>
      </c>
      <c r="F5" s="316">
        <v>0.24530673329967523</v>
      </c>
      <c r="G5" s="335">
        <v>0.74875950799856683</v>
      </c>
      <c r="H5" s="335">
        <v>0.82870476494151224</v>
      </c>
      <c r="I5" s="316">
        <v>8.828989355866021E-2</v>
      </c>
      <c r="J5" s="316">
        <v>0.37145586989532259</v>
      </c>
      <c r="K5" s="316">
        <v>5.3699999999999998E-2</v>
      </c>
      <c r="L5" s="316">
        <v>0.19657879881981752</v>
      </c>
      <c r="M5" s="316">
        <v>7.8808958331450907E-2</v>
      </c>
      <c r="N5" s="335">
        <v>1.5131087259889888</v>
      </c>
      <c r="O5" s="335">
        <v>1.8599939224533104</v>
      </c>
      <c r="P5" s="335">
        <v>10.310397390678872</v>
      </c>
      <c r="Q5" s="335">
        <v>15.474903241076325</v>
      </c>
      <c r="R5" s="335">
        <v>2.6880995655997668</v>
      </c>
      <c r="S5" s="335">
        <v>29.677581028133083</v>
      </c>
      <c r="T5" s="316">
        <v>0.21584412621134857</v>
      </c>
      <c r="U5" s="316">
        <v>3.8688500150725079E-2</v>
      </c>
      <c r="V5" s="316">
        <v>3.6892785859170767E-2</v>
      </c>
      <c r="W5" s="316">
        <v>0.64696927910834934</v>
      </c>
      <c r="X5" s="316">
        <v>0.12781856356137847</v>
      </c>
      <c r="Y5" s="316">
        <v>0.49561970236343283</v>
      </c>
      <c r="Z5" s="316">
        <v>0.49561970236343278</v>
      </c>
    </row>
    <row r="6" spans="1:26" s="312" customFormat="1">
      <c r="A6" t="s">
        <v>515</v>
      </c>
      <c r="B6">
        <v>133</v>
      </c>
      <c r="C6" s="316">
        <v>9.2751470588235296E-2</v>
      </c>
      <c r="D6" s="316">
        <v>5.9248527068121816E-2</v>
      </c>
      <c r="E6" s="316">
        <v>5.7908926554488482E-2</v>
      </c>
      <c r="F6" s="316">
        <v>0.2126126590624289</v>
      </c>
      <c r="G6" s="335">
        <v>0.80169127706612708</v>
      </c>
      <c r="H6" s="335">
        <v>1.305168576497866</v>
      </c>
      <c r="I6" s="316">
        <v>0.12364350837614166</v>
      </c>
      <c r="J6" s="316">
        <v>0.31548099167202925</v>
      </c>
      <c r="K6" s="316">
        <v>5.3699999999999998E-2</v>
      </c>
      <c r="L6" s="316">
        <v>0.53619028397486279</v>
      </c>
      <c r="M6" s="316">
        <v>7.882695052237973E-2</v>
      </c>
      <c r="N6" s="335">
        <v>1.152696927781891</v>
      </c>
      <c r="O6" s="335">
        <v>0.8406580996572417</v>
      </c>
      <c r="P6" s="335">
        <v>8.1006885969970561</v>
      </c>
      <c r="Q6" s="335">
        <v>13.948972447555983</v>
      </c>
      <c r="R6" s="335">
        <v>0.99875723515225812</v>
      </c>
      <c r="S6" s="335">
        <v>27.628239968954887</v>
      </c>
      <c r="T6" s="316">
        <v>4.353157524912496E-2</v>
      </c>
      <c r="U6" s="316">
        <v>6.7313427929247521E-2</v>
      </c>
      <c r="V6" s="316">
        <v>3.325106370532286E-2</v>
      </c>
      <c r="W6" s="316">
        <v>0.79993688020532105</v>
      </c>
      <c r="X6" s="316">
        <v>0.128283429153951</v>
      </c>
      <c r="Y6" s="316">
        <v>0.32978889621340701</v>
      </c>
      <c r="Z6" s="316">
        <v>0.32978889621340701</v>
      </c>
    </row>
    <row r="7" spans="1:26" s="312" customFormat="1">
      <c r="A7" t="s">
        <v>516</v>
      </c>
      <c r="B7">
        <v>681</v>
      </c>
      <c r="C7" s="316">
        <v>6.9966890595009629E-2</v>
      </c>
      <c r="D7" s="316">
        <v>6.6547296431069575E-2</v>
      </c>
      <c r="E7" s="316">
        <v>0.10246742868506956</v>
      </c>
      <c r="F7" s="316">
        <v>0.25063132987812042</v>
      </c>
      <c r="G7" s="335">
        <v>1.0858928225770144</v>
      </c>
      <c r="H7" s="335">
        <v>1.2001287614525129</v>
      </c>
      <c r="I7" s="316">
        <v>0.11584955409977646</v>
      </c>
      <c r="J7" s="316">
        <v>0.35521483170217755</v>
      </c>
      <c r="K7" s="316">
        <v>5.3699999999999998E-2</v>
      </c>
      <c r="L7" s="316">
        <v>0.26491846172355515</v>
      </c>
      <c r="M7" s="316">
        <v>9.5771554996641861E-2</v>
      </c>
      <c r="N7" s="335">
        <v>1.7931654531161187</v>
      </c>
      <c r="O7" s="335">
        <v>0.67151103405087076</v>
      </c>
      <c r="P7" s="335">
        <v>5.9402164469738121</v>
      </c>
      <c r="Q7" s="335">
        <v>9.8129887404856682</v>
      </c>
      <c r="R7" s="335">
        <v>1.2311288818046546</v>
      </c>
      <c r="S7" s="335">
        <v>30.065113336568523</v>
      </c>
      <c r="T7" s="316">
        <v>0.11612828343495155</v>
      </c>
      <c r="U7" s="316">
        <v>5.9599427037503684E-2</v>
      </c>
      <c r="V7" s="316">
        <v>5.1456298233171466E-2</v>
      </c>
      <c r="W7" s="316">
        <v>1.2311957177055524</v>
      </c>
      <c r="X7" s="316">
        <v>0.10775564711461572</v>
      </c>
      <c r="Y7" s="316">
        <v>0.33670767733839735</v>
      </c>
      <c r="Z7" s="316">
        <v>0.33670767733839735</v>
      </c>
    </row>
    <row r="8" spans="1:26" s="312" customFormat="1">
      <c r="A8" t="s">
        <v>517</v>
      </c>
      <c r="B8">
        <v>617</v>
      </c>
      <c r="C8" s="316">
        <v>0.12671670370370364</v>
      </c>
      <c r="D8" s="316">
        <v>6.5209280077215603E-5</v>
      </c>
      <c r="E8" s="316">
        <v>1.5332872022868877E-4</v>
      </c>
      <c r="F8" s="316">
        <v>0.24284657060809706</v>
      </c>
      <c r="G8" s="335">
        <v>0.38392646777645967</v>
      </c>
      <c r="H8" s="335">
        <v>0.77811984173391413</v>
      </c>
      <c r="I8" s="316">
        <v>8.4536492256656437E-2</v>
      </c>
      <c r="J8" s="316">
        <v>0.23457391842151543</v>
      </c>
      <c r="K8" s="316">
        <v>4.7699999999999999E-2</v>
      </c>
      <c r="L8" s="316">
        <v>0.71848540929987392</v>
      </c>
      <c r="M8" s="316">
        <v>4.9364984518465591E-2</v>
      </c>
      <c r="N8" s="335">
        <v>0.12968135467772801</v>
      </c>
      <c r="O8" s="335">
        <v>7.4184406605621147</v>
      </c>
      <c r="P8" s="335" t="s">
        <v>100</v>
      </c>
      <c r="Q8" s="335" t="s">
        <v>100</v>
      </c>
      <c r="R8" s="335">
        <v>0.95277344047581702</v>
      </c>
      <c r="S8" s="335">
        <v>15.781499818245079</v>
      </c>
      <c r="T8" s="316" t="s">
        <v>100</v>
      </c>
      <c r="U8" s="316">
        <v>4.2604071598196E-2</v>
      </c>
      <c r="V8" s="316">
        <v>4.565914590473056E-2</v>
      </c>
      <c r="W8" s="316">
        <v>33.143682978111748</v>
      </c>
      <c r="X8" s="316">
        <v>0.10114871843255104</v>
      </c>
      <c r="Y8" s="316">
        <v>0.36199018796396948</v>
      </c>
      <c r="Z8" s="316">
        <v>0.36199018796396953</v>
      </c>
    </row>
    <row r="9" spans="1:26" s="312" customFormat="1">
      <c r="A9" t="s">
        <v>518</v>
      </c>
      <c r="B9">
        <v>872</v>
      </c>
      <c r="C9" s="316">
        <v>8.6625031948881825E-2</v>
      </c>
      <c r="D9" s="316">
        <v>-4.1435087468024904E-4</v>
      </c>
      <c r="E9" s="316">
        <v>-3.2865304033999174E-5</v>
      </c>
      <c r="F9" s="316">
        <v>0.2305146170827817</v>
      </c>
      <c r="G9" s="335">
        <v>0.46600710739863394</v>
      </c>
      <c r="H9" s="335">
        <v>0.62708861365154911</v>
      </c>
      <c r="I9" s="316">
        <v>7.3329975132944952E-2</v>
      </c>
      <c r="J9" s="316">
        <v>0.22184999403120642</v>
      </c>
      <c r="K9" s="316">
        <v>4.7699999999999999E-2</v>
      </c>
      <c r="L9" s="316">
        <v>0.63680942375020899</v>
      </c>
      <c r="M9" s="316">
        <v>4.9293109821529305E-2</v>
      </c>
      <c r="N9" s="335">
        <v>0.25760299386386659</v>
      </c>
      <c r="O9" s="335">
        <v>3.9819573031632722</v>
      </c>
      <c r="P9" s="335" t="s">
        <v>100</v>
      </c>
      <c r="Q9" s="335" t="s">
        <v>100</v>
      </c>
      <c r="R9" s="335">
        <v>0.83728785174960507</v>
      </c>
      <c r="S9" s="335">
        <v>21.747276923965863</v>
      </c>
      <c r="T9" s="316" t="s">
        <v>100</v>
      </c>
      <c r="U9" s="316">
        <v>6.4375790381635392E-2</v>
      </c>
      <c r="V9" s="316">
        <v>6.4435952654048598E-2</v>
      </c>
      <c r="W9" s="316" t="s">
        <v>100</v>
      </c>
      <c r="X9" s="316">
        <v>0.13189639024056735</v>
      </c>
      <c r="Y9" s="316">
        <v>0.20360291014074713</v>
      </c>
      <c r="Z9" s="316">
        <v>0.20360291014074716</v>
      </c>
    </row>
    <row r="10" spans="1:26" s="312" customFormat="1">
      <c r="A10" t="s">
        <v>519</v>
      </c>
      <c r="B10">
        <v>220</v>
      </c>
      <c r="C10" s="316">
        <v>5.9682278481012638E-2</v>
      </c>
      <c r="D10" s="316">
        <v>0.21329751963083868</v>
      </c>
      <c r="E10" s="316">
        <v>0.12662153466100604</v>
      </c>
      <c r="F10" s="316">
        <v>0.20685346477820982</v>
      </c>
      <c r="G10" s="335">
        <v>0.79597285649534522</v>
      </c>
      <c r="H10" s="335">
        <v>0.92388644829400823</v>
      </c>
      <c r="I10" s="316">
        <v>9.5352374463415421E-2</v>
      </c>
      <c r="J10" s="316">
        <v>0.30039927062078725</v>
      </c>
      <c r="K10" s="316">
        <v>5.3699999999999998E-2</v>
      </c>
      <c r="L10" s="316">
        <v>0.22127364994979562</v>
      </c>
      <c r="M10" s="316">
        <v>8.3117673206234616E-2</v>
      </c>
      <c r="N10" s="335">
        <v>0.71380153213566433</v>
      </c>
      <c r="O10" s="335">
        <v>3.601799479871314</v>
      </c>
      <c r="P10" s="335">
        <v>12.389077026245568</v>
      </c>
      <c r="Q10" s="335">
        <v>15.776956976321298</v>
      </c>
      <c r="R10" s="335">
        <v>2.948280909568656</v>
      </c>
      <c r="S10" s="335">
        <v>33.808550835735169</v>
      </c>
      <c r="T10" s="316">
        <v>9.5383791780705954E-2</v>
      </c>
      <c r="U10" s="316">
        <v>4.5450170235322739E-2</v>
      </c>
      <c r="V10" s="316">
        <v>2.2108506236922044E-2</v>
      </c>
      <c r="W10" s="316">
        <v>0.13355237511941856</v>
      </c>
      <c r="X10" s="316">
        <v>0.16032851876765131</v>
      </c>
      <c r="Y10" s="316">
        <v>0.54257841346943581</v>
      </c>
      <c r="Z10" s="316">
        <v>0.54257841346943581</v>
      </c>
    </row>
    <row r="11" spans="1:26" s="312" customFormat="1">
      <c r="A11" t="s">
        <v>520</v>
      </c>
      <c r="B11">
        <v>97</v>
      </c>
      <c r="C11" s="316">
        <v>4.928155172413793E-2</v>
      </c>
      <c r="D11" s="316">
        <v>0.16386232213395907</v>
      </c>
      <c r="E11" s="316">
        <v>0.20765270321305684</v>
      </c>
      <c r="F11" s="316">
        <v>0.44562919559478953</v>
      </c>
      <c r="G11" s="335">
        <v>0.67558436301311986</v>
      </c>
      <c r="H11" s="335">
        <v>0.75951824082669495</v>
      </c>
      <c r="I11" s="316">
        <v>8.3156253469340774E-2</v>
      </c>
      <c r="J11" s="316">
        <v>0.34115185799182729</v>
      </c>
      <c r="K11" s="316">
        <v>5.3699999999999998E-2</v>
      </c>
      <c r="L11" s="316">
        <v>0.19218101312032462</v>
      </c>
      <c r="M11" s="316">
        <v>7.4874010252115181E-2</v>
      </c>
      <c r="N11" s="335">
        <v>1.4095916503845902</v>
      </c>
      <c r="O11" s="335">
        <v>3.3877577415784748</v>
      </c>
      <c r="P11" s="335">
        <v>16.119935913064591</v>
      </c>
      <c r="Q11" s="335">
        <v>20.412090884026391</v>
      </c>
      <c r="R11" s="335">
        <v>5.1905380199268008</v>
      </c>
      <c r="S11" s="335">
        <v>31.820483148024852</v>
      </c>
      <c r="T11" s="316">
        <v>-6.7491152651553575E-4</v>
      </c>
      <c r="U11" s="316">
        <v>4.2642639138325444E-2</v>
      </c>
      <c r="V11" s="316">
        <v>3.1411795590294792E-2</v>
      </c>
      <c r="W11" s="316">
        <v>0.33134653562795446</v>
      </c>
      <c r="X11" s="316">
        <v>0.18699581238375024</v>
      </c>
      <c r="Y11" s="316">
        <v>0.91996331990355751</v>
      </c>
      <c r="Z11" s="316">
        <v>0.91996331990355751</v>
      </c>
    </row>
    <row r="12" spans="1:26" s="312" customFormat="1">
      <c r="A12" t="s">
        <v>521</v>
      </c>
      <c r="B12">
        <v>135</v>
      </c>
      <c r="C12" s="316">
        <v>4.7349444444444479E-2</v>
      </c>
      <c r="D12" s="316">
        <v>0.16033929037970859</v>
      </c>
      <c r="E12" s="316">
        <v>0.16798423836214668</v>
      </c>
      <c r="F12" s="316">
        <v>0.22404033995603456</v>
      </c>
      <c r="G12" s="335">
        <v>0.61037258942329087</v>
      </c>
      <c r="H12" s="335">
        <v>0.90022492037472923</v>
      </c>
      <c r="I12" s="316">
        <v>9.3596689091804922E-2</v>
      </c>
      <c r="J12" s="316">
        <v>0.35757920155304035</v>
      </c>
      <c r="K12" s="316">
        <v>5.3699999999999998E-2</v>
      </c>
      <c r="L12" s="316">
        <v>0.43113658097178947</v>
      </c>
      <c r="M12" s="316">
        <v>7.0515150227530646E-2</v>
      </c>
      <c r="N12" s="335">
        <v>1.2209487273833555</v>
      </c>
      <c r="O12" s="335">
        <v>1.8867413870080971</v>
      </c>
      <c r="P12" s="335">
        <v>8.2758846752102588</v>
      </c>
      <c r="Q12" s="335">
        <v>11.51625796345199</v>
      </c>
      <c r="R12" s="335">
        <v>1.7576825230618729</v>
      </c>
      <c r="S12" s="335">
        <v>37.192573249335432</v>
      </c>
      <c r="T12" s="316">
        <v>0.15757194197150939</v>
      </c>
      <c r="U12" s="316">
        <v>4.0298472368442535E-2</v>
      </c>
      <c r="V12" s="316">
        <v>7.3275306096259707E-2</v>
      </c>
      <c r="W12" s="316">
        <v>0.64725067936464309</v>
      </c>
      <c r="X12" s="316">
        <v>0.15142611662230376</v>
      </c>
      <c r="Y12" s="316">
        <v>0.44465113288160774</v>
      </c>
      <c r="Z12" s="316">
        <v>0.44465113288160774</v>
      </c>
    </row>
    <row r="13" spans="1:26" s="312" customFormat="1">
      <c r="A13" t="s">
        <v>522</v>
      </c>
      <c r="B13">
        <v>553</v>
      </c>
      <c r="C13" s="316">
        <v>0.1947906201550387</v>
      </c>
      <c r="D13" s="316">
        <v>5.4773840614674553E-3</v>
      </c>
      <c r="E13" s="316">
        <v>1.0432987947545042E-3</v>
      </c>
      <c r="F13" s="316">
        <v>0.3221081521103451</v>
      </c>
      <c r="G13" s="335">
        <v>0.42119202782012716</v>
      </c>
      <c r="H13" s="335">
        <v>1.0950712971101895</v>
      </c>
      <c r="I13" s="316">
        <v>0.10805429024557607</v>
      </c>
      <c r="J13" s="316">
        <v>0.38090670303960961</v>
      </c>
      <c r="K13" s="316">
        <v>5.3699999999999998E-2</v>
      </c>
      <c r="L13" s="316">
        <v>0.7343243771534016</v>
      </c>
      <c r="M13" s="316">
        <v>5.8124572275881241E-2</v>
      </c>
      <c r="N13" s="335">
        <v>0.16388557291193892</v>
      </c>
      <c r="O13" s="335">
        <v>6.7588916412653868</v>
      </c>
      <c r="P13" s="335" t="s">
        <v>100</v>
      </c>
      <c r="Q13" s="335" t="s">
        <v>100</v>
      </c>
      <c r="R13" s="335">
        <v>1.0787053709497203</v>
      </c>
      <c r="S13" s="335">
        <v>37.820571828695329</v>
      </c>
      <c r="T13" s="316" t="s">
        <v>100</v>
      </c>
      <c r="U13" s="316">
        <v>5.2175809843259521E-2</v>
      </c>
      <c r="V13" s="316">
        <v>6.2758684205140233E-2</v>
      </c>
      <c r="W13" s="316">
        <v>89.085835597458626</v>
      </c>
      <c r="X13" s="316">
        <v>8.2046492655304518E-2</v>
      </c>
      <c r="Y13" s="316">
        <v>0.53478079848749183</v>
      </c>
      <c r="Z13" s="316">
        <v>0.53478079848749183</v>
      </c>
    </row>
    <row r="14" spans="1:26" s="312" customFormat="1">
      <c r="A14" t="s">
        <v>523</v>
      </c>
      <c r="B14">
        <v>416</v>
      </c>
      <c r="C14" s="316">
        <v>6.2310740740740715E-2</v>
      </c>
      <c r="D14" s="316">
        <v>8.7564268919710669E-2</v>
      </c>
      <c r="E14" s="316">
        <v>0.12343065204216309</v>
      </c>
      <c r="F14" s="316">
        <v>0.24720155556888104</v>
      </c>
      <c r="G14" s="335">
        <v>0.81357886086694797</v>
      </c>
      <c r="H14" s="335">
        <v>0.96426477660791776</v>
      </c>
      <c r="I14" s="316">
        <v>9.8348446424307498E-2</v>
      </c>
      <c r="J14" s="316">
        <v>0.34062322849545151</v>
      </c>
      <c r="K14" s="316">
        <v>5.3699999999999998E-2</v>
      </c>
      <c r="L14" s="316">
        <v>0.26644499255121218</v>
      </c>
      <c r="M14" s="316">
        <v>8.2817835039959653E-2</v>
      </c>
      <c r="N14" s="335">
        <v>1.6810537172948858</v>
      </c>
      <c r="O14" s="335">
        <v>1.1398593883013965</v>
      </c>
      <c r="P14" s="335">
        <v>8.5792376140376785</v>
      </c>
      <c r="Q14" s="335">
        <v>12.524631157597565</v>
      </c>
      <c r="R14" s="335">
        <v>1.6535389730982371</v>
      </c>
      <c r="S14" s="335">
        <v>34.392817195969329</v>
      </c>
      <c r="T14" s="316">
        <v>0.17177673544308691</v>
      </c>
      <c r="U14" s="316">
        <v>4.278306161356487E-2</v>
      </c>
      <c r="V14" s="316">
        <v>4.6514696150585726E-2</v>
      </c>
      <c r="W14" s="316">
        <v>0.88290914797095887</v>
      </c>
      <c r="X14" s="316">
        <v>0.11161192109703337</v>
      </c>
      <c r="Y14" s="316">
        <v>0.35024055189595416</v>
      </c>
      <c r="Z14" s="316">
        <v>0.35024055189595416</v>
      </c>
    </row>
    <row r="15" spans="1:26" s="312" customFormat="1">
      <c r="A15" t="s">
        <v>524</v>
      </c>
      <c r="B15">
        <v>850</v>
      </c>
      <c r="C15" s="316">
        <v>9.5375189620758458E-2</v>
      </c>
      <c r="D15" s="316">
        <v>8.5624193686960212E-2</v>
      </c>
      <c r="E15" s="316">
        <v>0.20215209617349414</v>
      </c>
      <c r="F15" s="316">
        <v>0.2074204104005419</v>
      </c>
      <c r="G15" s="335">
        <v>0.9215650049807711</v>
      </c>
      <c r="H15" s="335">
        <v>1.0678004407133816</v>
      </c>
      <c r="I15" s="316">
        <v>0.10603079270093292</v>
      </c>
      <c r="J15" s="316">
        <v>0.43105254985551184</v>
      </c>
      <c r="K15" s="316">
        <v>5.7499999999999996E-2</v>
      </c>
      <c r="L15" s="316">
        <v>0.23542696050370418</v>
      </c>
      <c r="M15" s="316">
        <v>9.1166924926360332E-2</v>
      </c>
      <c r="N15" s="335">
        <v>2.8761670056854811</v>
      </c>
      <c r="O15" s="335">
        <v>1.5123424459471471</v>
      </c>
      <c r="P15" s="335">
        <v>11.07325017007072</v>
      </c>
      <c r="Q15" s="335">
        <v>16.656228201263488</v>
      </c>
      <c r="R15" s="335">
        <v>3.2736183265242298</v>
      </c>
      <c r="S15" s="335">
        <v>55.470350636200401</v>
      </c>
      <c r="T15" s="316">
        <v>0.1153669450409759</v>
      </c>
      <c r="U15" s="316">
        <v>2.7068587568932382E-2</v>
      </c>
      <c r="V15" s="316">
        <v>2.583428377805325E-2</v>
      </c>
      <c r="W15" s="316">
        <v>0.53510102196164466</v>
      </c>
      <c r="X15" s="316">
        <v>0.16544538355824184</v>
      </c>
      <c r="Y15" s="316">
        <v>0.4659984110168256</v>
      </c>
      <c r="Z15" s="316">
        <v>0.4659984110168256</v>
      </c>
    </row>
    <row r="16" spans="1:26" s="312" customFormat="1">
      <c r="A16" t="s">
        <v>525</v>
      </c>
      <c r="B16">
        <v>60</v>
      </c>
      <c r="C16" s="316">
        <v>7.5403488372093055E-2</v>
      </c>
      <c r="D16" s="316">
        <v>0.16840247543910014</v>
      </c>
      <c r="E16" s="316">
        <v>0.11128766495279011</v>
      </c>
      <c r="F16" s="316">
        <v>5.7792124285959146E-2</v>
      </c>
      <c r="G16" s="335">
        <v>0.71648107037347275</v>
      </c>
      <c r="H16" s="335">
        <v>1.0589482740851699</v>
      </c>
      <c r="I16" s="316">
        <v>0.10537396193711961</v>
      </c>
      <c r="J16" s="316">
        <v>0.32634725825688299</v>
      </c>
      <c r="K16" s="316">
        <v>5.3699999999999998E-2</v>
      </c>
      <c r="L16" s="316">
        <v>0.41396816753473953</v>
      </c>
      <c r="M16" s="316">
        <v>7.8336143593209978E-2</v>
      </c>
      <c r="N16" s="335">
        <v>0.7356701217772067</v>
      </c>
      <c r="O16" s="335">
        <v>3.0516459535740021</v>
      </c>
      <c r="P16" s="335">
        <v>8.4588398039751809</v>
      </c>
      <c r="Q16" s="335">
        <v>17.550592295484847</v>
      </c>
      <c r="R16" s="335">
        <v>2.0946874107229947</v>
      </c>
      <c r="S16" s="335">
        <v>64.908894993857416</v>
      </c>
      <c r="T16" s="316">
        <v>-5.987345874678549E-3</v>
      </c>
      <c r="U16" s="316">
        <v>0.14042462270823453</v>
      </c>
      <c r="V16" s="316">
        <v>-1.7082069960530827E-2</v>
      </c>
      <c r="W16" s="316">
        <v>-5.6466537541765276E-2</v>
      </c>
      <c r="X16" s="316">
        <v>0.3417997731676195</v>
      </c>
      <c r="Y16" s="316">
        <v>0.10231059734286603</v>
      </c>
      <c r="Z16" s="316">
        <v>0.10231059734286607</v>
      </c>
    </row>
    <row r="17" spans="1:26" s="312" customFormat="1">
      <c r="A17" t="s">
        <v>526</v>
      </c>
      <c r="B17">
        <v>785</v>
      </c>
      <c r="C17" s="316">
        <v>7.5496518771331164E-2</v>
      </c>
      <c r="D17" s="316">
        <v>0.11140866340879864</v>
      </c>
      <c r="E17" s="316">
        <v>0.12213005822484649</v>
      </c>
      <c r="F17" s="316">
        <v>0.16502078967364869</v>
      </c>
      <c r="G17" s="335">
        <v>0.95053935959206426</v>
      </c>
      <c r="H17" s="335">
        <v>1.0826041862130882</v>
      </c>
      <c r="I17" s="316">
        <v>0.10712923061701116</v>
      </c>
      <c r="J17" s="316">
        <v>0.3490405644902983</v>
      </c>
      <c r="K17" s="316">
        <v>5.3699999999999998E-2</v>
      </c>
      <c r="L17" s="316">
        <v>0.26110583411131688</v>
      </c>
      <c r="M17" s="316">
        <v>8.9617115434719022E-2</v>
      </c>
      <c r="N17" s="335">
        <v>1.3086769276669321</v>
      </c>
      <c r="O17" s="335">
        <v>1.2307668439847681</v>
      </c>
      <c r="P17" s="335">
        <v>7.4653247407720746</v>
      </c>
      <c r="Q17" s="335">
        <v>10.573194109614128</v>
      </c>
      <c r="R17" s="335">
        <v>1.4316344130891321</v>
      </c>
      <c r="S17" s="335">
        <v>28.502707902092915</v>
      </c>
      <c r="T17" s="316">
        <v>0.13155819233405458</v>
      </c>
      <c r="U17" s="316">
        <v>6.9458072016190808E-2</v>
      </c>
      <c r="V17" s="316">
        <v>4.9529259588578706E-2</v>
      </c>
      <c r="W17" s="316">
        <v>0.8225340394508186</v>
      </c>
      <c r="X17" s="316">
        <v>0.15352569585661863</v>
      </c>
      <c r="Y17" s="316">
        <v>0.3983177835359189</v>
      </c>
      <c r="Z17" s="316">
        <v>0.39831778353591885</v>
      </c>
    </row>
    <row r="18" spans="1:26" s="312" customFormat="1">
      <c r="A18" t="s">
        <v>527</v>
      </c>
      <c r="B18">
        <v>71</v>
      </c>
      <c r="C18" s="316">
        <v>4.0848939393939396E-2</v>
      </c>
      <c r="D18" s="316">
        <v>0.11456787501827331</v>
      </c>
      <c r="E18" s="316">
        <v>0.11479743375586925</v>
      </c>
      <c r="F18" s="316">
        <v>0.16218182947855239</v>
      </c>
      <c r="G18" s="335">
        <v>0.95869966191078437</v>
      </c>
      <c r="H18" s="335">
        <v>1.183964188027693</v>
      </c>
      <c r="I18" s="316">
        <v>0.11465014275165483</v>
      </c>
      <c r="J18" s="316">
        <v>0.33200800265443253</v>
      </c>
      <c r="K18" s="316">
        <v>5.3699999999999998E-2</v>
      </c>
      <c r="L18" s="316">
        <v>0.29730851755032878</v>
      </c>
      <c r="M18" s="316">
        <v>9.2473917447996448E-2</v>
      </c>
      <c r="N18" s="335">
        <v>1.1978026369021384</v>
      </c>
      <c r="O18" s="335">
        <v>1.2489862098928637</v>
      </c>
      <c r="P18" s="335">
        <v>7.0123383678448334</v>
      </c>
      <c r="Q18" s="335">
        <v>10.817561503366248</v>
      </c>
      <c r="R18" s="335">
        <v>1.228608645624029</v>
      </c>
      <c r="S18" s="335">
        <v>33.520870825556379</v>
      </c>
      <c r="T18" s="316">
        <v>0.2259695253692762</v>
      </c>
      <c r="U18" s="316">
        <v>-7.6782349958900986E-2</v>
      </c>
      <c r="V18" s="316">
        <v>-8.3182504232194851E-2</v>
      </c>
      <c r="W18" s="316">
        <v>-0.7824975775286982</v>
      </c>
      <c r="X18" s="316">
        <v>9.6313612670307788E-2</v>
      </c>
      <c r="Y18" s="316">
        <v>0.49414617300154218</v>
      </c>
      <c r="Z18" s="316">
        <v>0.49414617300154218</v>
      </c>
    </row>
    <row r="19" spans="1:26" s="312" customFormat="1">
      <c r="A19" t="s">
        <v>528</v>
      </c>
      <c r="B19">
        <v>811</v>
      </c>
      <c r="C19" s="316">
        <v>6.4057384341637005E-2</v>
      </c>
      <c r="D19" s="316">
        <v>0.12203324198246569</v>
      </c>
      <c r="E19" s="316">
        <v>0.13135535741012488</v>
      </c>
      <c r="F19" s="316">
        <v>0.22228851548192638</v>
      </c>
      <c r="G19" s="335">
        <v>1.0359122277535977</v>
      </c>
      <c r="H19" s="335">
        <v>1.1702612309518314</v>
      </c>
      <c r="I19" s="316">
        <v>0.1136333833366259</v>
      </c>
      <c r="J19" s="316">
        <v>0.3894799620974268</v>
      </c>
      <c r="K19" s="316">
        <v>5.3699999999999998E-2</v>
      </c>
      <c r="L19" s="316">
        <v>0.21859653673861515</v>
      </c>
      <c r="M19" s="316">
        <v>9.7550540262404284E-2</v>
      </c>
      <c r="N19" s="335">
        <v>1.2705632037008447</v>
      </c>
      <c r="O19" s="335">
        <v>1.8920217232673326</v>
      </c>
      <c r="P19" s="335">
        <v>10.153743348154826</v>
      </c>
      <c r="Q19" s="335">
        <v>15.095088001738654</v>
      </c>
      <c r="R19" s="335">
        <v>2.3320581433819823</v>
      </c>
      <c r="S19" s="335">
        <v>40.877034651092458</v>
      </c>
      <c r="T19" s="316">
        <v>0.17958310224720611</v>
      </c>
      <c r="U19" s="316">
        <v>6.5505543208137978E-2</v>
      </c>
      <c r="V19" s="316">
        <v>4.0810722811848658E-2</v>
      </c>
      <c r="W19" s="316">
        <v>0.66267189608204946</v>
      </c>
      <c r="X19" s="316">
        <v>0.13881484900263408</v>
      </c>
      <c r="Y19" s="316">
        <v>0.4312816585380983</v>
      </c>
      <c r="Z19" s="316">
        <v>0.4312816585380983</v>
      </c>
    </row>
    <row r="20" spans="1:26" s="312" customFormat="1">
      <c r="A20" t="s">
        <v>529</v>
      </c>
      <c r="B20">
        <v>232</v>
      </c>
      <c r="C20" s="316">
        <v>5.9962260869565187E-2</v>
      </c>
      <c r="D20" s="316">
        <v>0.18190337787762231</v>
      </c>
      <c r="E20" s="316">
        <v>0.15723669994028089</v>
      </c>
      <c r="F20" s="316">
        <v>0.24417774210735446</v>
      </c>
      <c r="G20" s="335">
        <v>1.2312048013040942</v>
      </c>
      <c r="H20" s="335">
        <v>1.4138023062008152</v>
      </c>
      <c r="I20" s="316">
        <v>0.13170413112010049</v>
      </c>
      <c r="J20" s="316">
        <v>0.5957050792430002</v>
      </c>
      <c r="K20" s="316">
        <v>5.7499999999999996E-2</v>
      </c>
      <c r="L20" s="316">
        <v>0.35326347135531183</v>
      </c>
      <c r="M20" s="316">
        <v>0.10033110917256473</v>
      </c>
      <c r="N20" s="335">
        <v>0.93634650197791958</v>
      </c>
      <c r="O20" s="335">
        <v>1.2203828245552539</v>
      </c>
      <c r="P20" s="335">
        <v>4.5148558664757763</v>
      </c>
      <c r="Q20" s="335">
        <v>6.5621287246464526</v>
      </c>
      <c r="R20" s="335">
        <v>1.0204506753051878</v>
      </c>
      <c r="S20" s="335">
        <v>16.036911986145125</v>
      </c>
      <c r="T20" s="316">
        <v>-3.2642836340272603E-2</v>
      </c>
      <c r="U20" s="316">
        <v>7.2789715507781211E-2</v>
      </c>
      <c r="V20" s="316">
        <v>3.4350903589264008E-2</v>
      </c>
      <c r="W20" s="316">
        <v>0.31983668424369088</v>
      </c>
      <c r="X20" s="316">
        <v>0.14968186952608559</v>
      </c>
      <c r="Y20" s="316">
        <v>0.50779884415526433</v>
      </c>
      <c r="Z20" s="316">
        <v>0.50779884415526433</v>
      </c>
    </row>
    <row r="21" spans="1:26" s="312" customFormat="1">
      <c r="A21" t="s">
        <v>530</v>
      </c>
      <c r="B21">
        <v>998</v>
      </c>
      <c r="C21" s="316">
        <v>8.3230000000000151E-2</v>
      </c>
      <c r="D21" s="316">
        <v>7.2984310272925984E-2</v>
      </c>
      <c r="E21" s="316">
        <v>0.21328497925118131</v>
      </c>
      <c r="F21" s="316">
        <v>0.29889996986151413</v>
      </c>
      <c r="G21" s="335">
        <v>1.0136316505590375</v>
      </c>
      <c r="H21" s="335">
        <v>1.1150431537600078</v>
      </c>
      <c r="I21" s="316">
        <v>0.10953620200899258</v>
      </c>
      <c r="J21" s="316">
        <v>0.41942475799253232</v>
      </c>
      <c r="K21" s="316">
        <v>5.7499999999999996E-2</v>
      </c>
      <c r="L21" s="316">
        <v>0.19895704391889193</v>
      </c>
      <c r="M21" s="316">
        <v>9.6277465454081695E-2</v>
      </c>
      <c r="N21" s="335">
        <v>3.0860050465865689</v>
      </c>
      <c r="O21" s="335">
        <v>1.0499450944767179</v>
      </c>
      <c r="P21" s="335">
        <v>8.9106209918649846</v>
      </c>
      <c r="Q21" s="335">
        <v>12.480918011886935</v>
      </c>
      <c r="R21" s="335">
        <v>2.8662292407909957</v>
      </c>
      <c r="S21" s="335">
        <v>86.589542671499672</v>
      </c>
      <c r="T21" s="316">
        <v>0.1387426548311442</v>
      </c>
      <c r="U21" s="316">
        <v>1.760076520481468E-2</v>
      </c>
      <c r="V21" s="316">
        <v>1.0857417632557901E-2</v>
      </c>
      <c r="W21" s="316">
        <v>0.35344322674649492</v>
      </c>
      <c r="X21" s="316">
        <v>0.15693400137317634</v>
      </c>
      <c r="Y21" s="316">
        <v>0.4478854812876541</v>
      </c>
      <c r="Z21" s="316">
        <v>0.44788548128765404</v>
      </c>
    </row>
    <row r="22" spans="1:26" s="312" customFormat="1">
      <c r="A22" t="s">
        <v>531</v>
      </c>
      <c r="B22">
        <v>340</v>
      </c>
      <c r="C22" s="316">
        <v>4.0522578125E-2</v>
      </c>
      <c r="D22" s="316">
        <v>0.12191760296420387</v>
      </c>
      <c r="E22" s="316">
        <v>0.17552081607393427</v>
      </c>
      <c r="F22" s="316">
        <v>0.24005650705133277</v>
      </c>
      <c r="G22" s="335">
        <v>1.3484800037867355</v>
      </c>
      <c r="H22" s="335">
        <v>1.4536648240849377</v>
      </c>
      <c r="I22" s="316">
        <v>0.13466192994710238</v>
      </c>
      <c r="J22" s="316">
        <v>0.3955023606713654</v>
      </c>
      <c r="K22" s="316">
        <v>5.3699999999999998E-2</v>
      </c>
      <c r="L22" s="316">
        <v>0.20910294269802235</v>
      </c>
      <c r="M22" s="316">
        <v>0.11488042983083965</v>
      </c>
      <c r="N22" s="335">
        <v>1.5873413388393083</v>
      </c>
      <c r="O22" s="335">
        <v>1.2213306476925629</v>
      </c>
      <c r="P22" s="335">
        <v>6.7219253177730813</v>
      </c>
      <c r="Q22" s="335">
        <v>9.6468635208732234</v>
      </c>
      <c r="R22" s="335">
        <v>2.3187495623090557</v>
      </c>
      <c r="S22" s="335">
        <v>30.291169027070634</v>
      </c>
      <c r="T22" s="316">
        <v>4.0888410173524882E-2</v>
      </c>
      <c r="U22" s="316">
        <v>5.3462178623037739E-2</v>
      </c>
      <c r="V22" s="316">
        <v>3.4995069108668078E-2</v>
      </c>
      <c r="W22" s="316">
        <v>0.50024170275663193</v>
      </c>
      <c r="X22" s="316">
        <v>0.22157112632945361</v>
      </c>
      <c r="Y22" s="316">
        <v>0.26476672227472253</v>
      </c>
      <c r="Z22" s="316">
        <v>0.26476672227472253</v>
      </c>
    </row>
    <row r="23" spans="1:26" s="312" customFormat="1">
      <c r="A23" t="s">
        <v>532</v>
      </c>
      <c r="B23">
        <v>746</v>
      </c>
      <c r="C23" s="316">
        <v>5.8369983050847438E-2</v>
      </c>
      <c r="D23" s="316">
        <v>9.5202642795986475E-2</v>
      </c>
      <c r="E23" s="316">
        <v>9.6381336143103222E-2</v>
      </c>
      <c r="F23" s="316">
        <v>0.25270979175666225</v>
      </c>
      <c r="G23" s="335">
        <v>0.91931521524024373</v>
      </c>
      <c r="H23" s="335">
        <v>1.1374051631528523</v>
      </c>
      <c r="I23" s="316">
        <v>0.11119546310594165</v>
      </c>
      <c r="J23" s="316">
        <v>0.3544237232351079</v>
      </c>
      <c r="K23" s="316">
        <v>5.3699999999999998E-2</v>
      </c>
      <c r="L23" s="316">
        <v>0.34944955942188416</v>
      </c>
      <c r="M23" s="316">
        <v>8.6337276754210532E-2</v>
      </c>
      <c r="N23" s="335">
        <v>1.1869809307276646</v>
      </c>
      <c r="O23" s="335">
        <v>1.27270845356662</v>
      </c>
      <c r="P23" s="335">
        <v>8.3619898051486938</v>
      </c>
      <c r="Q23" s="335">
        <v>12.670164546935125</v>
      </c>
      <c r="R23" s="335">
        <v>1.4111878981350836</v>
      </c>
      <c r="S23" s="335">
        <v>32.78244387436451</v>
      </c>
      <c r="T23" s="316">
        <v>0.13631447031698787</v>
      </c>
      <c r="U23" s="316">
        <v>4.6124282271506674E-2</v>
      </c>
      <c r="V23" s="316">
        <v>2.8626318262708002E-2</v>
      </c>
      <c r="W23" s="316">
        <v>0.70843104398028178</v>
      </c>
      <c r="X23" s="316">
        <v>0.10182845477456459</v>
      </c>
      <c r="Y23" s="316">
        <v>0.47213359659149495</v>
      </c>
      <c r="Z23" s="316">
        <v>0.47213359659149501</v>
      </c>
    </row>
    <row r="24" spans="1:26" s="312" customFormat="1">
      <c r="A24" t="s">
        <v>533</v>
      </c>
      <c r="B24">
        <v>336</v>
      </c>
      <c r="C24" s="316">
        <v>8.7207258687258676E-2</v>
      </c>
      <c r="D24" s="316">
        <v>0.11498365087461657</v>
      </c>
      <c r="E24" s="316">
        <v>9.2430402925818597E-2</v>
      </c>
      <c r="F24" s="316">
        <v>0.1810858456458129</v>
      </c>
      <c r="G24" s="335">
        <v>0.66425277477136013</v>
      </c>
      <c r="H24" s="335">
        <v>0.91892829144699528</v>
      </c>
      <c r="I24" s="316">
        <v>9.4984479225367055E-2</v>
      </c>
      <c r="J24" s="316">
        <v>0.27211638602102722</v>
      </c>
      <c r="K24" s="316">
        <v>5.3699999999999998E-2</v>
      </c>
      <c r="L24" s="316">
        <v>0.41729909145189575</v>
      </c>
      <c r="M24" s="316">
        <v>7.2064627405971152E-2</v>
      </c>
      <c r="N24" s="335">
        <v>0.94723859228204221</v>
      </c>
      <c r="O24" s="335">
        <v>1.4612724923377369</v>
      </c>
      <c r="P24" s="335">
        <v>8.8167128304468765</v>
      </c>
      <c r="Q24" s="335">
        <v>12.397219113387811</v>
      </c>
      <c r="R24" s="335">
        <v>1.0106188606893274</v>
      </c>
      <c r="S24" s="335">
        <v>23.256909723432802</v>
      </c>
      <c r="T24" s="316">
        <v>-0.12349613072820491</v>
      </c>
      <c r="U24" s="316">
        <v>4.830048161645744E-2</v>
      </c>
      <c r="V24" s="316">
        <v>3.1820654495558133E-2</v>
      </c>
      <c r="W24" s="316">
        <v>0.46040598596300386</v>
      </c>
      <c r="X24" s="316">
        <v>0.11001312114178095</v>
      </c>
      <c r="Y24" s="316">
        <v>0.22298820093625576</v>
      </c>
      <c r="Z24" s="316">
        <v>0.22298820093625582</v>
      </c>
    </row>
    <row r="25" spans="1:26" s="312" customFormat="1">
      <c r="A25" t="s">
        <v>534</v>
      </c>
      <c r="B25">
        <v>975</v>
      </c>
      <c r="C25" s="316">
        <v>0.23792565459610024</v>
      </c>
      <c r="D25" s="316">
        <v>0.1723474558760951</v>
      </c>
      <c r="E25" s="316">
        <v>8.5734701346191211E-2</v>
      </c>
      <c r="F25" s="316">
        <v>0.42446066338912519</v>
      </c>
      <c r="G25" s="335">
        <v>1.3757142379570484</v>
      </c>
      <c r="H25" s="335">
        <v>1.442290192369637</v>
      </c>
      <c r="I25" s="316">
        <v>0.13381793227382707</v>
      </c>
      <c r="J25" s="316">
        <v>0.61804806792466793</v>
      </c>
      <c r="K25" s="316">
        <v>5.7499999999999996E-2</v>
      </c>
      <c r="L25" s="316">
        <v>0.14282497572363806</v>
      </c>
      <c r="M25" s="316">
        <v>0.12083186667909572</v>
      </c>
      <c r="N25" s="335">
        <v>0.43263882104516238</v>
      </c>
      <c r="O25" s="335">
        <v>6.6943896634265583</v>
      </c>
      <c r="P25" s="335">
        <v>13.435892115709247</v>
      </c>
      <c r="Q25" s="335">
        <v>30.640820723486534</v>
      </c>
      <c r="R25" s="335">
        <v>5.157552425293769</v>
      </c>
      <c r="S25" s="335">
        <v>178.30639784548714</v>
      </c>
      <c r="T25" s="316">
        <v>0.18416156593445712</v>
      </c>
      <c r="U25" s="316">
        <v>5.1579421785268573E-2</v>
      </c>
      <c r="V25" s="316">
        <v>0.14609660357601545</v>
      </c>
      <c r="W25" s="316">
        <v>2.4076357981780228</v>
      </c>
      <c r="X25" s="316">
        <v>9.8345869933460801E-3</v>
      </c>
      <c r="Y25" s="316">
        <v>6.1274735121811812</v>
      </c>
      <c r="Z25" s="316">
        <v>6.1274735121811812</v>
      </c>
    </row>
    <row r="26" spans="1:26" s="312" customFormat="1">
      <c r="A26" t="s">
        <v>535</v>
      </c>
      <c r="B26">
        <v>1175</v>
      </c>
      <c r="C26" s="316">
        <v>0.16788050903119886</v>
      </c>
      <c r="D26" s="316">
        <v>0.18568549731413431</v>
      </c>
      <c r="E26" s="316">
        <v>0.12130742894540185</v>
      </c>
      <c r="F26" s="316">
        <v>0.30465501671786011</v>
      </c>
      <c r="G26" s="335">
        <v>1.1894809072126773</v>
      </c>
      <c r="H26" s="335">
        <v>1.2885653290590444</v>
      </c>
      <c r="I26" s="316">
        <v>0.1224115474161811</v>
      </c>
      <c r="J26" s="316">
        <v>0.46120352844263335</v>
      </c>
      <c r="K26" s="316">
        <v>5.7499999999999996E-2</v>
      </c>
      <c r="L26" s="316">
        <v>0.1584796478778486</v>
      </c>
      <c r="M26" s="316">
        <v>0.10980979298120247</v>
      </c>
      <c r="N26" s="335">
        <v>0.71771995084171836</v>
      </c>
      <c r="O26" s="335">
        <v>3.6636014766915217</v>
      </c>
      <c r="P26" s="335">
        <v>12.933794789145711</v>
      </c>
      <c r="Q26" s="335">
        <v>19.126147510078404</v>
      </c>
      <c r="R26" s="335">
        <v>3.0618991731551035</v>
      </c>
      <c r="S26" s="335">
        <v>41.343258090537155</v>
      </c>
      <c r="T26" s="316">
        <v>0.18944433058371443</v>
      </c>
      <c r="U26" s="316">
        <v>4.6709638708918116E-2</v>
      </c>
      <c r="V26" s="316">
        <v>7.3320246993555244E-2</v>
      </c>
      <c r="W26" s="316">
        <v>0.57314220676799699</v>
      </c>
      <c r="X26" s="316">
        <v>0.12471029871751085</v>
      </c>
      <c r="Y26" s="316">
        <v>0.68436078437415393</v>
      </c>
      <c r="Z26" s="316">
        <v>0.68436078437415393</v>
      </c>
    </row>
    <row r="27" spans="1:26" s="312" customFormat="1">
      <c r="A27" t="s">
        <v>536</v>
      </c>
      <c r="B27">
        <v>189</v>
      </c>
      <c r="C27" s="316">
        <v>6.5585826086956567E-2</v>
      </c>
      <c r="D27" s="316">
        <v>0.10740092315202818</v>
      </c>
      <c r="E27" s="316">
        <v>0.10962643700876623</v>
      </c>
      <c r="F27" s="316">
        <v>0.1658339152076202</v>
      </c>
      <c r="G27" s="335">
        <v>1.055947299838236</v>
      </c>
      <c r="H27" s="335">
        <v>1.1574823450654328</v>
      </c>
      <c r="I27" s="316">
        <v>0.11268519000385512</v>
      </c>
      <c r="J27" s="316">
        <v>0.42038438326725297</v>
      </c>
      <c r="K27" s="316">
        <v>5.7499999999999996E-2</v>
      </c>
      <c r="L27" s="316">
        <v>0.22279863652540755</v>
      </c>
      <c r="M27" s="316">
        <v>9.7136030828147063E-2</v>
      </c>
      <c r="N27" s="335">
        <v>1.242409150047779</v>
      </c>
      <c r="O27" s="335">
        <v>2.2450204666789042</v>
      </c>
      <c r="P27" s="335">
        <v>11.524421741777763</v>
      </c>
      <c r="Q27" s="335">
        <v>20.459530156422467</v>
      </c>
      <c r="R27" s="335">
        <v>2.1268068524201764</v>
      </c>
      <c r="S27" s="335">
        <v>68.596446910711506</v>
      </c>
      <c r="T27" s="316">
        <v>5.9964522102261962E-2</v>
      </c>
      <c r="U27" s="316">
        <v>6.549324900091788E-2</v>
      </c>
      <c r="V27" s="316">
        <v>5.5625443271790594E-2</v>
      </c>
      <c r="W27" s="316">
        <v>0.78821085393469859</v>
      </c>
      <c r="X27" s="316">
        <v>0.10335352303139414</v>
      </c>
      <c r="Y27" s="316">
        <v>0.328773762810597</v>
      </c>
      <c r="Z27" s="316">
        <v>0.328773762810597</v>
      </c>
    </row>
    <row r="28" spans="1:26" s="312" customFormat="1">
      <c r="A28" t="s">
        <v>537</v>
      </c>
      <c r="B28">
        <v>907</v>
      </c>
      <c r="C28" s="316">
        <v>7.2296436781609255E-2</v>
      </c>
      <c r="D28" s="316">
        <v>8.2118733496393786E-2</v>
      </c>
      <c r="E28" s="316">
        <v>0.12773132518571373</v>
      </c>
      <c r="F28" s="316">
        <v>0.20726016168443431</v>
      </c>
      <c r="G28" s="335">
        <v>1.1134884498203954</v>
      </c>
      <c r="H28" s="335">
        <v>1.2731481063728183</v>
      </c>
      <c r="I28" s="316">
        <v>0.12126758949286312</v>
      </c>
      <c r="J28" s="316">
        <v>0.40812938323311299</v>
      </c>
      <c r="K28" s="316">
        <v>5.7499999999999996E-2</v>
      </c>
      <c r="L28" s="316">
        <v>0.2600612400029485</v>
      </c>
      <c r="M28" s="316">
        <v>0.10088591668710709</v>
      </c>
      <c r="N28" s="335">
        <v>1.4252093735483502</v>
      </c>
      <c r="O28" s="335">
        <v>1.4355458749765391</v>
      </c>
      <c r="P28" s="335">
        <v>8.6485509557401485</v>
      </c>
      <c r="Q28" s="335">
        <v>13.316925534122564</v>
      </c>
      <c r="R28" s="335">
        <v>1.8498048627357839</v>
      </c>
      <c r="S28" s="335">
        <v>71.345127678203042</v>
      </c>
      <c r="T28" s="316">
        <v>0.24207305234678295</v>
      </c>
      <c r="U28" s="316">
        <v>4.5672818111875089E-2</v>
      </c>
      <c r="V28" s="316">
        <v>4.6736955581853305E-2</v>
      </c>
      <c r="W28" s="316">
        <v>0.97633038337406486</v>
      </c>
      <c r="X28" s="316">
        <v>0.105312198018295</v>
      </c>
      <c r="Y28" s="316">
        <v>0.50258927988715107</v>
      </c>
      <c r="Z28" s="316">
        <v>0.50258927988715107</v>
      </c>
    </row>
    <row r="29" spans="1:26" s="312" customFormat="1">
      <c r="A29" t="s">
        <v>538</v>
      </c>
      <c r="B29">
        <v>150</v>
      </c>
      <c r="C29" s="316">
        <v>5.0469444444444468E-3</v>
      </c>
      <c r="D29" s="316">
        <v>5.2297851214336354E-2</v>
      </c>
      <c r="E29" s="316">
        <v>0.11135957652829863</v>
      </c>
      <c r="F29" s="316">
        <v>0.23841919677770393</v>
      </c>
      <c r="G29" s="335">
        <v>1.2953016455479365</v>
      </c>
      <c r="H29" s="335">
        <v>1.4016571504235693</v>
      </c>
      <c r="I29" s="316">
        <v>0.13080296056142884</v>
      </c>
      <c r="J29" s="316">
        <v>0.42122722623034126</v>
      </c>
      <c r="K29" s="316">
        <v>5.7499999999999996E-2</v>
      </c>
      <c r="L29" s="316">
        <v>0.3058666883444221</v>
      </c>
      <c r="M29" s="316">
        <v>0.10391484378539254</v>
      </c>
      <c r="N29" s="335">
        <v>2.07174812005516</v>
      </c>
      <c r="O29" s="335">
        <v>0.57685366741442212</v>
      </c>
      <c r="P29" s="335">
        <v>6.1934952894713051</v>
      </c>
      <c r="Q29" s="335">
        <v>10.373929096177372</v>
      </c>
      <c r="R29" s="335">
        <v>1.3261463639609186</v>
      </c>
      <c r="S29" s="335">
        <v>57.287186882162274</v>
      </c>
      <c r="T29" s="316">
        <v>3.0363446547335655E-2</v>
      </c>
      <c r="U29" s="316">
        <v>5.060787698556124E-2</v>
      </c>
      <c r="V29" s="316">
        <v>4.2701666025795726E-2</v>
      </c>
      <c r="W29" s="316">
        <v>1.3365059125003627</v>
      </c>
      <c r="X29" s="316">
        <v>0.13870804562320321</v>
      </c>
      <c r="Y29" s="316">
        <v>0.23748311007524522</v>
      </c>
      <c r="Z29" s="316">
        <v>0.23748311007524525</v>
      </c>
    </row>
    <row r="30" spans="1:26" s="312" customFormat="1">
      <c r="A30" t="s">
        <v>539</v>
      </c>
      <c r="B30">
        <v>1318</v>
      </c>
      <c r="C30" s="316">
        <v>5.9945801217038526E-2</v>
      </c>
      <c r="D30" s="316">
        <v>6.9493663366260186E-2</v>
      </c>
      <c r="E30" s="316">
        <v>0.1120078915236408</v>
      </c>
      <c r="F30" s="316">
        <v>0.25769772678705094</v>
      </c>
      <c r="G30" s="335">
        <v>1.3615550970838504</v>
      </c>
      <c r="H30" s="335">
        <v>1.3673885197944646</v>
      </c>
      <c r="I30" s="316">
        <v>0.12826022816874927</v>
      </c>
      <c r="J30" s="316">
        <v>0.4124572084609201</v>
      </c>
      <c r="K30" s="316">
        <v>5.7499999999999996E-2</v>
      </c>
      <c r="L30" s="316">
        <v>0.18185899223199112</v>
      </c>
      <c r="M30" s="316">
        <v>0.11273579380232655</v>
      </c>
      <c r="N30" s="335">
        <v>1.7834292676818473</v>
      </c>
      <c r="O30" s="335">
        <v>1.0167260543093739</v>
      </c>
      <c r="P30" s="335">
        <v>8.7321512655495344</v>
      </c>
      <c r="Q30" s="335">
        <v>14.151740597039543</v>
      </c>
      <c r="R30" s="335">
        <v>1.691513330276619</v>
      </c>
      <c r="S30" s="335">
        <v>37.431078611521485</v>
      </c>
      <c r="T30" s="316">
        <v>0.17799562290471968</v>
      </c>
      <c r="U30" s="316">
        <v>6.2532685210768185E-2</v>
      </c>
      <c r="V30" s="316">
        <v>5.7183790412505091E-2</v>
      </c>
      <c r="W30" s="316">
        <v>1.5980588694396496</v>
      </c>
      <c r="X30" s="316">
        <v>9.7836176629295196E-2</v>
      </c>
      <c r="Y30" s="316">
        <v>0.37586089598938699</v>
      </c>
      <c r="Z30" s="316">
        <v>0.37586089598938699</v>
      </c>
    </row>
    <row r="31" spans="1:26" s="312" customFormat="1">
      <c r="A31" t="s">
        <v>540</v>
      </c>
      <c r="B31">
        <v>1183</v>
      </c>
      <c r="C31" s="316">
        <v>5.4872892459826891E-2</v>
      </c>
      <c r="D31" s="316">
        <v>5.2841146319602864E-2</v>
      </c>
      <c r="E31" s="316">
        <v>9.6017756178573221E-2</v>
      </c>
      <c r="F31" s="316">
        <v>0.25575439536225597</v>
      </c>
      <c r="G31" s="335">
        <v>0.87731010565796042</v>
      </c>
      <c r="H31" s="335">
        <v>1.1586212903177282</v>
      </c>
      <c r="I31" s="316">
        <v>0.11276969974157544</v>
      </c>
      <c r="J31" s="316">
        <v>0.3876479591779346</v>
      </c>
      <c r="K31" s="316">
        <v>5.3699999999999998E-2</v>
      </c>
      <c r="L31" s="316">
        <v>0.47320162130901855</v>
      </c>
      <c r="M31" s="316">
        <v>7.8363446579294269E-2</v>
      </c>
      <c r="N31" s="335">
        <v>2.1749212881239082</v>
      </c>
      <c r="O31" s="335">
        <v>0.61177670460433475</v>
      </c>
      <c r="P31" s="335">
        <v>7.8312224089669247</v>
      </c>
      <c r="Q31" s="335">
        <v>11.096448771305921</v>
      </c>
      <c r="R31" s="335">
        <v>1.1176295207598539</v>
      </c>
      <c r="S31" s="335">
        <v>392.04611349172268</v>
      </c>
      <c r="T31" s="316">
        <v>0.13730946064825847</v>
      </c>
      <c r="U31" s="316">
        <v>3.2023566623534366E-2</v>
      </c>
      <c r="V31" s="316">
        <v>2.6089275066651697E-2</v>
      </c>
      <c r="W31" s="316">
        <v>1.2875379805687188</v>
      </c>
      <c r="X31" s="316">
        <v>0.10057879631627722</v>
      </c>
      <c r="Y31" s="316">
        <v>0.55075675262148549</v>
      </c>
      <c r="Z31" s="316">
        <v>0.55075675262148549</v>
      </c>
    </row>
    <row r="32" spans="1:26" s="312" customFormat="1">
      <c r="A32" t="s">
        <v>541</v>
      </c>
      <c r="B32">
        <v>634</v>
      </c>
      <c r="C32" s="316">
        <v>0.12249732522796361</v>
      </c>
      <c r="D32" s="316">
        <v>0.14494897958079192</v>
      </c>
      <c r="E32" s="316">
        <v>0.1727104387042937</v>
      </c>
      <c r="F32" s="316">
        <v>0.16088687454631659</v>
      </c>
      <c r="G32" s="335">
        <v>1.2378822052461393</v>
      </c>
      <c r="H32" s="335">
        <v>1.3114045412527577</v>
      </c>
      <c r="I32" s="316">
        <v>0.12410621696095463</v>
      </c>
      <c r="J32" s="316">
        <v>0.50216721641007167</v>
      </c>
      <c r="K32" s="316">
        <v>5.7499999999999996E-2</v>
      </c>
      <c r="L32" s="316">
        <v>0.15781962885476467</v>
      </c>
      <c r="M32" s="316">
        <v>0.11128949284133299</v>
      </c>
      <c r="N32" s="335">
        <v>1.3186758318746605</v>
      </c>
      <c r="O32" s="335">
        <v>3.1251927274888844</v>
      </c>
      <c r="P32" s="335">
        <v>13.851008459419322</v>
      </c>
      <c r="Q32" s="335">
        <v>20.876398087635835</v>
      </c>
      <c r="R32" s="335">
        <v>3.0576701821919503</v>
      </c>
      <c r="S32" s="335">
        <v>114.60994456645419</v>
      </c>
      <c r="T32" s="316">
        <v>0.10002712892642185</v>
      </c>
      <c r="U32" s="316">
        <v>4.2453746137144727E-2</v>
      </c>
      <c r="V32" s="316">
        <v>5.5323885785438946E-2</v>
      </c>
      <c r="W32" s="316">
        <v>0.66270061080745324</v>
      </c>
      <c r="X32" s="316">
        <v>0.12967673056584408</v>
      </c>
      <c r="Y32" s="316">
        <v>0.29309007418757999</v>
      </c>
      <c r="Z32" s="316">
        <v>0.29309007418757993</v>
      </c>
    </row>
    <row r="33" spans="1:26" s="312" customFormat="1">
      <c r="A33" t="s">
        <v>542</v>
      </c>
      <c r="B33">
        <v>321</v>
      </c>
      <c r="C33" s="316">
        <v>0.1049082208588957</v>
      </c>
      <c r="D33" s="316">
        <v>0.11163310540445552</v>
      </c>
      <c r="E33" s="316">
        <v>0.15037313230642987</v>
      </c>
      <c r="F33" s="316">
        <v>0.13156138658370028</v>
      </c>
      <c r="G33" s="335">
        <v>0.97718971293103385</v>
      </c>
      <c r="H33" s="335">
        <v>1.1827394323695053</v>
      </c>
      <c r="I33" s="316">
        <v>0.11455926588181729</v>
      </c>
      <c r="J33" s="316">
        <v>0.46628210846817891</v>
      </c>
      <c r="K33" s="316">
        <v>5.7499999999999996E-2</v>
      </c>
      <c r="L33" s="316">
        <v>0.26608185391749833</v>
      </c>
      <c r="M33" s="316">
        <v>9.5490705156346833E-2</v>
      </c>
      <c r="N33" s="335">
        <v>1.4839220550683978</v>
      </c>
      <c r="O33" s="335">
        <v>2.1699300045087626</v>
      </c>
      <c r="P33" s="335">
        <v>11.229716121589114</v>
      </c>
      <c r="Q33" s="335">
        <v>18.331927931488405</v>
      </c>
      <c r="R33" s="335">
        <v>2.5647335510125506</v>
      </c>
      <c r="S33" s="335">
        <v>723.77787267443205</v>
      </c>
      <c r="T33" s="316">
        <v>0.11108970766211269</v>
      </c>
      <c r="U33" s="316">
        <v>8.9945484261125572E-2</v>
      </c>
      <c r="V33" s="316">
        <v>6.7834064862659041E-2</v>
      </c>
      <c r="W33" s="316">
        <v>1.0208631311298404</v>
      </c>
      <c r="X33" s="316">
        <v>0.1334413790850828</v>
      </c>
      <c r="Y33" s="316">
        <v>0.43221161483716936</v>
      </c>
      <c r="Z33" s="316">
        <v>0.4322116148371693</v>
      </c>
    </row>
    <row r="34" spans="1:26" s="312" customFormat="1">
      <c r="A34" t="s">
        <v>543</v>
      </c>
      <c r="B34">
        <v>407</v>
      </c>
      <c r="C34" s="316">
        <v>8.5966370370370401E-2</v>
      </c>
      <c r="D34" s="316">
        <v>5.6195697451122968E-2</v>
      </c>
      <c r="E34" s="316">
        <v>6.9111957587635248E-2</v>
      </c>
      <c r="F34" s="316">
        <v>0.25634152657204334</v>
      </c>
      <c r="G34" s="335">
        <v>0.59267694775876667</v>
      </c>
      <c r="H34" s="335">
        <v>0.82703779549585044</v>
      </c>
      <c r="I34" s="316">
        <v>8.8166204425792108E-2</v>
      </c>
      <c r="J34" s="316">
        <v>0.35149663731320541</v>
      </c>
      <c r="K34" s="316">
        <v>5.3699999999999998E-2</v>
      </c>
      <c r="L34" s="316">
        <v>0.39493274110455628</v>
      </c>
      <c r="M34" s="316">
        <v>6.9167568234326113E-2</v>
      </c>
      <c r="N34" s="335">
        <v>1.3455165846057096</v>
      </c>
      <c r="O34" s="335">
        <v>1.0533684591127062</v>
      </c>
      <c r="P34" s="335">
        <v>11.390157153253282</v>
      </c>
      <c r="Q34" s="335">
        <v>18.094344476339501</v>
      </c>
      <c r="R34" s="335">
        <v>1.5665557400014023</v>
      </c>
      <c r="S34" s="335">
        <v>195.65586961759516</v>
      </c>
      <c r="T34" s="316">
        <v>0.15552979399131234</v>
      </c>
      <c r="U34" s="316">
        <v>4.5547542710224563E-2</v>
      </c>
      <c r="V34" s="316">
        <v>4.2071281257859125E-2</v>
      </c>
      <c r="W34" s="316">
        <v>1.522524621512015</v>
      </c>
      <c r="X34" s="316">
        <v>8.6528325640891024E-2</v>
      </c>
      <c r="Y34" s="316">
        <v>0.4300807411015391</v>
      </c>
      <c r="Z34" s="316">
        <v>0.43008074110153904</v>
      </c>
    </row>
    <row r="35" spans="1:26" s="312" customFormat="1">
      <c r="A35" t="s">
        <v>544</v>
      </c>
      <c r="B35">
        <v>1048</v>
      </c>
      <c r="C35" s="316">
        <v>0.14369356223175958</v>
      </c>
      <c r="D35" s="316">
        <v>7.9749359071416323E-2</v>
      </c>
      <c r="E35" s="316">
        <v>4.4184462769268767E-3</v>
      </c>
      <c r="F35" s="316">
        <v>0.36257095346518503</v>
      </c>
      <c r="G35" s="335">
        <v>0.13365425687307278</v>
      </c>
      <c r="H35" s="335">
        <v>0.80338132449510091</v>
      </c>
      <c r="I35" s="316">
        <v>8.6410894277536496E-2</v>
      </c>
      <c r="J35" s="316">
        <v>0.33874354855439265</v>
      </c>
      <c r="K35" s="316">
        <v>5.3699999999999998E-2</v>
      </c>
      <c r="L35" s="316">
        <v>0.88124576060498805</v>
      </c>
      <c r="M35" s="316">
        <v>4.5564541444359577E-2</v>
      </c>
      <c r="N35" s="335">
        <v>6.6727075913315767E-2</v>
      </c>
      <c r="O35" s="335">
        <v>15.632479061522682</v>
      </c>
      <c r="P35" s="335">
        <v>139.31842544692182</v>
      </c>
      <c r="Q35" s="335">
        <v>185.81013366174781</v>
      </c>
      <c r="R35" s="335">
        <v>1.1986605807664104</v>
      </c>
      <c r="S35" s="335">
        <v>42.7302723432473</v>
      </c>
      <c r="T35" s="316" t="s">
        <v>100</v>
      </c>
      <c r="U35" s="316">
        <v>7.1113027024050035E-2</v>
      </c>
      <c r="V35" s="316">
        <v>7.9071639078491004E-2</v>
      </c>
      <c r="W35" s="316">
        <v>1.3319568833004511</v>
      </c>
      <c r="X35" s="316">
        <v>0.15398700180937119</v>
      </c>
      <c r="Y35" s="316">
        <v>0.29373153912074312</v>
      </c>
      <c r="Z35" s="316">
        <v>0.29373153912074312</v>
      </c>
    </row>
    <row r="36" spans="1:26" s="312" customFormat="1">
      <c r="A36" t="s">
        <v>545</v>
      </c>
      <c r="B36">
        <v>1234</v>
      </c>
      <c r="C36" s="316">
        <v>7.7209088937093204E-2</v>
      </c>
      <c r="D36" s="316">
        <v>8.5414629157184216E-2</v>
      </c>
      <c r="E36" s="316">
        <v>0.12506406642607226</v>
      </c>
      <c r="F36" s="316">
        <v>0.1960864373293123</v>
      </c>
      <c r="G36" s="335">
        <v>0.6620661234829931</v>
      </c>
      <c r="H36" s="335">
        <v>0.77512088979066585</v>
      </c>
      <c r="I36" s="316">
        <v>8.4313970022467405E-2</v>
      </c>
      <c r="J36" s="316">
        <v>0.3343452960809859</v>
      </c>
      <c r="K36" s="316">
        <v>5.3699999999999998E-2</v>
      </c>
      <c r="L36" s="316">
        <v>0.23436962398438094</v>
      </c>
      <c r="M36" s="316">
        <v>7.3942230582410451E-2</v>
      </c>
      <c r="N36" s="335">
        <v>1.7435746083291308</v>
      </c>
      <c r="O36" s="335">
        <v>1.5195737109013807</v>
      </c>
      <c r="P36" s="335">
        <v>11.91840126647535</v>
      </c>
      <c r="Q36" s="335">
        <v>17.377408561406938</v>
      </c>
      <c r="R36" s="335">
        <v>2.2989596468038918</v>
      </c>
      <c r="S36" s="335">
        <v>46.748772558788033</v>
      </c>
      <c r="T36" s="316">
        <v>0.10548282992541078</v>
      </c>
      <c r="U36" s="316">
        <v>4.5342824590485976E-2</v>
      </c>
      <c r="V36" s="316">
        <v>5.3936971152291659E-2</v>
      </c>
      <c r="W36" s="316">
        <v>0.8771642208890319</v>
      </c>
      <c r="X36" s="316">
        <v>0.12507604350103221</v>
      </c>
      <c r="Y36" s="316">
        <v>0.48900653845955017</v>
      </c>
      <c r="Z36" s="316">
        <v>0.48900653845955011</v>
      </c>
    </row>
    <row r="37" spans="1:26" s="312" customFormat="1">
      <c r="A37" t="s">
        <v>546</v>
      </c>
      <c r="B37">
        <v>156</v>
      </c>
      <c r="C37" s="316">
        <v>8.7640990099009913E-2</v>
      </c>
      <c r="D37" s="316">
        <v>2.6784852815427428E-2</v>
      </c>
      <c r="E37" s="316">
        <v>0.12540737872212562</v>
      </c>
      <c r="F37" s="316">
        <v>0.21142600082221033</v>
      </c>
      <c r="G37" s="335">
        <v>0.60422654066434156</v>
      </c>
      <c r="H37" s="335">
        <v>0.86892070317506509</v>
      </c>
      <c r="I37" s="316">
        <v>9.1273916175589831E-2</v>
      </c>
      <c r="J37" s="316">
        <v>0.345007573677656</v>
      </c>
      <c r="K37" s="316">
        <v>5.3699999999999998E-2</v>
      </c>
      <c r="L37" s="316">
        <v>0.43176240742824012</v>
      </c>
      <c r="M37" s="316">
        <v>6.9161758786270566E-2</v>
      </c>
      <c r="N37" s="335">
        <v>5.4119163601089859</v>
      </c>
      <c r="O37" s="335">
        <v>0.41886304341702091</v>
      </c>
      <c r="P37" s="335">
        <v>9.3217467208369751</v>
      </c>
      <c r="Q37" s="335">
        <v>14.641290654497352</v>
      </c>
      <c r="R37" s="335">
        <v>1.6135604139378801</v>
      </c>
      <c r="S37" s="335">
        <v>39.928492395818324</v>
      </c>
      <c r="T37" s="316">
        <v>5.251548848016379E-2</v>
      </c>
      <c r="U37" s="316">
        <v>1.4939018370065157E-2</v>
      </c>
      <c r="V37" s="316">
        <v>1.4847833302695417E-2</v>
      </c>
      <c r="W37" s="316">
        <v>0.60894260794357291</v>
      </c>
      <c r="X37" s="316">
        <v>0.12027265710456896</v>
      </c>
      <c r="Y37" s="316">
        <v>0.43929846737902245</v>
      </c>
      <c r="Z37" s="316">
        <v>0.43929846737902245</v>
      </c>
    </row>
    <row r="38" spans="1:26" s="312" customFormat="1">
      <c r="A38" t="s">
        <v>547</v>
      </c>
      <c r="B38">
        <v>317</v>
      </c>
      <c r="C38" s="316">
        <v>7.8319572649572664E-2</v>
      </c>
      <c r="D38" s="316">
        <v>7.9340289969190375E-2</v>
      </c>
      <c r="E38" s="316">
        <v>0.18684285036355941</v>
      </c>
      <c r="F38" s="316">
        <v>0.18734897682012977</v>
      </c>
      <c r="G38" s="335">
        <v>0.97066428077771816</v>
      </c>
      <c r="H38" s="335">
        <v>0.99722693304192866</v>
      </c>
      <c r="I38" s="316">
        <v>0.10079423843171112</v>
      </c>
      <c r="J38" s="316">
        <v>0.33854207183490881</v>
      </c>
      <c r="K38" s="316">
        <v>5.3699999999999998E-2</v>
      </c>
      <c r="L38" s="316">
        <v>0.21769186178089758</v>
      </c>
      <c r="M38" s="316">
        <v>8.7572932532039335E-2</v>
      </c>
      <c r="N38" s="335">
        <v>2.7345854626146942</v>
      </c>
      <c r="O38" s="335">
        <v>0.97852852335173746</v>
      </c>
      <c r="P38" s="335">
        <v>8.2924666575295021</v>
      </c>
      <c r="Q38" s="335">
        <v>11.3521912827636</v>
      </c>
      <c r="R38" s="335">
        <v>2.0468873327840518</v>
      </c>
      <c r="S38" s="335">
        <v>28.411386689978364</v>
      </c>
      <c r="T38" s="316">
        <v>9.0611377081480232E-2</v>
      </c>
      <c r="U38" s="316">
        <v>3.6479011053992053E-2</v>
      </c>
      <c r="V38" s="316">
        <v>2.9792531874371041E-2</v>
      </c>
      <c r="W38" s="316">
        <v>0.62885970315780237</v>
      </c>
      <c r="X38" s="316">
        <v>0.16310877232059998</v>
      </c>
      <c r="Y38" s="316">
        <v>0.34516709743878732</v>
      </c>
      <c r="Z38" s="316">
        <v>0.34516709743878726</v>
      </c>
    </row>
    <row r="39" spans="1:26" s="312" customFormat="1">
      <c r="A39" t="s">
        <v>548</v>
      </c>
      <c r="B39">
        <v>189</v>
      </c>
      <c r="C39" s="316">
        <v>0.18745479591836742</v>
      </c>
      <c r="D39" s="316">
        <v>0.36898748842482232</v>
      </c>
      <c r="E39" s="316">
        <v>7.6735304636497817E-2</v>
      </c>
      <c r="F39" s="316">
        <v>0.17526759946592219</v>
      </c>
      <c r="G39" s="335">
        <v>0.64724315876850391</v>
      </c>
      <c r="H39" s="335">
        <v>1.0370608187836887</v>
      </c>
      <c r="I39" s="316">
        <v>0.10374991275374972</v>
      </c>
      <c r="J39" s="316">
        <v>0.38751756393705189</v>
      </c>
      <c r="K39" s="316">
        <v>5.3699999999999998E-2</v>
      </c>
      <c r="L39" s="316">
        <v>0.47384161571704897</v>
      </c>
      <c r="M39" s="316">
        <v>7.3571076357958204E-2</v>
      </c>
      <c r="N39" s="335">
        <v>0.23951035737843301</v>
      </c>
      <c r="O39" s="335">
        <v>6.3050732312221287</v>
      </c>
      <c r="P39" s="335">
        <v>10.356612343354215</v>
      </c>
      <c r="Q39" s="335">
        <v>17.250438347515924</v>
      </c>
      <c r="R39" s="335">
        <v>1.4913329852452637</v>
      </c>
      <c r="S39" s="335">
        <v>47.446511429576269</v>
      </c>
      <c r="T39" s="316">
        <v>-1.835956134760525E-2</v>
      </c>
      <c r="U39" s="316">
        <v>0.31293952813124842</v>
      </c>
      <c r="V39" s="316">
        <v>0.14426579838456779</v>
      </c>
      <c r="W39" s="316">
        <v>0.68514109653549748</v>
      </c>
      <c r="X39" s="316">
        <v>0.10202145495885577</v>
      </c>
      <c r="Y39" s="316">
        <v>0.81843958659684812</v>
      </c>
      <c r="Z39" s="316">
        <v>0.81843958659684812</v>
      </c>
    </row>
    <row r="40" spans="1:26" s="312" customFormat="1">
      <c r="A40" t="s">
        <v>549</v>
      </c>
      <c r="B40">
        <v>707</v>
      </c>
      <c r="C40" s="316">
        <v>0.12436322916666659</v>
      </c>
      <c r="D40" s="316">
        <v>0.15081063839697381</v>
      </c>
      <c r="E40" s="316">
        <v>0.14987012377434</v>
      </c>
      <c r="F40" s="316">
        <v>0.34013451749588147</v>
      </c>
      <c r="G40" s="335">
        <v>1.1262537574933937</v>
      </c>
      <c r="H40" s="335">
        <v>1.2033302358890947</v>
      </c>
      <c r="I40" s="316">
        <v>0.11608710350297083</v>
      </c>
      <c r="J40" s="316">
        <v>0.48897443610574665</v>
      </c>
      <c r="K40" s="316">
        <v>5.7499999999999996E-2</v>
      </c>
      <c r="L40" s="316">
        <v>0.12698403446013648</v>
      </c>
      <c r="M40" s="316">
        <v>0.1067928749095397</v>
      </c>
      <c r="N40" s="335">
        <v>1.0323776829315745</v>
      </c>
      <c r="O40" s="335">
        <v>4.2353133967273351</v>
      </c>
      <c r="P40" s="335">
        <v>17.728869421617958</v>
      </c>
      <c r="Q40" s="335">
        <v>26.993150497034538</v>
      </c>
      <c r="R40" s="335">
        <v>3.8297106300316743</v>
      </c>
      <c r="S40" s="335">
        <v>55.912509761755011</v>
      </c>
      <c r="T40" s="316">
        <v>0.23616639084902252</v>
      </c>
      <c r="U40" s="316">
        <v>5.1558643050828218E-2</v>
      </c>
      <c r="V40" s="316">
        <v>0.10410016818586913</v>
      </c>
      <c r="W40" s="316">
        <v>1.1255662671911972</v>
      </c>
      <c r="X40" s="316">
        <v>8.0988763029066949E-2</v>
      </c>
      <c r="Y40" s="316">
        <v>0.46576760120204058</v>
      </c>
      <c r="Z40" s="316">
        <v>0.46576760120204064</v>
      </c>
    </row>
    <row r="41" spans="1:26" s="312" customFormat="1">
      <c r="A41" t="s">
        <v>550</v>
      </c>
      <c r="B41">
        <v>362</v>
      </c>
      <c r="C41" s="316">
        <v>0.13517469483568076</v>
      </c>
      <c r="D41" s="316">
        <v>4.6568918130194314E-2</v>
      </c>
      <c r="E41" s="316">
        <v>0.30412466761762713</v>
      </c>
      <c r="F41" s="316">
        <v>0.19257231371454836</v>
      </c>
      <c r="G41" s="335">
        <v>0.94562486737483031</v>
      </c>
      <c r="H41" s="335">
        <v>1.0739548479858574</v>
      </c>
      <c r="I41" s="316">
        <v>0.10648744972055063</v>
      </c>
      <c r="J41" s="316">
        <v>0.40029977469368566</v>
      </c>
      <c r="K41" s="316">
        <v>5.7499999999999996E-2</v>
      </c>
      <c r="L41" s="316">
        <v>0.27345400494715028</v>
      </c>
      <c r="M41" s="316">
        <v>8.9097839660065764E-2</v>
      </c>
      <c r="N41" s="335">
        <v>7.7949016859099665</v>
      </c>
      <c r="O41" s="335">
        <v>0.64985411150091998</v>
      </c>
      <c r="P41" s="335">
        <v>10.327435516826551</v>
      </c>
      <c r="Q41" s="335">
        <v>13.963048122710354</v>
      </c>
      <c r="R41" s="335">
        <v>2.6185689210136829</v>
      </c>
      <c r="S41" s="335">
        <v>38.725469067905429</v>
      </c>
      <c r="T41" s="316">
        <v>-1.4880205636306139E-2</v>
      </c>
      <c r="U41" s="316">
        <v>1.0956204175670144E-2</v>
      </c>
      <c r="V41" s="316">
        <v>1.8701966782941698E-2</v>
      </c>
      <c r="W41" s="316">
        <v>0.57067363721112385</v>
      </c>
      <c r="X41" s="316">
        <v>0.15386920025994552</v>
      </c>
      <c r="Y41" s="316">
        <v>0.27510039212746473</v>
      </c>
      <c r="Z41" s="316">
        <v>0.27510039212746473</v>
      </c>
    </row>
    <row r="42" spans="1:26" s="312" customFormat="1">
      <c r="A42" t="s">
        <v>551</v>
      </c>
      <c r="B42">
        <v>357</v>
      </c>
      <c r="C42" s="316">
        <v>0.17783440677966095</v>
      </c>
      <c r="D42" s="316">
        <v>0.12633370588993037</v>
      </c>
      <c r="E42" s="316">
        <v>0.12669286341502628</v>
      </c>
      <c r="F42" s="316">
        <v>0.26003718407086135</v>
      </c>
      <c r="G42" s="335">
        <v>1.2296091130792568</v>
      </c>
      <c r="H42" s="335">
        <v>1.3170293458251412</v>
      </c>
      <c r="I42" s="316">
        <v>0.12452357746022548</v>
      </c>
      <c r="J42" s="316">
        <v>0.51392472748354145</v>
      </c>
      <c r="K42" s="316">
        <v>5.7499999999999996E-2</v>
      </c>
      <c r="L42" s="316">
        <v>0.12845646219704798</v>
      </c>
      <c r="M42" s="316">
        <v>0.11403785918550723</v>
      </c>
      <c r="N42" s="335">
        <v>1.1233214024630493</v>
      </c>
      <c r="O42" s="335">
        <v>4.6660436288112743</v>
      </c>
      <c r="P42" s="335">
        <v>19.849944142829028</v>
      </c>
      <c r="Q42" s="335">
        <v>33.909741133840271</v>
      </c>
      <c r="R42" s="335">
        <v>4.2759468287759725</v>
      </c>
      <c r="S42" s="335">
        <v>110.55307510248637</v>
      </c>
      <c r="T42" s="316">
        <v>0.19565206898276111</v>
      </c>
      <c r="U42" s="316">
        <v>5.080843480803169E-2</v>
      </c>
      <c r="V42" s="316">
        <v>9.540292078660105E-2</v>
      </c>
      <c r="W42" s="316">
        <v>1.2165586816270457</v>
      </c>
      <c r="X42" s="316">
        <v>0.10359289572939988</v>
      </c>
      <c r="Y42" s="316">
        <v>0.13357392205449226</v>
      </c>
      <c r="Z42" s="316">
        <v>0.13357392205449226</v>
      </c>
    </row>
    <row r="43" spans="1:26" s="312" customFormat="1">
      <c r="A43" t="s">
        <v>552</v>
      </c>
      <c r="B43">
        <v>164</v>
      </c>
      <c r="C43" s="316">
        <v>0.10310070866141735</v>
      </c>
      <c r="D43" s="316">
        <v>0.10637262242182076</v>
      </c>
      <c r="E43" s="316">
        <v>0.10826439571659362</v>
      </c>
      <c r="F43" s="316">
        <v>0.27097277779666984</v>
      </c>
      <c r="G43" s="335">
        <v>0.73574576295348504</v>
      </c>
      <c r="H43" s="335">
        <v>0.92828903560215448</v>
      </c>
      <c r="I43" s="316">
        <v>9.5679046441679863E-2</v>
      </c>
      <c r="J43" s="316">
        <v>0.3534609266719973</v>
      </c>
      <c r="K43" s="316">
        <v>5.3699999999999998E-2</v>
      </c>
      <c r="L43" s="316">
        <v>0.36402085059526401</v>
      </c>
      <c r="M43" s="316">
        <v>7.543262665085218E-2</v>
      </c>
      <c r="N43" s="335">
        <v>1.3835520415449671</v>
      </c>
      <c r="O43" s="335">
        <v>0.95469963657586854</v>
      </c>
      <c r="P43" s="335">
        <v>7.3860576037698094</v>
      </c>
      <c r="Q43" s="335">
        <v>9.1813497961398323</v>
      </c>
      <c r="R43" s="335">
        <v>1.2052655416363869</v>
      </c>
      <c r="S43" s="335">
        <v>18.682202572798282</v>
      </c>
      <c r="T43" s="316">
        <v>0.60636468371843544</v>
      </c>
      <c r="U43" s="316">
        <v>1.1999785192923617E-2</v>
      </c>
      <c r="V43" s="316">
        <v>2.2387977797440704E-2</v>
      </c>
      <c r="W43" s="316">
        <v>0.77458986653388251</v>
      </c>
      <c r="X43" s="316">
        <v>0.15469543759125548</v>
      </c>
      <c r="Y43" s="316">
        <v>0.22607316833466104</v>
      </c>
      <c r="Z43" s="316">
        <v>0.22607316833466107</v>
      </c>
    </row>
    <row r="44" spans="1:26" s="312" customFormat="1">
      <c r="A44" t="s">
        <v>553</v>
      </c>
      <c r="B44">
        <v>203</v>
      </c>
      <c r="C44" s="316">
        <v>7.8358686131386884E-2</v>
      </c>
      <c r="D44" s="316">
        <v>0.10361611304158869</v>
      </c>
      <c r="E44" s="316">
        <v>9.2399019017610093E-2</v>
      </c>
      <c r="F44" s="316">
        <v>0.25422606977907913</v>
      </c>
      <c r="G44" s="335">
        <v>0.55540153730251185</v>
      </c>
      <c r="H44" s="335">
        <v>0.85304189487461346</v>
      </c>
      <c r="I44" s="316">
        <v>9.0095708599696331E-2</v>
      </c>
      <c r="J44" s="316">
        <v>0.3371582558799337</v>
      </c>
      <c r="K44" s="316">
        <v>5.3699999999999998E-2</v>
      </c>
      <c r="L44" s="316">
        <v>0.43800190297363417</v>
      </c>
      <c r="M44" s="316">
        <v>6.8180060616775701E-2</v>
      </c>
      <c r="N44" s="335">
        <v>1.1713071859688211</v>
      </c>
      <c r="O44" s="335">
        <v>1.9393171925211163</v>
      </c>
      <c r="P44" s="335">
        <v>10.924997564495365</v>
      </c>
      <c r="Q44" s="335">
        <v>20.542593745649473</v>
      </c>
      <c r="R44" s="335">
        <v>3.091424276527122</v>
      </c>
      <c r="S44" s="335">
        <v>51.102276377137791</v>
      </c>
      <c r="T44" s="316">
        <v>7.969435180238163E-2</v>
      </c>
      <c r="U44" s="316">
        <v>6.7977881018102385E-2</v>
      </c>
      <c r="V44" s="316">
        <v>4.3062606955851956E-2</v>
      </c>
      <c r="W44" s="316">
        <v>1.0028690314044977</v>
      </c>
      <c r="X44" s="316">
        <v>7.4126626047152241E-2</v>
      </c>
      <c r="Y44" s="316">
        <v>0.6378203523676681</v>
      </c>
      <c r="Z44" s="316">
        <v>0.6378203523676681</v>
      </c>
    </row>
    <row r="45" spans="1:26" s="312" customFormat="1">
      <c r="A45" t="s">
        <v>554</v>
      </c>
      <c r="B45">
        <v>646</v>
      </c>
      <c r="C45" s="316">
        <v>0.14192298924731175</v>
      </c>
      <c r="D45" s="316">
        <v>0.14802386249153301</v>
      </c>
      <c r="E45" s="316">
        <v>0.10267749002132505</v>
      </c>
      <c r="F45" s="316">
        <v>0.1459202221218156</v>
      </c>
      <c r="G45" s="335">
        <v>0.72116712540334549</v>
      </c>
      <c r="H45" s="335">
        <v>0.92149208437628849</v>
      </c>
      <c r="I45" s="316">
        <v>9.5174712660720612E-2</v>
      </c>
      <c r="J45" s="316">
        <v>0.36090562951361987</v>
      </c>
      <c r="K45" s="316">
        <v>5.3699999999999998E-2</v>
      </c>
      <c r="L45" s="316">
        <v>0.34557386024155323</v>
      </c>
      <c r="M45" s="316">
        <v>7.6128577765223429E-2</v>
      </c>
      <c r="N45" s="335">
        <v>0.83549798775542805</v>
      </c>
      <c r="O45" s="335">
        <v>2.4811372418151953</v>
      </c>
      <c r="P45" s="335">
        <v>10.243301564561017</v>
      </c>
      <c r="Q45" s="335">
        <v>17.282073044563919</v>
      </c>
      <c r="R45" s="335">
        <v>1.9135450890378627</v>
      </c>
      <c r="S45" s="335">
        <v>63.457113310599084</v>
      </c>
      <c r="T45" s="316">
        <v>-1.7737095623243056E-2</v>
      </c>
      <c r="U45" s="316">
        <v>8.7816812167570965E-2</v>
      </c>
      <c r="V45" s="316">
        <v>6.6493716120192392E-2</v>
      </c>
      <c r="W45" s="316">
        <v>0.57351231784624268</v>
      </c>
      <c r="X45" s="316">
        <v>0.15626689156822379</v>
      </c>
      <c r="Y45" s="316">
        <v>0.3981966856672714</v>
      </c>
      <c r="Z45" s="316">
        <v>0.3981966856672714</v>
      </c>
    </row>
    <row r="46" spans="1:26" s="312" customFormat="1">
      <c r="A46" t="s">
        <v>555</v>
      </c>
      <c r="B46">
        <v>544</v>
      </c>
      <c r="C46" s="316">
        <v>8.8151624203821569E-2</v>
      </c>
      <c r="D46" s="316">
        <v>0.15643547754494722</v>
      </c>
      <c r="E46" s="316">
        <v>0.22787536297405656</v>
      </c>
      <c r="F46" s="316">
        <v>0.24216029951468027</v>
      </c>
      <c r="G46" s="335">
        <v>0.9411486452330633</v>
      </c>
      <c r="H46" s="335">
        <v>1.0186611426156937</v>
      </c>
      <c r="I46" s="316">
        <v>0.10238465678208448</v>
      </c>
      <c r="J46" s="316">
        <v>0.4139699102309064</v>
      </c>
      <c r="K46" s="316">
        <v>5.7499999999999996E-2</v>
      </c>
      <c r="L46" s="316">
        <v>0.1367202869191268</v>
      </c>
      <c r="M46" s="316">
        <v>9.425121383811752E-2</v>
      </c>
      <c r="N46" s="335">
        <v>1.6664243637368577</v>
      </c>
      <c r="O46" s="335">
        <v>2.9809029344912261</v>
      </c>
      <c r="P46" s="335">
        <v>14.758638860919101</v>
      </c>
      <c r="Q46" s="335">
        <v>18.767971924958761</v>
      </c>
      <c r="R46" s="335">
        <v>5.0770154285296396</v>
      </c>
      <c r="S46" s="335">
        <v>92.407751357786111</v>
      </c>
      <c r="T46" s="316">
        <v>8.8686831000069577E-2</v>
      </c>
      <c r="U46" s="316">
        <v>3.988155150065479E-2</v>
      </c>
      <c r="V46" s="316">
        <v>3.8906538289400293E-2</v>
      </c>
      <c r="W46" s="316">
        <v>0.35475164668291087</v>
      </c>
      <c r="X46" s="316">
        <v>0.20008330558096354</v>
      </c>
      <c r="Y46" s="316">
        <v>0.59545390611643523</v>
      </c>
      <c r="Z46" s="316">
        <v>0.59545390611643523</v>
      </c>
    </row>
    <row r="47" spans="1:26" s="312" customFormat="1">
      <c r="A47" t="s">
        <v>556</v>
      </c>
      <c r="B47">
        <v>214</v>
      </c>
      <c r="C47" s="316">
        <v>0.16397740157480312</v>
      </c>
      <c r="D47" s="316">
        <v>0.24665872211655121</v>
      </c>
      <c r="E47" s="316">
        <v>0.34514131273847415</v>
      </c>
      <c r="F47" s="316">
        <v>0.23110572341643118</v>
      </c>
      <c r="G47" s="335">
        <v>1.1219843786422641</v>
      </c>
      <c r="H47" s="335">
        <v>1.1907810527301188</v>
      </c>
      <c r="I47" s="316">
        <v>0.11515595411257482</v>
      </c>
      <c r="J47" s="316">
        <v>0.40534245803466623</v>
      </c>
      <c r="K47" s="316">
        <v>5.7499999999999996E-2</v>
      </c>
      <c r="L47" s="316">
        <v>0.12922005350409846</v>
      </c>
      <c r="M47" s="316">
        <v>0.1058183897558907</v>
      </c>
      <c r="N47" s="335">
        <v>1.605102746161007</v>
      </c>
      <c r="O47" s="335">
        <v>5.8443491752551902</v>
      </c>
      <c r="P47" s="335">
        <v>18.33741271415694</v>
      </c>
      <c r="Q47" s="335">
        <v>23.171143403709451</v>
      </c>
      <c r="R47" s="335">
        <v>6.9124415722209962</v>
      </c>
      <c r="S47" s="335">
        <v>77.687922551821089</v>
      </c>
      <c r="T47" s="316">
        <v>3.9993901983640369E-2</v>
      </c>
      <c r="U47" s="316">
        <v>3.445364293415331E-2</v>
      </c>
      <c r="V47" s="316">
        <v>2.7777519953609903E-2</v>
      </c>
      <c r="W47" s="316">
        <v>0.25437085405963983</v>
      </c>
      <c r="X47" s="316">
        <v>0.28419694827346476</v>
      </c>
      <c r="Y47" s="316">
        <v>0.24699260389732677</v>
      </c>
      <c r="Z47" s="316">
        <v>0.2469926038973268</v>
      </c>
    </row>
    <row r="48" spans="1:26" s="312" customFormat="1">
      <c r="A48" t="s">
        <v>557</v>
      </c>
      <c r="B48">
        <v>216</v>
      </c>
      <c r="C48" s="316">
        <v>8.2107701149425324E-2</v>
      </c>
      <c r="D48" s="316">
        <v>9.3369414823331609E-2</v>
      </c>
      <c r="E48" s="316">
        <v>0.12165230354884191</v>
      </c>
      <c r="F48" s="316">
        <v>0.34830095984455406</v>
      </c>
      <c r="G48" s="335">
        <v>0.57922309472306499</v>
      </c>
      <c r="H48" s="335">
        <v>0.64175138519468189</v>
      </c>
      <c r="I48" s="316">
        <v>7.4417952781445404E-2</v>
      </c>
      <c r="J48" s="316">
        <v>0.25405786400151642</v>
      </c>
      <c r="K48" s="316">
        <v>5.3699999999999998E-2</v>
      </c>
      <c r="L48" s="316">
        <v>0.34119460131319473</v>
      </c>
      <c r="M48" s="316">
        <v>6.2695273019162834E-2</v>
      </c>
      <c r="N48" s="335">
        <v>1.5288162429407499</v>
      </c>
      <c r="O48" s="335">
        <v>0.86177476828044342</v>
      </c>
      <c r="P48" s="335">
        <v>7.5188642794147835</v>
      </c>
      <c r="Q48" s="335">
        <v>9.0234848634438443</v>
      </c>
      <c r="R48" s="335">
        <v>1.1170485719857282</v>
      </c>
      <c r="S48" s="335">
        <v>18.629943212282214</v>
      </c>
      <c r="T48" s="316">
        <v>-4.3594151204399377E-2</v>
      </c>
      <c r="U48" s="316">
        <v>7.6808442438493062E-3</v>
      </c>
      <c r="V48" s="316">
        <v>8.1363578613752284E-3</v>
      </c>
      <c r="W48" s="316">
        <v>0.10253726995762545</v>
      </c>
      <c r="X48" s="316">
        <v>7.3594947963906254E-2</v>
      </c>
      <c r="Y48" s="316">
        <v>0.57117933678089594</v>
      </c>
      <c r="Z48" s="316">
        <v>0.57117933678089594</v>
      </c>
    </row>
    <row r="49" spans="1:26" s="312" customFormat="1">
      <c r="A49" t="s">
        <v>558</v>
      </c>
      <c r="B49">
        <v>130</v>
      </c>
      <c r="C49" s="316">
        <v>7.1224300000000046E-2</v>
      </c>
      <c r="D49" s="316">
        <v>9.5182126529968228E-2</v>
      </c>
      <c r="E49" s="316">
        <v>0.12386878092129472</v>
      </c>
      <c r="F49" s="316">
        <v>0.1835505595438702</v>
      </c>
      <c r="G49" s="335">
        <v>0.93852942453628019</v>
      </c>
      <c r="H49" s="335">
        <v>0.96807860331325002</v>
      </c>
      <c r="I49" s="316">
        <v>9.8631432365843152E-2</v>
      </c>
      <c r="J49" s="316">
        <v>0.26602728839419199</v>
      </c>
      <c r="K49" s="316">
        <v>5.3699999999999998E-2</v>
      </c>
      <c r="L49" s="316">
        <v>0.4671573487887688</v>
      </c>
      <c r="M49" s="316">
        <v>7.1269450738524934E-2</v>
      </c>
      <c r="N49" s="335">
        <v>1.487627394732191</v>
      </c>
      <c r="O49" s="335">
        <v>0.77884733542955198</v>
      </c>
      <c r="P49" s="335">
        <v>7.3953290857746179</v>
      </c>
      <c r="Q49" s="335">
        <v>7.9892672890495895</v>
      </c>
      <c r="R49" s="335">
        <v>0.97268006506570559</v>
      </c>
      <c r="S49" s="335">
        <v>27.470165312554993</v>
      </c>
      <c r="T49" s="316">
        <v>-0.92084949585523035</v>
      </c>
      <c r="U49" s="316">
        <v>7.77833113023183E-3</v>
      </c>
      <c r="V49" s="316">
        <v>4.5632408044824343E-3</v>
      </c>
      <c r="W49" s="316">
        <v>0.16697040758403184</v>
      </c>
      <c r="X49" s="316">
        <v>0.11050467861927261</v>
      </c>
      <c r="Y49" s="316">
        <v>0.30206092577382271</v>
      </c>
      <c r="Z49" s="316">
        <v>0.30206092577382271</v>
      </c>
    </row>
    <row r="50" spans="1:26" s="312" customFormat="1">
      <c r="A50" t="s">
        <v>559</v>
      </c>
      <c r="B50">
        <v>220</v>
      </c>
      <c r="C50" s="316">
        <v>6.6497457627118672E-2</v>
      </c>
      <c r="D50" s="316">
        <v>9.3570756614529016E-2</v>
      </c>
      <c r="E50" s="316">
        <v>0.10647817831175527</v>
      </c>
      <c r="F50" s="316">
        <v>0.18947259866965302</v>
      </c>
      <c r="G50" s="335">
        <v>0.52291587677386231</v>
      </c>
      <c r="H50" s="335">
        <v>0.57599982576287301</v>
      </c>
      <c r="I50" s="316">
        <v>6.9539187071605182E-2</v>
      </c>
      <c r="J50" s="316">
        <v>0.26417527672832081</v>
      </c>
      <c r="K50" s="316">
        <v>5.3699999999999998E-2</v>
      </c>
      <c r="L50" s="316">
        <v>0.22966107586668136</v>
      </c>
      <c r="M50" s="316">
        <v>6.2769011185280346E-2</v>
      </c>
      <c r="N50" s="335">
        <v>1.376102911453291</v>
      </c>
      <c r="O50" s="335">
        <v>0.98901422945562623</v>
      </c>
      <c r="P50" s="335">
        <v>8.9980195577122082</v>
      </c>
      <c r="Q50" s="335">
        <v>10.416215849861482</v>
      </c>
      <c r="R50" s="335">
        <v>1.2443457346970546</v>
      </c>
      <c r="S50" s="335">
        <v>36.572620028103756</v>
      </c>
      <c r="T50" s="316">
        <v>-0.35690868486299254</v>
      </c>
      <c r="U50" s="316">
        <v>5.5146444738101014E-3</v>
      </c>
      <c r="V50" s="316">
        <v>-3.9978109883520888E-4</v>
      </c>
      <c r="W50" s="316">
        <v>9.8379828861284435E-2</v>
      </c>
      <c r="X50" s="316">
        <v>0.10228148834082443</v>
      </c>
      <c r="Y50" s="316">
        <v>0.34260253946869851</v>
      </c>
      <c r="Z50" s="316">
        <v>0.34260253946869845</v>
      </c>
    </row>
    <row r="51" spans="1:26" s="312" customFormat="1">
      <c r="A51" t="s">
        <v>560</v>
      </c>
      <c r="B51">
        <v>1018</v>
      </c>
      <c r="C51" s="316">
        <v>0.13276709473684228</v>
      </c>
      <c r="D51" s="316">
        <v>0.18284846735583021</v>
      </c>
      <c r="E51" s="316">
        <v>5.9889682577479404E-2</v>
      </c>
      <c r="F51" s="316">
        <v>0.17232054500730218</v>
      </c>
      <c r="G51" s="335">
        <v>0.57201494935707431</v>
      </c>
      <c r="H51" s="335">
        <v>0.91340888778611673</v>
      </c>
      <c r="I51" s="316">
        <v>9.4574939473729872E-2</v>
      </c>
      <c r="J51" s="316">
        <v>0.38526713676629198</v>
      </c>
      <c r="K51" s="316">
        <v>5.3699999999999998E-2</v>
      </c>
      <c r="L51" s="316">
        <v>0.53636073549317076</v>
      </c>
      <c r="M51" s="316">
        <v>6.5335373714381528E-2</v>
      </c>
      <c r="N51" s="335">
        <v>0.35893582823613229</v>
      </c>
      <c r="O51" s="335">
        <v>4.1614395192495399</v>
      </c>
      <c r="P51" s="335">
        <v>18.252364383978875</v>
      </c>
      <c r="Q51" s="335">
        <v>21.203345032817825</v>
      </c>
      <c r="R51" s="335">
        <v>1.1084668165552947</v>
      </c>
      <c r="S51" s="335">
        <v>52.808220838787591</v>
      </c>
      <c r="T51" s="316" t="s">
        <v>100</v>
      </c>
      <c r="U51" s="316">
        <v>2.1362622386843728E-2</v>
      </c>
      <c r="V51" s="316">
        <v>7.9062075300161558E-2</v>
      </c>
      <c r="W51" s="316">
        <v>0.63490240476310944</v>
      </c>
      <c r="X51" s="316">
        <v>0.12787750672984424</v>
      </c>
      <c r="Y51" s="316">
        <v>0.42712045968383722</v>
      </c>
      <c r="Z51" s="316">
        <v>0.42712045968383716</v>
      </c>
    </row>
    <row r="52" spans="1:26" s="312" customFormat="1">
      <c r="A52" t="s">
        <v>561</v>
      </c>
      <c r="B52">
        <v>1314</v>
      </c>
      <c r="C52" s="316">
        <v>6.0073129459735045E-2</v>
      </c>
      <c r="D52" s="316">
        <v>9.9690044616789E-2</v>
      </c>
      <c r="E52" s="316">
        <v>0.13713414635173929</v>
      </c>
      <c r="F52" s="316">
        <v>0.25068253686427755</v>
      </c>
      <c r="G52" s="335">
        <v>1.1228221725865228</v>
      </c>
      <c r="H52" s="335">
        <v>1.200440891565703</v>
      </c>
      <c r="I52" s="316">
        <v>0.11587271415417517</v>
      </c>
      <c r="J52" s="316">
        <v>0.37251044494171548</v>
      </c>
      <c r="K52" s="316">
        <v>5.3699999999999998E-2</v>
      </c>
      <c r="L52" s="316">
        <v>0.195415485958429</v>
      </c>
      <c r="M52" s="316">
        <v>0.10105777485900676</v>
      </c>
      <c r="N52" s="335">
        <v>1.6371372140788156</v>
      </c>
      <c r="O52" s="335">
        <v>1.3696311049524379</v>
      </c>
      <c r="P52" s="335">
        <v>9.692488166020885</v>
      </c>
      <c r="Q52" s="335">
        <v>13.269995111456335</v>
      </c>
      <c r="R52" s="335">
        <v>2.0495150370431299</v>
      </c>
      <c r="S52" s="335">
        <v>31.163150628618578</v>
      </c>
      <c r="T52" s="316">
        <v>0.24633186884048083</v>
      </c>
      <c r="U52" s="316">
        <v>4.0503580947101464E-2</v>
      </c>
      <c r="V52" s="316">
        <v>4.2763204512723516E-2</v>
      </c>
      <c r="W52" s="316">
        <v>0.92404402146312692</v>
      </c>
      <c r="X52" s="316">
        <v>0.14344983370190567</v>
      </c>
      <c r="Y52" s="316">
        <v>0.34387980748850605</v>
      </c>
      <c r="Z52" s="316">
        <v>0.34387980748850611</v>
      </c>
    </row>
    <row r="53" spans="1:26" s="312" customFormat="1">
      <c r="A53" t="s">
        <v>562</v>
      </c>
      <c r="B53">
        <v>1549</v>
      </c>
      <c r="C53" s="316">
        <v>0.10930656716417911</v>
      </c>
      <c r="D53" s="316">
        <v>0.13513991241752329</v>
      </c>
      <c r="E53" s="316">
        <v>0.14160158473015905</v>
      </c>
      <c r="F53" s="316">
        <v>0.33933453370488087</v>
      </c>
      <c r="G53" s="335">
        <v>1.2422178123867944</v>
      </c>
      <c r="H53" s="335">
        <v>1.4769942725918026</v>
      </c>
      <c r="I53" s="316">
        <v>0.13639297502631176</v>
      </c>
      <c r="J53" s="316">
        <v>0.7437056470133917</v>
      </c>
      <c r="K53" s="316">
        <v>6.6199999999999995E-2</v>
      </c>
      <c r="L53" s="316">
        <v>0.30022984512945922</v>
      </c>
      <c r="M53" s="316">
        <v>0.11027064420510337</v>
      </c>
      <c r="N53" s="335">
        <v>1.0948539664422456</v>
      </c>
      <c r="O53" s="335">
        <v>1.2785480253851162</v>
      </c>
      <c r="P53" s="335">
        <v>6.0321359294773647</v>
      </c>
      <c r="Q53" s="335">
        <v>9.1351357382252267</v>
      </c>
      <c r="R53" s="335">
        <v>1.3631956002498489</v>
      </c>
      <c r="S53" s="335">
        <v>37.458000186955594</v>
      </c>
      <c r="T53" s="316">
        <v>0.12359028448995774</v>
      </c>
      <c r="U53" s="316">
        <v>7.5621336048400559E-2</v>
      </c>
      <c r="V53" s="316">
        <v>3.0811478802992998E-2</v>
      </c>
      <c r="W53" s="316">
        <v>0.58719447225001042</v>
      </c>
      <c r="X53" s="316">
        <v>0.1143926744345953</v>
      </c>
      <c r="Y53" s="316">
        <v>0.57233721433226192</v>
      </c>
      <c r="Z53" s="316">
        <v>0.57233721433226192</v>
      </c>
    </row>
    <row r="54" spans="1:26" s="312" customFormat="1">
      <c r="A54" t="s">
        <v>563</v>
      </c>
      <c r="B54">
        <v>156</v>
      </c>
      <c r="C54" s="316">
        <v>2.6153478260869573E-2</v>
      </c>
      <c r="D54" s="316">
        <v>7.0341652813978292E-2</v>
      </c>
      <c r="E54" s="316">
        <v>0.13638791331808633</v>
      </c>
      <c r="F54" s="316">
        <v>0.27220124418541447</v>
      </c>
      <c r="G54" s="335">
        <v>0.86017269975902722</v>
      </c>
      <c r="H54" s="335">
        <v>1.0174022024242271</v>
      </c>
      <c r="I54" s="316">
        <v>0.10229124341987765</v>
      </c>
      <c r="J54" s="316">
        <v>0.37122712396253577</v>
      </c>
      <c r="K54" s="316">
        <v>5.3699999999999998E-2</v>
      </c>
      <c r="L54" s="316">
        <v>0.29727120691983006</v>
      </c>
      <c r="M54" s="316">
        <v>8.3791746034570264E-2</v>
      </c>
      <c r="N54" s="335">
        <v>1.9982891713859057</v>
      </c>
      <c r="O54" s="335">
        <v>0.98104443085769466</v>
      </c>
      <c r="P54" s="335">
        <v>7.3692931685731349</v>
      </c>
      <c r="Q54" s="335">
        <v>11.692911376642341</v>
      </c>
      <c r="R54" s="335">
        <v>1.8656824985002227</v>
      </c>
      <c r="S54" s="335">
        <v>31.428200003223658</v>
      </c>
      <c r="T54" s="316">
        <v>0.13070886425938966</v>
      </c>
      <c r="U54" s="316">
        <v>3.7047286840002275E-2</v>
      </c>
      <c r="V54" s="316">
        <v>4.5958603783891376E-2</v>
      </c>
      <c r="W54" s="316">
        <v>0.82886464901911761</v>
      </c>
      <c r="X54" s="316">
        <v>0.1069128525754731</v>
      </c>
      <c r="Y54" s="316">
        <v>0.4692773274338583</v>
      </c>
      <c r="Z54" s="316">
        <v>0.4692773274338583</v>
      </c>
    </row>
    <row r="55" spans="1:26" s="312" customFormat="1">
      <c r="A55" t="s">
        <v>564</v>
      </c>
      <c r="B55">
        <v>49</v>
      </c>
      <c r="C55" s="316">
        <v>-4.4887500000000023E-3</v>
      </c>
      <c r="D55" s="316">
        <v>8.9583900900491426E-2</v>
      </c>
      <c r="E55" s="316">
        <v>8.4228253503980569E-2</v>
      </c>
      <c r="F55" s="316">
        <v>0.30121825867961216</v>
      </c>
      <c r="G55" s="335">
        <v>1.1077893646523318</v>
      </c>
      <c r="H55" s="335">
        <v>1.3235409988976838</v>
      </c>
      <c r="I55" s="316">
        <v>0.12500674211820814</v>
      </c>
      <c r="J55" s="316">
        <v>0.28917759289648426</v>
      </c>
      <c r="K55" s="316">
        <v>5.3699999999999998E-2</v>
      </c>
      <c r="L55" s="316">
        <v>0.28759123920043422</v>
      </c>
      <c r="M55" s="316">
        <v>0.10057686080464079</v>
      </c>
      <c r="N55" s="335">
        <v>1.2407873989357507</v>
      </c>
      <c r="O55" s="335">
        <v>0.84126588927540213</v>
      </c>
      <c r="P55" s="335">
        <v>4.909375509348842</v>
      </c>
      <c r="Q55" s="335">
        <v>9.5407563700064646</v>
      </c>
      <c r="R55" s="335">
        <v>1.0093000940443912</v>
      </c>
      <c r="S55" s="335">
        <v>16.873882172204809</v>
      </c>
      <c r="T55" s="316">
        <v>2.5878589541802596E-2</v>
      </c>
      <c r="U55" s="316">
        <v>8.357358081878391E-2</v>
      </c>
      <c r="V55" s="316">
        <v>1.6760096280244673E-2</v>
      </c>
      <c r="W55" s="316">
        <v>0.36794622069059685</v>
      </c>
      <c r="X55" s="316">
        <v>0.10714787391766128</v>
      </c>
      <c r="Y55" s="316">
        <v>0.46811100353398272</v>
      </c>
      <c r="Z55" s="316">
        <v>0.46811100353398272</v>
      </c>
    </row>
    <row r="56" spans="1:26" s="312" customFormat="1">
      <c r="A56" t="s">
        <v>565</v>
      </c>
      <c r="B56">
        <v>852</v>
      </c>
      <c r="C56" s="316">
        <v>1.9804285714285705E-2</v>
      </c>
      <c r="D56" s="316">
        <v>0.17192528707363372</v>
      </c>
      <c r="E56" s="316">
        <v>7.3416880134758514E-2</v>
      </c>
      <c r="F56" s="316">
        <v>0.27868150400185138</v>
      </c>
      <c r="G56" s="335">
        <v>1.1639456881074064</v>
      </c>
      <c r="H56" s="335">
        <v>1.5578677763777253</v>
      </c>
      <c r="I56" s="316">
        <v>0.14239378900722721</v>
      </c>
      <c r="J56" s="316">
        <v>0.62063622004010888</v>
      </c>
      <c r="K56" s="316">
        <v>5.7499999999999996E-2</v>
      </c>
      <c r="L56" s="316">
        <v>0.36123388542752871</v>
      </c>
      <c r="M56" s="316">
        <v>0.10645145485881263</v>
      </c>
      <c r="N56" s="335">
        <v>0.43679668757701712</v>
      </c>
      <c r="O56" s="335">
        <v>2.7124595898679087</v>
      </c>
      <c r="P56" s="335">
        <v>5.5463611667482517</v>
      </c>
      <c r="Q56" s="335">
        <v>15.016486658354918</v>
      </c>
      <c r="R56" s="335">
        <v>1.1039788841203593</v>
      </c>
      <c r="S56" s="335">
        <v>26.845700402639888</v>
      </c>
      <c r="T56" s="316">
        <v>2.6432026807170156E-3</v>
      </c>
      <c r="U56" s="316">
        <v>0.38502274569072525</v>
      </c>
      <c r="V56" s="316">
        <v>0.16385931551190533</v>
      </c>
      <c r="W56" s="316">
        <v>1.3816823849696676</v>
      </c>
      <c r="X56" s="316">
        <v>4.4377751096377233E-2</v>
      </c>
      <c r="Y56" s="316">
        <v>0.63662980170318106</v>
      </c>
      <c r="Z56" s="316">
        <v>0.63662980170318106</v>
      </c>
    </row>
    <row r="57" spans="1:26" s="312" customFormat="1">
      <c r="A57" t="s">
        <v>566</v>
      </c>
      <c r="B57">
        <v>143</v>
      </c>
      <c r="C57" s="316">
        <v>0.11017121212121209</v>
      </c>
      <c r="D57" s="316">
        <v>0.12670283554510803</v>
      </c>
      <c r="E57" s="316">
        <v>6.7677019845277381E-2</v>
      </c>
      <c r="F57" s="316">
        <v>0.24266404514069911</v>
      </c>
      <c r="G57" s="335">
        <v>0.7522591829556261</v>
      </c>
      <c r="H57" s="335">
        <v>1.2232029695063364</v>
      </c>
      <c r="I57" s="316">
        <v>0.11756166033737017</v>
      </c>
      <c r="J57" s="316">
        <v>0.33317075460812839</v>
      </c>
      <c r="K57" s="316">
        <v>5.3699999999999998E-2</v>
      </c>
      <c r="L57" s="316">
        <v>0.4811587810313116</v>
      </c>
      <c r="M57" s="316">
        <v>8.0271152153294598E-2</v>
      </c>
      <c r="N57" s="335">
        <v>0.60844944323432038</v>
      </c>
      <c r="O57" s="335">
        <v>2.4347102037161057</v>
      </c>
      <c r="P57" s="335">
        <v>11.7170258840817</v>
      </c>
      <c r="Q57" s="335">
        <v>19.148410719010812</v>
      </c>
      <c r="R57" s="335">
        <v>1.3020301458155119</v>
      </c>
      <c r="S57" s="335">
        <v>27.194355922114333</v>
      </c>
      <c r="T57" s="316">
        <v>1.7461392672552038E-2</v>
      </c>
      <c r="U57" s="316">
        <v>0.16258639663363172</v>
      </c>
      <c r="V57" s="316">
        <v>9.6541297223271483E-2</v>
      </c>
      <c r="W57" s="316">
        <v>1.0172837019448395</v>
      </c>
      <c r="X57" s="316">
        <v>7.2602924844393915E-2</v>
      </c>
      <c r="Y57" s="316">
        <v>1.0828699723839472</v>
      </c>
      <c r="Z57" s="316">
        <v>1.0828699723839472</v>
      </c>
    </row>
    <row r="58" spans="1:26" s="312" customFormat="1">
      <c r="A58" t="s">
        <v>567</v>
      </c>
      <c r="B58">
        <v>517</v>
      </c>
      <c r="C58" s="316">
        <v>-9.140980926430519E-3</v>
      </c>
      <c r="D58" s="316">
        <v>5.6657359125771162E-2</v>
      </c>
      <c r="E58" s="316">
        <v>0.122348923220763</v>
      </c>
      <c r="F58" s="316">
        <v>0.23639233139735075</v>
      </c>
      <c r="G58" s="335">
        <v>1.0665139611521441</v>
      </c>
      <c r="H58" s="335">
        <v>1.374023508929622</v>
      </c>
      <c r="I58" s="316">
        <v>0.12875254436257796</v>
      </c>
      <c r="J58" s="316">
        <v>0.46338321220027523</v>
      </c>
      <c r="K58" s="316">
        <v>5.7499999999999996E-2</v>
      </c>
      <c r="L58" s="316">
        <v>0.348380682724522</v>
      </c>
      <c r="M58" s="316">
        <v>9.8841434440492121E-2</v>
      </c>
      <c r="N58" s="335">
        <v>2.3583573984959005</v>
      </c>
      <c r="O58" s="335">
        <v>0.66137319502702652</v>
      </c>
      <c r="P58" s="335">
        <v>7.0127928617692428</v>
      </c>
      <c r="Q58" s="335">
        <v>11.229761074538553</v>
      </c>
      <c r="R58" s="335">
        <v>1.2980619929645654</v>
      </c>
      <c r="S58" s="335">
        <v>39.101094747881547</v>
      </c>
      <c r="T58" s="316">
        <v>6.578651929304144E-2</v>
      </c>
      <c r="U58" s="316">
        <v>3.0293403573126852E-2</v>
      </c>
      <c r="V58" s="316">
        <v>1.2121961552845537E-2</v>
      </c>
      <c r="W58" s="316">
        <v>0.61458859398592947</v>
      </c>
      <c r="X58" s="316">
        <v>0.10279374455487401</v>
      </c>
      <c r="Y58" s="316">
        <v>0.44732200438727954</v>
      </c>
      <c r="Z58" s="316">
        <v>0.44732200438727954</v>
      </c>
    </row>
    <row r="59" spans="1:26" s="312" customFormat="1">
      <c r="A59" t="s">
        <v>568</v>
      </c>
      <c r="B59">
        <v>402</v>
      </c>
      <c r="C59" s="316">
        <v>7.6847056962025304E-2</v>
      </c>
      <c r="D59" s="316">
        <v>9.1613858121951955E-2</v>
      </c>
      <c r="E59" s="316">
        <v>0.12505234538210031</v>
      </c>
      <c r="F59" s="316">
        <v>0.21481184844557702</v>
      </c>
      <c r="G59" s="335">
        <v>0.61274069641434237</v>
      </c>
      <c r="H59" s="335">
        <v>0.82218370006683494</v>
      </c>
      <c r="I59" s="316">
        <v>8.7806030544959154E-2</v>
      </c>
      <c r="J59" s="316">
        <v>0.34383152522221155</v>
      </c>
      <c r="K59" s="316">
        <v>5.3699999999999998E-2</v>
      </c>
      <c r="L59" s="316">
        <v>0.35557671703528337</v>
      </c>
      <c r="M59" s="316">
        <v>7.082872486765962E-2</v>
      </c>
      <c r="N59" s="335">
        <v>1.6231712883012204</v>
      </c>
      <c r="O59" s="335">
        <v>1.2826963672601237</v>
      </c>
      <c r="P59" s="335">
        <v>8.0893599882980567</v>
      </c>
      <c r="Q59" s="335">
        <v>13.07879766063898</v>
      </c>
      <c r="R59" s="335">
        <v>2.0620677395667339</v>
      </c>
      <c r="S59" s="335">
        <v>23.851111723683914</v>
      </c>
      <c r="T59" s="316">
        <v>0.14038649539782536</v>
      </c>
      <c r="U59" s="316">
        <v>6.2712725208417253E-2</v>
      </c>
      <c r="V59" s="316">
        <v>5.3003172509950028E-2</v>
      </c>
      <c r="W59" s="316">
        <v>0.82641164330986683</v>
      </c>
      <c r="X59" s="316">
        <v>0.16180852779825833</v>
      </c>
      <c r="Y59" s="316">
        <v>0.35662601929810411</v>
      </c>
      <c r="Z59" s="316">
        <v>0.35662601929810411</v>
      </c>
    </row>
    <row r="60" spans="1:26" s="312" customFormat="1">
      <c r="A60" t="s">
        <v>569</v>
      </c>
      <c r="B60">
        <v>292</v>
      </c>
      <c r="C60" s="316">
        <v>7.3533276595744712E-2</v>
      </c>
      <c r="D60" s="316">
        <v>0.1174527494478403</v>
      </c>
      <c r="E60" s="316">
        <v>0.10445366605778084</v>
      </c>
      <c r="F60" s="316">
        <v>0.22481996611933289</v>
      </c>
      <c r="G60" s="335">
        <v>0.77017518645370298</v>
      </c>
      <c r="H60" s="335">
        <v>1.0411441250965834</v>
      </c>
      <c r="I60" s="316">
        <v>0.10405289408216649</v>
      </c>
      <c r="J60" s="316">
        <v>0.3696426930132059</v>
      </c>
      <c r="K60" s="316">
        <v>5.3699999999999998E-2</v>
      </c>
      <c r="L60" s="316">
        <v>0.38099222956244355</v>
      </c>
      <c r="M60" s="316">
        <v>7.9672174888094499E-2</v>
      </c>
      <c r="N60" s="335">
        <v>1.0483996674571225</v>
      </c>
      <c r="O60" s="335">
        <v>1.1912297187396523</v>
      </c>
      <c r="P60" s="335">
        <v>6.7044707710609526</v>
      </c>
      <c r="Q60" s="335">
        <v>9.9846704543065101</v>
      </c>
      <c r="R60" s="335">
        <v>1.2511659173545828</v>
      </c>
      <c r="S60" s="335">
        <v>31.141490102608746</v>
      </c>
      <c r="T60" s="316">
        <v>0.18466475111991962</v>
      </c>
      <c r="U60" s="316">
        <v>7.2218519805487796E-2</v>
      </c>
      <c r="V60" s="316">
        <v>4.2320439493055896E-2</v>
      </c>
      <c r="W60" s="316">
        <v>0.68549405247624196</v>
      </c>
      <c r="X60" s="316">
        <v>0.11418776416753425</v>
      </c>
      <c r="Y60" s="316">
        <v>0.38810146603414158</v>
      </c>
      <c r="Z60" s="316">
        <v>0.38810146603414153</v>
      </c>
    </row>
    <row r="61" spans="1:26" s="312" customFormat="1">
      <c r="A61" t="s">
        <v>570</v>
      </c>
      <c r="B61">
        <v>529</v>
      </c>
      <c r="C61" s="316">
        <v>8.3434312354312326E-2</v>
      </c>
      <c r="D61" s="316">
        <v>0.11601546769769473</v>
      </c>
      <c r="E61" s="316">
        <v>5.8343365024918423E-2</v>
      </c>
      <c r="F61" s="316">
        <v>0.1940611121270707</v>
      </c>
      <c r="G61" s="335">
        <v>0.48622628511227367</v>
      </c>
      <c r="H61" s="335">
        <v>0.81377457586106117</v>
      </c>
      <c r="I61" s="316">
        <v>8.7182073528890736E-2</v>
      </c>
      <c r="J61" s="316">
        <v>0.27276276566556207</v>
      </c>
      <c r="K61" s="316">
        <v>5.3699999999999998E-2</v>
      </c>
      <c r="L61" s="316">
        <v>0.50254870695139831</v>
      </c>
      <c r="M61" s="316">
        <v>6.3501036917819359E-2</v>
      </c>
      <c r="N61" s="335">
        <v>0.6197321617782805</v>
      </c>
      <c r="O61" s="335">
        <v>2.0151099445417273</v>
      </c>
      <c r="P61" s="335">
        <v>9.1625302392913994</v>
      </c>
      <c r="Q61" s="335">
        <v>17.527206705384092</v>
      </c>
      <c r="R61" s="335">
        <v>1.2097991221615958</v>
      </c>
      <c r="S61" s="335">
        <v>22.505401008053536</v>
      </c>
      <c r="T61" s="316">
        <v>-9.3564120637374304E-4</v>
      </c>
      <c r="U61" s="316">
        <v>0.16093610617606824</v>
      </c>
      <c r="V61" s="316">
        <v>8.6868862786393775E-2</v>
      </c>
      <c r="W61" s="316">
        <v>1.0348348456139664</v>
      </c>
      <c r="X61" s="316">
        <v>7.658190994212466E-2</v>
      </c>
      <c r="Y61" s="316">
        <v>0.74422363707465877</v>
      </c>
      <c r="Z61" s="316">
        <v>0.74422363707465877</v>
      </c>
    </row>
    <row r="62" spans="1:26" s="312" customFormat="1">
      <c r="A62" t="s">
        <v>571</v>
      </c>
      <c r="B62">
        <v>871</v>
      </c>
      <c r="C62" s="316">
        <v>4.6458495575221234E-2</v>
      </c>
      <c r="D62" s="316">
        <v>0.10393627374821073</v>
      </c>
      <c r="E62" s="316">
        <v>6.4604786026310174E-2</v>
      </c>
      <c r="F62" s="316">
        <v>0.31410578776683856</v>
      </c>
      <c r="G62" s="335">
        <v>1.1521424888333422</v>
      </c>
      <c r="H62" s="335">
        <v>1.2782330140347902</v>
      </c>
      <c r="I62" s="316">
        <v>0.12164488964138144</v>
      </c>
      <c r="J62" s="316">
        <v>0.79093552506385023</v>
      </c>
      <c r="K62" s="316">
        <v>9.6200000000000008E-2</v>
      </c>
      <c r="L62" s="316">
        <v>0.21067843211040588</v>
      </c>
      <c r="M62" s="316">
        <v>0.11113631483358155</v>
      </c>
      <c r="N62" s="335">
        <v>0.63630332915177457</v>
      </c>
      <c r="O62" s="335">
        <v>2.3171622739070319</v>
      </c>
      <c r="P62" s="335">
        <v>7.5285251713273738</v>
      </c>
      <c r="Q62" s="335">
        <v>20.749115501022878</v>
      </c>
      <c r="R62" s="335">
        <v>1.4802259096183414</v>
      </c>
      <c r="S62" s="335">
        <v>49.297252946626571</v>
      </c>
      <c r="T62" s="316">
        <v>0.13347643262283268</v>
      </c>
      <c r="U62" s="316">
        <v>0.20373994190717182</v>
      </c>
      <c r="V62" s="316">
        <v>9.715244219392849E-2</v>
      </c>
      <c r="W62" s="316">
        <v>1.7323907712900373</v>
      </c>
      <c r="X62" s="316">
        <v>8.3848287654376841E-3</v>
      </c>
      <c r="Y62" s="316">
        <v>3.0187847236773062</v>
      </c>
      <c r="Z62" s="316">
        <v>3.0187847236773062</v>
      </c>
    </row>
    <row r="63" spans="1:26" s="312" customFormat="1">
      <c r="A63" t="s">
        <v>659</v>
      </c>
      <c r="B63">
        <v>353</v>
      </c>
      <c r="C63" s="316">
        <v>6.7980237154150139E-3</v>
      </c>
      <c r="D63" s="316">
        <v>6.838108687169131E-2</v>
      </c>
      <c r="E63" s="316">
        <v>9.0009632031909773E-2</v>
      </c>
      <c r="F63" s="316">
        <v>0.21791180231688945</v>
      </c>
      <c r="G63" s="335">
        <v>0.89960440498532779</v>
      </c>
      <c r="H63" s="335">
        <v>0.98110907910349765</v>
      </c>
      <c r="I63" s="316">
        <v>9.9598293669479532E-2</v>
      </c>
      <c r="J63" s="316">
        <v>0.39510178318427464</v>
      </c>
      <c r="K63" s="316">
        <v>5.3699999999999998E-2</v>
      </c>
      <c r="L63" s="316">
        <v>0.25145696147163138</v>
      </c>
      <c r="M63" s="316">
        <v>8.4627025543538834E-2</v>
      </c>
      <c r="N63" s="335">
        <v>1.5500947068676756</v>
      </c>
      <c r="O63" s="335">
        <v>1.1383946866260382</v>
      </c>
      <c r="P63" s="335">
        <v>9.0175940356342696</v>
      </c>
      <c r="Q63" s="335">
        <v>16.016392688978918</v>
      </c>
      <c r="R63" s="335">
        <v>1.3463490844866752</v>
      </c>
      <c r="S63" s="335">
        <v>61.83214454799505</v>
      </c>
      <c r="T63" s="316">
        <v>0.12940426039589151</v>
      </c>
      <c r="U63" s="316">
        <v>3.3824206213792687E-2</v>
      </c>
      <c r="V63" s="316">
        <v>4.9008584527131818E-2</v>
      </c>
      <c r="W63" s="316">
        <v>1.0110433694509053</v>
      </c>
      <c r="X63" s="316">
        <v>6.7430414201928301E-2</v>
      </c>
      <c r="Y63" s="316">
        <v>0.53272400974725298</v>
      </c>
      <c r="Z63" s="316">
        <v>0.53272400974725298</v>
      </c>
    </row>
    <row r="64" spans="1:26" s="312" customFormat="1">
      <c r="A64" t="s">
        <v>572</v>
      </c>
      <c r="B64">
        <v>727</v>
      </c>
      <c r="C64" s="316">
        <v>0.12675482062780274</v>
      </c>
      <c r="D64" s="316">
        <v>0.34215504805284896</v>
      </c>
      <c r="E64" s="316">
        <v>3.6909562367868513E-2</v>
      </c>
      <c r="F64" s="316">
        <v>2.963790928376011E-2</v>
      </c>
      <c r="G64" s="335">
        <v>0.33943979658911216</v>
      </c>
      <c r="H64" s="335">
        <v>0.5458037066120045</v>
      </c>
      <c r="I64" s="316">
        <v>6.7298635030610732E-2</v>
      </c>
      <c r="J64" s="316">
        <v>0.19067383153153714</v>
      </c>
      <c r="K64" s="316">
        <v>4.7699999999999999E-2</v>
      </c>
      <c r="L64" s="316">
        <v>0.46075647525212526</v>
      </c>
      <c r="M64" s="316">
        <v>5.2686003731294007E-2</v>
      </c>
      <c r="N64" s="335">
        <v>0.11959157611011451</v>
      </c>
      <c r="O64" s="335">
        <v>11.325983613875467</v>
      </c>
      <c r="P64" s="335">
        <v>19.956253111620711</v>
      </c>
      <c r="Q64" s="335">
        <v>31.513060212345792</v>
      </c>
      <c r="R64" s="335">
        <v>1.384730234402761</v>
      </c>
      <c r="S64" s="335">
        <v>27.324688156399091</v>
      </c>
      <c r="T64" s="316">
        <v>0.49286027259495085</v>
      </c>
      <c r="U64" s="316">
        <v>6.3848433571551913E-2</v>
      </c>
      <c r="V64" s="316">
        <v>8.7307442110801659E-2</v>
      </c>
      <c r="W64" s="316">
        <v>0.3041897021532623</v>
      </c>
      <c r="X64" s="316">
        <v>9.5773281610109021E-2</v>
      </c>
      <c r="Y64" s="316">
        <v>0.90393030874965696</v>
      </c>
      <c r="Z64" s="316">
        <v>0.90393030874965696</v>
      </c>
    </row>
    <row r="65" spans="1:26" s="312" customFormat="1">
      <c r="A65" t="s">
        <v>573</v>
      </c>
      <c r="B65">
        <v>811</v>
      </c>
      <c r="C65" s="316">
        <v>0.12634809278350517</v>
      </c>
      <c r="D65" s="316">
        <v>0.21000014022837457</v>
      </c>
      <c r="E65" s="316">
        <v>9.5181798283446917E-2</v>
      </c>
      <c r="F65" s="316">
        <v>0.3298384797187513</v>
      </c>
      <c r="G65" s="335">
        <v>0.6584662981000482</v>
      </c>
      <c r="H65" s="335">
        <v>1.1583421563682523</v>
      </c>
      <c r="I65" s="316">
        <v>0.11274898800252434</v>
      </c>
      <c r="J65" s="316">
        <v>0.34891705040937926</v>
      </c>
      <c r="K65" s="316">
        <v>5.3699999999999998E-2</v>
      </c>
      <c r="L65" s="316">
        <v>0.6169819247015973</v>
      </c>
      <c r="M65" s="316">
        <v>6.7901319676500496E-2</v>
      </c>
      <c r="N65" s="335">
        <v>0.5612764053681556</v>
      </c>
      <c r="O65" s="335">
        <v>2.1111368784848703</v>
      </c>
      <c r="P65" s="335">
        <v>9.2457820266275696</v>
      </c>
      <c r="Q65" s="335">
        <v>9.7876156793921432</v>
      </c>
      <c r="R65" s="335">
        <v>0.78700003009870056</v>
      </c>
      <c r="S65" s="335">
        <v>48.589648969920148</v>
      </c>
      <c r="T65" s="316">
        <v>1.6648014820322778</v>
      </c>
      <c r="U65" s="316">
        <v>4.1413041369622795E-2</v>
      </c>
      <c r="V65" s="316">
        <v>9.2185347907687135E-2</v>
      </c>
      <c r="W65" s="316">
        <v>1.7353163343321925</v>
      </c>
      <c r="X65" s="316">
        <v>0.15103763963691944</v>
      </c>
      <c r="Y65" s="316">
        <v>0.48570035567577552</v>
      </c>
      <c r="Z65" s="316">
        <v>0.48570035567577552</v>
      </c>
    </row>
    <row r="66" spans="1:26" s="312" customFormat="1">
      <c r="A66" t="s">
        <v>574</v>
      </c>
      <c r="B66">
        <v>399</v>
      </c>
      <c r="C66" s="316">
        <v>0.11243804093567243</v>
      </c>
      <c r="D66" s="316">
        <v>0.19500286153274413</v>
      </c>
      <c r="E66" s="316">
        <v>5.4220824310669158E-2</v>
      </c>
      <c r="F66" s="316">
        <v>0.19847285974767018</v>
      </c>
      <c r="G66" s="335">
        <v>0.67653026404534355</v>
      </c>
      <c r="H66" s="335">
        <v>1.0171596270740682</v>
      </c>
      <c r="I66" s="316">
        <v>0.10227324432889587</v>
      </c>
      <c r="J66" s="316">
        <v>0.32870127566779272</v>
      </c>
      <c r="K66" s="316">
        <v>5.3699999999999998E-2</v>
      </c>
      <c r="L66" s="316">
        <v>0.47077919409644925</v>
      </c>
      <c r="M66" s="316">
        <v>7.2984637457451595E-2</v>
      </c>
      <c r="N66" s="335">
        <v>0.30028799430818048</v>
      </c>
      <c r="O66" s="335">
        <v>3.2301487339792905</v>
      </c>
      <c r="P66" s="335">
        <v>11.790600525094231</v>
      </c>
      <c r="Q66" s="335">
        <v>14.60996768958355</v>
      </c>
      <c r="R66" s="335">
        <v>0.75172017318447837</v>
      </c>
      <c r="S66" s="335">
        <v>63.598039186630736</v>
      </c>
      <c r="T66" s="316">
        <v>0.76662609484192079</v>
      </c>
      <c r="U66" s="316">
        <v>8.6878552162052564E-2</v>
      </c>
      <c r="V66" s="316">
        <v>8.5538911050044214E-2</v>
      </c>
      <c r="W66" s="316">
        <v>0.81467030211517355</v>
      </c>
      <c r="X66" s="316">
        <v>0.10146359260887297</v>
      </c>
      <c r="Y66" s="316">
        <v>0.26710494114279554</v>
      </c>
      <c r="Z66" s="316">
        <v>0.26710494114279548</v>
      </c>
    </row>
    <row r="67" spans="1:26" s="312" customFormat="1">
      <c r="A67" t="s">
        <v>575</v>
      </c>
      <c r="B67">
        <v>645</v>
      </c>
      <c r="C67" s="316">
        <v>8.8887413394919165E-2</v>
      </c>
      <c r="D67" s="316">
        <v>0.26010634881346201</v>
      </c>
      <c r="E67" s="316">
        <v>4.6371784290569866E-2</v>
      </c>
      <c r="F67" s="316">
        <v>0.18401366989373069</v>
      </c>
      <c r="G67" s="335">
        <v>0.53929932028721228</v>
      </c>
      <c r="H67" s="335">
        <v>0.80597448167017538</v>
      </c>
      <c r="I67" s="316">
        <v>8.6603306539927011E-2</v>
      </c>
      <c r="J67" s="316">
        <v>0.32256559214381836</v>
      </c>
      <c r="K67" s="316">
        <v>5.3699999999999998E-2</v>
      </c>
      <c r="L67" s="316">
        <v>0.44697515348962902</v>
      </c>
      <c r="M67" s="316">
        <v>6.579969435035897E-2</v>
      </c>
      <c r="N67" s="335">
        <v>0.21213221343297278</v>
      </c>
      <c r="O67" s="335">
        <v>5.5114995942491829</v>
      </c>
      <c r="P67" s="335">
        <v>16.871933584236533</v>
      </c>
      <c r="Q67" s="335">
        <v>20.350881334630188</v>
      </c>
      <c r="R67" s="335">
        <v>0.85704092839022994</v>
      </c>
      <c r="S67" s="335">
        <v>67.02988643666508</v>
      </c>
      <c r="T67" s="316">
        <v>0.23352505093465192</v>
      </c>
      <c r="U67" s="316">
        <v>4.6920953240199709E-2</v>
      </c>
      <c r="V67" s="316">
        <v>0.31210438805550272</v>
      </c>
      <c r="W67" s="316">
        <v>1.7046106088944275</v>
      </c>
      <c r="X67" s="316">
        <v>0.12252591262182591</v>
      </c>
      <c r="Y67" s="316">
        <v>0.2571633485948947</v>
      </c>
      <c r="Z67" s="316">
        <v>0.25716334859489476</v>
      </c>
    </row>
    <row r="68" spans="1:26" s="312" customFormat="1">
      <c r="A68" t="s">
        <v>576</v>
      </c>
      <c r="B68">
        <v>325</v>
      </c>
      <c r="C68" s="316">
        <v>3.548317535545021E-2</v>
      </c>
      <c r="D68" s="316">
        <v>0.10721615286045251</v>
      </c>
      <c r="E68" s="316">
        <v>9.236296212228047E-2</v>
      </c>
      <c r="F68" s="316">
        <v>0.29540199822224095</v>
      </c>
      <c r="G68" s="335">
        <v>0.82631278034150735</v>
      </c>
      <c r="H68" s="335">
        <v>0.90960226350382911</v>
      </c>
      <c r="I68" s="316">
        <v>9.4292487951984125E-2</v>
      </c>
      <c r="J68" s="316">
        <v>0.37607076371877723</v>
      </c>
      <c r="K68" s="316">
        <v>5.3699999999999998E-2</v>
      </c>
      <c r="L68" s="316">
        <v>0.23121305384709734</v>
      </c>
      <c r="M68" s="316">
        <v>8.1753275037490719E-2</v>
      </c>
      <c r="N68" s="335">
        <v>1.0444448332377272</v>
      </c>
      <c r="O68" s="335">
        <v>2.1127564902383096</v>
      </c>
      <c r="P68" s="335">
        <v>11.61025983885736</v>
      </c>
      <c r="Q68" s="335">
        <v>19.226378824943193</v>
      </c>
      <c r="R68" s="335">
        <v>2.3455486129142877</v>
      </c>
      <c r="S68" s="335">
        <v>35.87727318127309</v>
      </c>
      <c r="T68" s="316">
        <v>0.20318134419015835</v>
      </c>
      <c r="U68" s="316">
        <v>6.5184350811336417E-2</v>
      </c>
      <c r="V68" s="316">
        <v>6.7406487569584186E-2</v>
      </c>
      <c r="W68" s="316">
        <v>1.2272735950809417</v>
      </c>
      <c r="X68" s="316">
        <v>9.0802245179582658E-2</v>
      </c>
      <c r="Y68" s="316">
        <v>0.52546656445646012</v>
      </c>
      <c r="Z68" s="316">
        <v>0.52546656445646012</v>
      </c>
    </row>
    <row r="69" spans="1:26" s="312" customFormat="1">
      <c r="A69" t="s">
        <v>577</v>
      </c>
      <c r="B69">
        <v>36</v>
      </c>
      <c r="C69" s="316">
        <v>5.9959259259259268E-2</v>
      </c>
      <c r="D69" s="316">
        <v>7.3179748721985932E-2</v>
      </c>
      <c r="E69" s="316">
        <v>9.2388239158309612E-2</v>
      </c>
      <c r="F69" s="316">
        <v>0.18501685383914562</v>
      </c>
      <c r="G69" s="335">
        <v>0.90145295072715226</v>
      </c>
      <c r="H69" s="335">
        <v>0.94616008438384114</v>
      </c>
      <c r="I69" s="316">
        <v>9.7005078261281019E-2</v>
      </c>
      <c r="J69" s="316">
        <v>0.25425052753955257</v>
      </c>
      <c r="K69" s="316">
        <v>5.3699999999999998E-2</v>
      </c>
      <c r="L69" s="316">
        <v>0.20273044509965821</v>
      </c>
      <c r="M69" s="316">
        <v>8.5460617745225662E-2</v>
      </c>
      <c r="N69" s="335">
        <v>1.473481226482978</v>
      </c>
      <c r="O69" s="335">
        <v>0.77993916888248693</v>
      </c>
      <c r="P69" s="335">
        <v>10.037111524088466</v>
      </c>
      <c r="Q69" s="335">
        <v>10.591458723365028</v>
      </c>
      <c r="R69" s="335">
        <v>1.0528409458009724</v>
      </c>
      <c r="S69" s="335">
        <v>19.432974948084187</v>
      </c>
      <c r="T69" s="316">
        <v>-0.39677004520205683</v>
      </c>
      <c r="U69" s="316">
        <v>1.1118305656514472E-3</v>
      </c>
      <c r="V69" s="316">
        <v>3.8485985632361322E-3</v>
      </c>
      <c r="W69" s="316">
        <v>0.19420757108348657</v>
      </c>
      <c r="X69" s="316">
        <v>7.6389717662355722E-2</v>
      </c>
      <c r="Y69" s="316">
        <v>0.49018122182063018</v>
      </c>
      <c r="Z69" s="316">
        <v>0.49018122182063018</v>
      </c>
    </row>
    <row r="70" spans="1:26" s="312" customFormat="1">
      <c r="A70" t="s">
        <v>578</v>
      </c>
      <c r="B70">
        <v>373</v>
      </c>
      <c r="C70" s="316">
        <v>6.4128064516129027E-2</v>
      </c>
      <c r="D70" s="316">
        <v>0.11382055786736862</v>
      </c>
      <c r="E70" s="316">
        <v>0.14575749557384285</v>
      </c>
      <c r="F70" s="316">
        <v>0.24655141976508246</v>
      </c>
      <c r="G70" s="335">
        <v>0.64468860173778741</v>
      </c>
      <c r="H70" s="335">
        <v>0.79471446331368434</v>
      </c>
      <c r="I70" s="316">
        <v>8.5767813177875379E-2</v>
      </c>
      <c r="J70" s="316">
        <v>0.34977773825061126</v>
      </c>
      <c r="K70" s="316">
        <v>5.3699999999999998E-2</v>
      </c>
      <c r="L70" s="316">
        <v>0.27808817886115617</v>
      </c>
      <c r="M70" s="316">
        <v>7.3057066269149831E-2</v>
      </c>
      <c r="N70" s="335">
        <v>1.6799321101227394</v>
      </c>
      <c r="O70" s="335">
        <v>2.3513528531086019</v>
      </c>
      <c r="P70" s="335">
        <v>12.349125710807071</v>
      </c>
      <c r="Q70" s="335">
        <v>21.915026926803538</v>
      </c>
      <c r="R70" s="335">
        <v>8.8646848709108603</v>
      </c>
      <c r="S70" s="335">
        <v>58.291425510545245</v>
      </c>
      <c r="T70" s="316">
        <v>-9.5468874014442168E-3</v>
      </c>
      <c r="U70" s="316">
        <v>5.2926386902912306E-2</v>
      </c>
      <c r="V70" s="316">
        <v>3.8043564243870454E-2</v>
      </c>
      <c r="W70" s="316">
        <v>0.46401839629169211</v>
      </c>
      <c r="X70" s="316">
        <v>0.38436608475222361</v>
      </c>
      <c r="Y70" s="316">
        <v>0.46752053472558774</v>
      </c>
      <c r="Z70" s="316">
        <v>0.46752053472558774</v>
      </c>
    </row>
    <row r="71" spans="1:26" s="312" customFormat="1">
      <c r="A71" t="s">
        <v>579</v>
      </c>
      <c r="B71">
        <v>173</v>
      </c>
      <c r="C71" s="316">
        <v>9.2099687500000055E-2</v>
      </c>
      <c r="D71" s="316">
        <v>4.5715303043084153E-2</v>
      </c>
      <c r="E71" s="316">
        <v>9.8502325359322254E-2</v>
      </c>
      <c r="F71" s="316">
        <v>0.21279693428459134</v>
      </c>
      <c r="G71" s="335">
        <v>0.64100922073524025</v>
      </c>
      <c r="H71" s="335">
        <v>0.9533763578252572</v>
      </c>
      <c r="I71" s="316">
        <v>9.7540525750634086E-2</v>
      </c>
      <c r="J71" s="316">
        <v>0.32966276702709435</v>
      </c>
      <c r="K71" s="316">
        <v>5.3699999999999998E-2</v>
      </c>
      <c r="L71" s="316">
        <v>0.43546765397016352</v>
      </c>
      <c r="M71" s="316">
        <v>7.2509703146564686E-2</v>
      </c>
      <c r="N71" s="335">
        <v>2.7884318007857418</v>
      </c>
      <c r="O71" s="335">
        <v>0.68453280436705799</v>
      </c>
      <c r="P71" s="335">
        <v>9.8374575893656253</v>
      </c>
      <c r="Q71" s="335">
        <v>15.528592250917896</v>
      </c>
      <c r="R71" s="335">
        <v>2.372458751786207</v>
      </c>
      <c r="S71" s="335">
        <v>23.182024938754559</v>
      </c>
      <c r="T71" s="316">
        <v>0.11610124601400873</v>
      </c>
      <c r="U71" s="316">
        <v>2.2371345015231425E-2</v>
      </c>
      <c r="V71" s="316">
        <v>2.2566574623512629E-2</v>
      </c>
      <c r="W71" s="316">
        <v>0.86357854108961907</v>
      </c>
      <c r="X71" s="316">
        <v>0.20503579349199735</v>
      </c>
      <c r="Y71" s="316">
        <v>0.32790768427071892</v>
      </c>
      <c r="Z71" s="316">
        <v>0.32790768427071892</v>
      </c>
    </row>
    <row r="72" spans="1:26" s="312" customFormat="1">
      <c r="A72" t="s">
        <v>580</v>
      </c>
      <c r="B72">
        <v>90</v>
      </c>
      <c r="C72" s="316">
        <v>5.2137301587301593E-2</v>
      </c>
      <c r="D72" s="316">
        <v>9.7407679531744923E-2</v>
      </c>
      <c r="E72" s="316">
        <v>0.17924821788855511</v>
      </c>
      <c r="F72" s="316">
        <v>0.2701586198779285</v>
      </c>
      <c r="G72" s="335">
        <v>0.76110571264633875</v>
      </c>
      <c r="H72" s="335">
        <v>0.89131762787435609</v>
      </c>
      <c r="I72" s="316">
        <v>9.2935767988277226E-2</v>
      </c>
      <c r="J72" s="316">
        <v>0.34542237055299857</v>
      </c>
      <c r="K72" s="316">
        <v>5.3699999999999998E-2</v>
      </c>
      <c r="L72" s="316">
        <v>0.20843739272464284</v>
      </c>
      <c r="M72" s="316">
        <v>8.1914522457966127E-2</v>
      </c>
      <c r="N72" s="335">
        <v>2.4320113369002132</v>
      </c>
      <c r="O72" s="335">
        <v>1.4376119097325095</v>
      </c>
      <c r="P72" s="335">
        <v>10.321248352618124</v>
      </c>
      <c r="Q72" s="335">
        <v>15.133129805102723</v>
      </c>
      <c r="R72" s="335">
        <v>6.685138487124858</v>
      </c>
      <c r="S72" s="335">
        <v>37.813428746656847</v>
      </c>
      <c r="T72" s="316">
        <v>7.25166001562772E-2</v>
      </c>
      <c r="U72" s="316">
        <v>2.476634238135322E-2</v>
      </c>
      <c r="V72" s="316">
        <v>6.185721430203163E-3</v>
      </c>
      <c r="W72" s="316">
        <v>0.12264683068686152</v>
      </c>
      <c r="X72" s="316">
        <v>0.36437078571006365</v>
      </c>
      <c r="Y72" s="316">
        <v>0.41236030222203723</v>
      </c>
      <c r="Z72" s="316">
        <v>0.41236030222203723</v>
      </c>
    </row>
    <row r="73" spans="1:26" s="312" customFormat="1">
      <c r="A73" t="s">
        <v>581</v>
      </c>
      <c r="B73">
        <v>983</v>
      </c>
      <c r="C73" s="316">
        <v>8.9748490832157954E-2</v>
      </c>
      <c r="D73" s="316">
        <v>4.2455677653103485E-2</v>
      </c>
      <c r="E73" s="316">
        <v>6.8539465316380166E-2</v>
      </c>
      <c r="F73" s="316">
        <v>0.22117252045503938</v>
      </c>
      <c r="G73" s="335">
        <v>0.62261349691444312</v>
      </c>
      <c r="H73" s="335">
        <v>0.95071854407616174</v>
      </c>
      <c r="I73" s="316">
        <v>9.7343315970451205E-2</v>
      </c>
      <c r="J73" s="316">
        <v>0.38032040302781694</v>
      </c>
      <c r="K73" s="316">
        <v>5.3699999999999998E-2</v>
      </c>
      <c r="L73" s="316">
        <v>0.4808955175410789</v>
      </c>
      <c r="M73" s="316">
        <v>6.979612226947543E-2</v>
      </c>
      <c r="N73" s="335">
        <v>1.8902734962562919</v>
      </c>
      <c r="O73" s="335">
        <v>0.67211425720801932</v>
      </c>
      <c r="P73" s="335">
        <v>10.034596108274297</v>
      </c>
      <c r="Q73" s="335">
        <v>14.96352121676485</v>
      </c>
      <c r="R73" s="335">
        <v>1.1228646744665631</v>
      </c>
      <c r="S73" s="335">
        <v>36.992547382489903</v>
      </c>
      <c r="T73" s="316">
        <v>0.14815135661574386</v>
      </c>
      <c r="U73" s="316">
        <v>3.2586106882759043E-2</v>
      </c>
      <c r="V73" s="316">
        <v>3.6532273815986872E-2</v>
      </c>
      <c r="W73" s="316">
        <v>1.5952606876023987</v>
      </c>
      <c r="X73" s="316">
        <v>0.12476147184291425</v>
      </c>
      <c r="Y73" s="316">
        <v>0.33851262488425926</v>
      </c>
      <c r="Z73" s="316">
        <v>0.33851262488425926</v>
      </c>
    </row>
    <row r="74" spans="1:26" s="312" customFormat="1">
      <c r="A74" t="s">
        <v>582</v>
      </c>
      <c r="B74">
        <v>215</v>
      </c>
      <c r="C74" s="316">
        <v>3.4021923076923068E-2</v>
      </c>
      <c r="D74" s="316">
        <v>4.5020558730008958E-2</v>
      </c>
      <c r="E74" s="316">
        <v>8.6487695685665958E-2</v>
      </c>
      <c r="F74" s="316">
        <v>0.26011297970045871</v>
      </c>
      <c r="G74" s="335">
        <v>0.76889297636032883</v>
      </c>
      <c r="H74" s="335">
        <v>1.0053619342997684</v>
      </c>
      <c r="I74" s="316">
        <v>0.10139785552504282</v>
      </c>
      <c r="J74" s="316">
        <v>0.30161221780292596</v>
      </c>
      <c r="K74" s="316">
        <v>5.3699999999999998E-2</v>
      </c>
      <c r="L74" s="316">
        <v>0.34002518077714322</v>
      </c>
      <c r="M74" s="316">
        <v>8.0541508116693986E-2</v>
      </c>
      <c r="N74" s="335">
        <v>2.703092773380618</v>
      </c>
      <c r="O74" s="335">
        <v>0.7558300056633197</v>
      </c>
      <c r="P74" s="335">
        <v>8.9890941379788245</v>
      </c>
      <c r="Q74" s="335">
        <v>18.092636897074922</v>
      </c>
      <c r="R74" s="335">
        <v>2.295060825440618</v>
      </c>
      <c r="S74" s="335">
        <v>33.479408384744147</v>
      </c>
      <c r="T74" s="316">
        <v>-4.4703498735783834E-3</v>
      </c>
      <c r="U74" s="316">
        <v>2.8427644896665692E-2</v>
      </c>
      <c r="V74" s="316">
        <v>1.7200700278069078E-2</v>
      </c>
      <c r="W74" s="316">
        <v>0.56065415820439379</v>
      </c>
      <c r="X74" s="316">
        <v>9.1472935224846744E-2</v>
      </c>
      <c r="Y74" s="316">
        <v>0.64179965778240922</v>
      </c>
      <c r="Z74" s="316">
        <v>0.64179965778240922</v>
      </c>
    </row>
    <row r="75" spans="1:26" s="312" customFormat="1">
      <c r="A75" t="s">
        <v>583</v>
      </c>
      <c r="B75">
        <v>165</v>
      </c>
      <c r="C75" s="316">
        <v>5.668992366412217E-2</v>
      </c>
      <c r="D75" s="316">
        <v>3.5490768611278305E-2</v>
      </c>
      <c r="E75" s="316">
        <v>8.8616128824363843E-2</v>
      </c>
      <c r="F75" s="316">
        <v>0.20123713093677784</v>
      </c>
      <c r="G75" s="335">
        <v>0.5132265169888095</v>
      </c>
      <c r="H75" s="335">
        <v>0.68091282872514036</v>
      </c>
      <c r="I75" s="316">
        <v>7.7323731891405414E-2</v>
      </c>
      <c r="J75" s="316">
        <v>0.29357439169878158</v>
      </c>
      <c r="K75" s="316">
        <v>5.3699999999999998E-2</v>
      </c>
      <c r="L75" s="316">
        <v>0.36791803176495075</v>
      </c>
      <c r="M75" s="316">
        <v>6.3613806581309065E-2</v>
      </c>
      <c r="N75" s="335">
        <v>3.3111241782651275</v>
      </c>
      <c r="O75" s="335">
        <v>0.60973374394654056</v>
      </c>
      <c r="P75" s="335">
        <v>8.1676605345498761</v>
      </c>
      <c r="Q75" s="335">
        <v>17.975659202522415</v>
      </c>
      <c r="R75" s="335">
        <v>1.8853557681864037</v>
      </c>
      <c r="S75" s="335">
        <v>31.159549287577789</v>
      </c>
      <c r="T75" s="316">
        <v>-3.4907522314663264E-2</v>
      </c>
      <c r="U75" s="316">
        <v>2.9971674671959016E-2</v>
      </c>
      <c r="V75" s="316">
        <v>1.8742550495934963E-2</v>
      </c>
      <c r="W75" s="316">
        <v>0.49945299130702092</v>
      </c>
      <c r="X75" s="316">
        <v>0.13008613337386249</v>
      </c>
      <c r="Y75" s="316">
        <v>0.39662516336551074</v>
      </c>
      <c r="Z75" s="316">
        <v>0.39662516336551068</v>
      </c>
    </row>
    <row r="76" spans="1:26" s="312" customFormat="1">
      <c r="A76" t="s">
        <v>584</v>
      </c>
      <c r="B76">
        <v>291</v>
      </c>
      <c r="C76" s="316">
        <v>0.12228392857142854</v>
      </c>
      <c r="D76" s="316">
        <v>5.3436156616772819E-2</v>
      </c>
      <c r="E76" s="316">
        <v>9.2719702293876188E-2</v>
      </c>
      <c r="F76" s="316">
        <v>0.18237270170033315</v>
      </c>
      <c r="G76" s="335">
        <v>1.2393918031061377</v>
      </c>
      <c r="H76" s="335">
        <v>1.2830787093624776</v>
      </c>
      <c r="I76" s="316">
        <v>0.12200444023469584</v>
      </c>
      <c r="J76" s="316">
        <v>0.51424160108931616</v>
      </c>
      <c r="K76" s="316">
        <v>5.7499999999999996E-2</v>
      </c>
      <c r="L76" s="316">
        <v>0.11237711305704352</v>
      </c>
      <c r="M76" s="316">
        <v>0.11311434972556199</v>
      </c>
      <c r="N76" s="335">
        <v>2.0539014410827807</v>
      </c>
      <c r="O76" s="335">
        <v>2.9488411316737868</v>
      </c>
      <c r="P76" s="335">
        <v>22.354701854537797</v>
      </c>
      <c r="Q76" s="335">
        <v>55.75220715771929</v>
      </c>
      <c r="R76" s="335">
        <v>5.153488837598748</v>
      </c>
      <c r="S76" s="335">
        <v>71.197958094310565</v>
      </c>
      <c r="T76" s="316">
        <v>-2.9634060050187875E-3</v>
      </c>
      <c r="U76" s="316">
        <v>4.7855228106857856E-2</v>
      </c>
      <c r="V76" s="316">
        <v>1.345512261175103E-2</v>
      </c>
      <c r="W76" s="316">
        <v>0.63105893658604129</v>
      </c>
      <c r="X76" s="316">
        <v>0.13125055886806616</v>
      </c>
      <c r="Y76" s="316">
        <v>5.2951460060993168E-2</v>
      </c>
      <c r="Z76" s="316">
        <v>5.2951460060993161E-2</v>
      </c>
    </row>
    <row r="77" spans="1:26" s="312" customFormat="1">
      <c r="A77" t="s">
        <v>585</v>
      </c>
      <c r="B77">
        <v>466</v>
      </c>
      <c r="C77" s="316">
        <v>3.0350787172011676E-2</v>
      </c>
      <c r="D77" s="316">
        <v>5.917038648845608E-2</v>
      </c>
      <c r="E77" s="316">
        <v>0.12844729422330203</v>
      </c>
      <c r="F77" s="316">
        <v>0.25593640527980921</v>
      </c>
      <c r="G77" s="335">
        <v>0.79974578476434655</v>
      </c>
      <c r="H77" s="335">
        <v>0.96166577878430903</v>
      </c>
      <c r="I77" s="316">
        <v>9.8155600785795744E-2</v>
      </c>
      <c r="J77" s="316">
        <v>0.39115903920541523</v>
      </c>
      <c r="K77" s="316">
        <v>5.3699999999999998E-2</v>
      </c>
      <c r="L77" s="316">
        <v>0.28496556703926484</v>
      </c>
      <c r="M77" s="316">
        <v>8.1600411958498112E-2</v>
      </c>
      <c r="N77" s="335">
        <v>2.4827340588695663</v>
      </c>
      <c r="O77" s="335">
        <v>0.94105353885603416</v>
      </c>
      <c r="P77" s="335">
        <v>7.9391826874058795</v>
      </c>
      <c r="Q77" s="335">
        <v>14.5191592991884</v>
      </c>
      <c r="R77" s="335">
        <v>2.7936488339582581</v>
      </c>
      <c r="S77" s="335">
        <v>29.865191346067739</v>
      </c>
      <c r="T77" s="316">
        <v>6.9031743100649037E-2</v>
      </c>
      <c r="U77" s="316">
        <v>2.0623739784774324E-2</v>
      </c>
      <c r="V77" s="316">
        <v>1.2237621960182283E-2</v>
      </c>
      <c r="W77" s="316">
        <v>0.42278953217205673</v>
      </c>
      <c r="X77" s="316">
        <v>0.15390964101364635</v>
      </c>
      <c r="Y77" s="316">
        <v>0.44575546367128177</v>
      </c>
      <c r="Z77" s="316">
        <v>0.44575546367128172</v>
      </c>
    </row>
    <row r="78" spans="1:26" s="312" customFormat="1">
      <c r="A78" t="s">
        <v>586</v>
      </c>
      <c r="B78">
        <v>93</v>
      </c>
      <c r="C78" s="316">
        <v>3.6984285714285682E-3</v>
      </c>
      <c r="D78" s="316">
        <v>9.3232725621110804E-2</v>
      </c>
      <c r="E78" s="316">
        <v>9.318984431175871E-2</v>
      </c>
      <c r="F78" s="316">
        <v>0.27075212565202406</v>
      </c>
      <c r="G78" s="335">
        <v>0.70180891259155975</v>
      </c>
      <c r="H78" s="335">
        <v>0.87220735943750516</v>
      </c>
      <c r="I78" s="316">
        <v>9.1517786070262883E-2</v>
      </c>
      <c r="J78" s="316">
        <v>0.26698164170460609</v>
      </c>
      <c r="K78" s="316">
        <v>5.3699999999999998E-2</v>
      </c>
      <c r="L78" s="316">
        <v>0.32260607829599847</v>
      </c>
      <c r="M78" s="316">
        <v>7.4917256029556567E-2</v>
      </c>
      <c r="N78" s="335">
        <v>1.211588977712784</v>
      </c>
      <c r="O78" s="335">
        <v>0.9886009438621719</v>
      </c>
      <c r="P78" s="335">
        <v>6.1270748522992315</v>
      </c>
      <c r="Q78" s="335">
        <v>10.27528080150269</v>
      </c>
      <c r="R78" s="335">
        <v>1.2572793497429091</v>
      </c>
      <c r="S78" s="335">
        <v>20.865181051284694</v>
      </c>
      <c r="T78" s="316">
        <v>0.2126357934303324</v>
      </c>
      <c r="U78" s="316">
        <v>5.4169794668467171E-2</v>
      </c>
      <c r="V78" s="316">
        <v>3.7480639520713774E-2</v>
      </c>
      <c r="W78" s="316">
        <v>0.5806888177478513</v>
      </c>
      <c r="X78" s="316">
        <v>0.11154458684386788</v>
      </c>
      <c r="Y78" s="316">
        <v>0.3709828313173964</v>
      </c>
      <c r="Z78" s="316">
        <v>0.3709828313173964</v>
      </c>
    </row>
    <row r="79" spans="1:26" s="312" customFormat="1">
      <c r="A79" t="s">
        <v>587</v>
      </c>
      <c r="B79">
        <v>530</v>
      </c>
      <c r="C79" s="316">
        <v>6.4381089588377682E-2</v>
      </c>
      <c r="D79" s="316">
        <v>0.24312627830148936</v>
      </c>
      <c r="E79" s="316">
        <v>0.19200773559751216</v>
      </c>
      <c r="F79" s="316">
        <v>0.24051098085432632</v>
      </c>
      <c r="G79" s="335">
        <v>1.5889433489943721</v>
      </c>
      <c r="H79" s="335">
        <v>1.6400367026818454</v>
      </c>
      <c r="I79" s="316">
        <v>0.14849072333899294</v>
      </c>
      <c r="J79" s="316">
        <v>0.4019919293379009</v>
      </c>
      <c r="K79" s="316">
        <v>5.7499999999999996E-2</v>
      </c>
      <c r="L79" s="316">
        <v>0.13172623554773571</v>
      </c>
      <c r="M79" s="316">
        <v>0.13458099621360722</v>
      </c>
      <c r="N79" s="335">
        <v>0.85275794101646751</v>
      </c>
      <c r="O79" s="335">
        <v>2.8627274880335349</v>
      </c>
      <c r="P79" s="335">
        <v>7.6389088401095595</v>
      </c>
      <c r="Q79" s="335">
        <v>11.601579180187899</v>
      </c>
      <c r="R79" s="335">
        <v>2.7145290839664358</v>
      </c>
      <c r="S79" s="335">
        <v>45.812302214598375</v>
      </c>
      <c r="T79" s="316">
        <v>0.17457067226054337</v>
      </c>
      <c r="U79" s="316">
        <v>0.15953300359123015</v>
      </c>
      <c r="V79" s="316">
        <v>0.13255143065340116</v>
      </c>
      <c r="W79" s="316">
        <v>0.83677632571017568</v>
      </c>
      <c r="X79" s="316">
        <v>0.20769730751789212</v>
      </c>
      <c r="Y79" s="316">
        <v>0.33439874594795888</v>
      </c>
      <c r="Z79" s="316">
        <v>0.33439874594795893</v>
      </c>
    </row>
    <row r="80" spans="1:26" s="312" customFormat="1">
      <c r="A80" t="s">
        <v>588</v>
      </c>
      <c r="B80">
        <v>284</v>
      </c>
      <c r="C80" s="316">
        <v>0.12474210526315782</v>
      </c>
      <c r="D80" s="316">
        <v>0.20465547749600152</v>
      </c>
      <c r="E80" s="316">
        <v>0.21650956442350952</v>
      </c>
      <c r="F80" s="316">
        <v>0.23772971178846058</v>
      </c>
      <c r="G80" s="335">
        <v>1.7258020742872078</v>
      </c>
      <c r="H80" s="335">
        <v>1.7248506005515996</v>
      </c>
      <c r="I80" s="316">
        <v>0.15478391456092869</v>
      </c>
      <c r="J80" s="316">
        <v>0.42685530248200104</v>
      </c>
      <c r="K80" s="316">
        <v>5.7499999999999996E-2</v>
      </c>
      <c r="L80" s="316">
        <v>0.13668852124285186</v>
      </c>
      <c r="M80" s="316">
        <v>0.13948998428612755</v>
      </c>
      <c r="N80" s="335">
        <v>1.1713392123948636</v>
      </c>
      <c r="O80" s="335">
        <v>1.9633301566097743</v>
      </c>
      <c r="P80" s="335">
        <v>7.706105582467754</v>
      </c>
      <c r="Q80" s="335">
        <v>9.4626952170937084</v>
      </c>
      <c r="R80" s="335">
        <v>2.686603751740777</v>
      </c>
      <c r="S80" s="335">
        <v>22.21572043864084</v>
      </c>
      <c r="T80" s="316">
        <v>0.24379536808733812</v>
      </c>
      <c r="U80" s="316">
        <v>7.0719528947622484E-2</v>
      </c>
      <c r="V80" s="316">
        <v>5.4378482043808886E-2</v>
      </c>
      <c r="W80" s="316">
        <v>0.69784768594490632</v>
      </c>
      <c r="X80" s="316">
        <v>0.21475852155132308</v>
      </c>
      <c r="Y80" s="316">
        <v>0.27196662182291659</v>
      </c>
      <c r="Z80" s="316">
        <v>0.27196662182291664</v>
      </c>
    </row>
    <row r="81" spans="1:26" s="312" customFormat="1">
      <c r="A81" t="s">
        <v>589</v>
      </c>
      <c r="B81">
        <v>341</v>
      </c>
      <c r="C81" s="316">
        <v>3.0036098484848492E-2</v>
      </c>
      <c r="D81" s="316">
        <v>6.8825118862200871E-2</v>
      </c>
      <c r="E81" s="316">
        <v>4.0864329458337539E-2</v>
      </c>
      <c r="F81" s="316">
        <v>0.1858918605441256</v>
      </c>
      <c r="G81" s="335">
        <v>0.66507156174592263</v>
      </c>
      <c r="H81" s="335">
        <v>1.0783155821888879</v>
      </c>
      <c r="I81" s="316">
        <v>0.10681101619841549</v>
      </c>
      <c r="J81" s="316">
        <v>0.36944365025694215</v>
      </c>
      <c r="K81" s="316">
        <v>5.3699999999999998E-2</v>
      </c>
      <c r="L81" s="316">
        <v>0.51500259457688624</v>
      </c>
      <c r="M81" s="316">
        <v>7.2434172666106661E-2</v>
      </c>
      <c r="N81" s="335">
        <v>0.65892371023995588</v>
      </c>
      <c r="O81" s="335">
        <v>1.7327780628068163</v>
      </c>
      <c r="P81" s="335">
        <v>9.4356175592750589</v>
      </c>
      <c r="Q81" s="335">
        <v>24.115081207339728</v>
      </c>
      <c r="R81" s="335">
        <v>0.95084996352721596</v>
      </c>
      <c r="S81" s="335">
        <v>22.180841117831232</v>
      </c>
      <c r="T81" s="316">
        <v>5.583796402135284E-2</v>
      </c>
      <c r="U81" s="316">
        <v>0.10816083694033454</v>
      </c>
      <c r="V81" s="316">
        <v>9.9452886879624461E-2</v>
      </c>
      <c r="W81" s="316">
        <v>1.8085992464602811</v>
      </c>
      <c r="X81" s="316">
        <v>6.7403972342569146E-2</v>
      </c>
      <c r="Y81" s="316">
        <v>0.53392845118980792</v>
      </c>
      <c r="Z81" s="316">
        <v>0.53392845118980792</v>
      </c>
    </row>
    <row r="82" spans="1:26" s="312" customFormat="1">
      <c r="A82" t="s">
        <v>590</v>
      </c>
      <c r="B82">
        <v>82</v>
      </c>
      <c r="C82" s="316">
        <v>5.3827868852458936E-3</v>
      </c>
      <c r="D82" s="316">
        <v>9.3562413048070656E-2</v>
      </c>
      <c r="E82" s="316">
        <v>0.14303343331963744</v>
      </c>
      <c r="F82" s="316">
        <v>0.39223781348081638</v>
      </c>
      <c r="G82" s="335">
        <v>0.93722033030162055</v>
      </c>
      <c r="H82" s="335">
        <v>0.97133714879846145</v>
      </c>
      <c r="I82" s="316">
        <v>9.8873216440845846E-2</v>
      </c>
      <c r="J82" s="316">
        <v>0.36063848122559422</v>
      </c>
      <c r="K82" s="316">
        <v>5.3699999999999998E-2</v>
      </c>
      <c r="L82" s="316">
        <v>0.10782839569613702</v>
      </c>
      <c r="M82" s="316">
        <v>9.2531503231978909E-2</v>
      </c>
      <c r="N82" s="335">
        <v>1.8642516110370526</v>
      </c>
      <c r="O82" s="335">
        <v>2.0284708388688859</v>
      </c>
      <c r="P82" s="335">
        <v>14.501863085712102</v>
      </c>
      <c r="Q82" s="335">
        <v>21.046141066979175</v>
      </c>
      <c r="R82" s="335">
        <v>4.5081356078669925</v>
      </c>
      <c r="S82" s="335">
        <v>159.09809452669592</v>
      </c>
      <c r="T82" s="316">
        <v>0.20216467446191902</v>
      </c>
      <c r="U82" s="316">
        <v>1.6324448609584003E-2</v>
      </c>
      <c r="V82" s="316">
        <v>-7.0794247993743861E-3</v>
      </c>
      <c r="W82" s="316">
        <v>2.3733757667226543E-2</v>
      </c>
      <c r="X82" s="316">
        <v>0.12296644229118681</v>
      </c>
      <c r="Y82" s="316">
        <v>0.54193775638180308</v>
      </c>
      <c r="Z82" s="316">
        <v>0.54193775638180308</v>
      </c>
    </row>
    <row r="83" spans="1:26" s="312" customFormat="1">
      <c r="A83" t="s">
        <v>591</v>
      </c>
      <c r="B83">
        <v>262</v>
      </c>
      <c r="C83" s="316">
        <v>0.15069432989690723</v>
      </c>
      <c r="D83" s="316">
        <v>0.26407116704871408</v>
      </c>
      <c r="E83" s="316">
        <v>0.19525949335666448</v>
      </c>
      <c r="F83" s="316">
        <v>0.29485633628126079</v>
      </c>
      <c r="G83" s="335">
        <v>1.2472757421221403</v>
      </c>
      <c r="H83" s="335">
        <v>1.2366539979791682</v>
      </c>
      <c r="I83" s="316">
        <v>0.11855972665005429</v>
      </c>
      <c r="J83" s="316">
        <v>0.59167687293972049</v>
      </c>
      <c r="K83" s="316">
        <v>5.7499999999999996E-2</v>
      </c>
      <c r="L83" s="316">
        <v>3.9195473585476391E-2</v>
      </c>
      <c r="M83" s="316">
        <v>0.11559401185528981</v>
      </c>
      <c r="N83" s="335">
        <v>0.76245026576293129</v>
      </c>
      <c r="O83" s="335">
        <v>6.0624818282412605</v>
      </c>
      <c r="P83" s="335">
        <v>17.047386191665382</v>
      </c>
      <c r="Q83" s="335">
        <v>22.805605043122721</v>
      </c>
      <c r="R83" s="335">
        <v>4.6382893315610225</v>
      </c>
      <c r="S83" s="335">
        <v>54.638692363239116</v>
      </c>
      <c r="T83" s="316">
        <v>2.5828415097352529E-2</v>
      </c>
      <c r="U83" s="316">
        <v>0.144082352470495</v>
      </c>
      <c r="V83" s="316">
        <v>9.1171906290104465E-2</v>
      </c>
      <c r="W83" s="316">
        <v>0.5420900506151467</v>
      </c>
      <c r="X83" s="316">
        <v>0.171976873917984</v>
      </c>
      <c r="Y83" s="316">
        <v>4.020494683426272E-2</v>
      </c>
      <c r="Z83" s="316">
        <v>4.0204946834262678E-2</v>
      </c>
    </row>
    <row r="84" spans="1:26" s="312" customFormat="1">
      <c r="A84" t="s">
        <v>592</v>
      </c>
      <c r="B84">
        <v>131</v>
      </c>
      <c r="C84" s="316">
        <v>0.28686083333333329</v>
      </c>
      <c r="D84" s="316">
        <v>6.3933058795166142E-2</v>
      </c>
      <c r="E84" s="316">
        <v>0.11908784214260144</v>
      </c>
      <c r="F84" s="316">
        <v>0.16542553766160298</v>
      </c>
      <c r="G84" s="335">
        <v>1.0647910764908508</v>
      </c>
      <c r="H84" s="335">
        <v>1.145516787371297</v>
      </c>
      <c r="I84" s="316">
        <v>0.11179734562295025</v>
      </c>
      <c r="J84" s="316">
        <v>0.46608327369501928</v>
      </c>
      <c r="K84" s="316">
        <v>5.7499999999999996E-2</v>
      </c>
      <c r="L84" s="316">
        <v>0.15666835058430803</v>
      </c>
      <c r="M84" s="316">
        <v>0.10100252878281271</v>
      </c>
      <c r="N84" s="335">
        <v>1.7373323643443004</v>
      </c>
      <c r="O84" s="335">
        <v>3.7336620880038995</v>
      </c>
      <c r="P84" s="335">
        <v>17.727709776619573</v>
      </c>
      <c r="Q84" s="335">
        <v>37.736600943216168</v>
      </c>
      <c r="R84" s="335">
        <v>7.2172355790448632</v>
      </c>
      <c r="S84" s="335">
        <v>44.452074672958702</v>
      </c>
      <c r="T84" s="316">
        <v>5.3320477441576648E-2</v>
      </c>
      <c r="U84" s="316">
        <v>5.8010736071055412E-2</v>
      </c>
      <c r="V84" s="316">
        <v>0.12933718383409071</v>
      </c>
      <c r="W84" s="316">
        <v>2.8454635057688815</v>
      </c>
      <c r="X84" s="316">
        <v>5.9502308055768414E-2</v>
      </c>
      <c r="Y84" s="316">
        <v>0.41260831119029578</v>
      </c>
      <c r="Z84" s="316">
        <v>0.41260831119029584</v>
      </c>
    </row>
    <row r="85" spans="1:26" s="312" customFormat="1">
      <c r="A85" t="s">
        <v>593</v>
      </c>
      <c r="B85">
        <v>1272</v>
      </c>
      <c r="C85" s="316">
        <v>0.13204056716417906</v>
      </c>
      <c r="D85" s="316">
        <v>0.18948810227115301</v>
      </c>
      <c r="E85" s="316">
        <v>0.16172192908745864</v>
      </c>
      <c r="F85" s="316">
        <v>0.41621367206970089</v>
      </c>
      <c r="G85" s="335">
        <v>1.1783224420185525</v>
      </c>
      <c r="H85" s="335">
        <v>1.2271842205401642</v>
      </c>
      <c r="I85" s="316">
        <v>0.11785706916408019</v>
      </c>
      <c r="J85" s="316">
        <v>0.51092850545927615</v>
      </c>
      <c r="K85" s="316">
        <v>5.7499999999999996E-2</v>
      </c>
      <c r="L85" s="316">
        <v>0.10670021566191046</v>
      </c>
      <c r="M85" s="316">
        <v>0.10985860021780978</v>
      </c>
      <c r="N85" s="335">
        <v>0.86854547453052944</v>
      </c>
      <c r="O85" s="335">
        <v>5.9814180909546701</v>
      </c>
      <c r="P85" s="335">
        <v>19.890226001723704</v>
      </c>
      <c r="Q85" s="335">
        <v>28.682444613171011</v>
      </c>
      <c r="R85" s="335">
        <v>6.3487392090334591</v>
      </c>
      <c r="S85" s="335">
        <v>121.9349200856489</v>
      </c>
      <c r="T85" s="316">
        <v>0.13704430306811013</v>
      </c>
      <c r="U85" s="316">
        <v>5.6974322519800953E-2</v>
      </c>
      <c r="V85" s="316">
        <v>8.2824265852774803E-2</v>
      </c>
      <c r="W85" s="316">
        <v>0.88999341826109968</v>
      </c>
      <c r="X85" s="316">
        <v>0.13069550958732967</v>
      </c>
      <c r="Y85" s="316">
        <v>0.51433376686979881</v>
      </c>
      <c r="Z85" s="316">
        <v>0.51433376686979881</v>
      </c>
    </row>
    <row r="86" spans="1:26" s="312" customFormat="1">
      <c r="A86" t="s">
        <v>594</v>
      </c>
      <c r="B86">
        <v>701</v>
      </c>
      <c r="C86" s="316">
        <v>2.8879582577132513E-2</v>
      </c>
      <c r="D86" s="316">
        <v>9.3139194204128445E-2</v>
      </c>
      <c r="E86" s="316">
        <v>8.3350673650806423E-2</v>
      </c>
      <c r="F86" s="316">
        <v>0.18115095181387023</v>
      </c>
      <c r="G86" s="335">
        <v>0.89056463230221217</v>
      </c>
      <c r="H86" s="335">
        <v>1.2120352918361299</v>
      </c>
      <c r="I86" s="316">
        <v>0.11673301865424085</v>
      </c>
      <c r="J86" s="316">
        <v>0.40367221878553033</v>
      </c>
      <c r="K86" s="316">
        <v>5.7499999999999996E-2</v>
      </c>
      <c r="L86" s="316">
        <v>0.40476013381941411</v>
      </c>
      <c r="M86" s="316">
        <v>8.684633234278992E-2</v>
      </c>
      <c r="N86" s="335">
        <v>1.0306752032168338</v>
      </c>
      <c r="O86" s="335">
        <v>0.74472360745122546</v>
      </c>
      <c r="P86" s="335">
        <v>5.0461227088556493</v>
      </c>
      <c r="Q86" s="335">
        <v>7.6724824934631544</v>
      </c>
      <c r="R86" s="335">
        <v>0.87463664591685664</v>
      </c>
      <c r="S86" s="335">
        <v>33.43253026676387</v>
      </c>
      <c r="T86" s="316">
        <v>0.14758688497253766</v>
      </c>
      <c r="U86" s="316">
        <v>4.2503903715473107E-2</v>
      </c>
      <c r="V86" s="316">
        <v>1.9367537978776887E-2</v>
      </c>
      <c r="W86" s="316">
        <v>0.55214777555946137</v>
      </c>
      <c r="X86" s="316">
        <v>8.6366894796502031E-2</v>
      </c>
      <c r="Y86" s="316">
        <v>0.36065899763525355</v>
      </c>
      <c r="Z86" s="316">
        <v>0.36065899763525355</v>
      </c>
    </row>
    <row r="87" spans="1:26" s="312" customFormat="1">
      <c r="A87" t="s">
        <v>595</v>
      </c>
      <c r="B87">
        <v>107</v>
      </c>
      <c r="C87" s="316">
        <v>2.2416973684210535E-2</v>
      </c>
      <c r="D87" s="316">
        <v>0.13705524764968186</v>
      </c>
      <c r="E87" s="316">
        <v>9.301379488108831E-2</v>
      </c>
      <c r="F87" s="316">
        <v>0.22222342661936662</v>
      </c>
      <c r="G87" s="335">
        <v>0.69099771409674782</v>
      </c>
      <c r="H87" s="335">
        <v>0.990665394522942</v>
      </c>
      <c r="I87" s="316">
        <v>0.1003073722736023</v>
      </c>
      <c r="J87" s="316">
        <v>0.33314313897134468</v>
      </c>
      <c r="K87" s="316">
        <v>5.3699999999999998E-2</v>
      </c>
      <c r="L87" s="316">
        <v>0.40722427044901965</v>
      </c>
      <c r="M87" s="316">
        <v>7.57732614978682E-2</v>
      </c>
      <c r="N87" s="335">
        <v>0.72351018459716998</v>
      </c>
      <c r="O87" s="335">
        <v>2.1239636511301785</v>
      </c>
      <c r="P87" s="335">
        <v>6.1888272848721195</v>
      </c>
      <c r="Q87" s="335">
        <v>14.280901858291559</v>
      </c>
      <c r="R87" s="335">
        <v>1.4874401469204139</v>
      </c>
      <c r="S87" s="335">
        <v>31.431767840482568</v>
      </c>
      <c r="T87" s="316">
        <v>1.458764816137392E-3</v>
      </c>
      <c r="U87" s="316">
        <v>0.11867238412478986</v>
      </c>
      <c r="V87" s="316">
        <v>-1.0341553454290437E-2</v>
      </c>
      <c r="W87" s="316">
        <v>5.4884307635566676E-2</v>
      </c>
      <c r="X87" s="316">
        <v>0.11213379514135517</v>
      </c>
      <c r="Y87" s="316">
        <v>0.55698179017358207</v>
      </c>
      <c r="Z87" s="316">
        <v>0.55698179017358207</v>
      </c>
    </row>
    <row r="88" spans="1:26" s="312" customFormat="1">
      <c r="A88" t="s">
        <v>596</v>
      </c>
      <c r="B88">
        <v>493</v>
      </c>
      <c r="C88" s="316">
        <v>8.840561403508769E-2</v>
      </c>
      <c r="D88" s="316">
        <v>9.2713585904753315E-2</v>
      </c>
      <c r="E88" s="316">
        <v>8.2753941128664077E-2</v>
      </c>
      <c r="F88" s="316">
        <v>0.67176148681347236</v>
      </c>
      <c r="G88" s="335">
        <v>1.2825820889812123</v>
      </c>
      <c r="H88" s="335">
        <v>1.3298637748317172</v>
      </c>
      <c r="I88" s="316">
        <v>0.12547589209251342</v>
      </c>
      <c r="J88" s="316">
        <v>0.43243395337579055</v>
      </c>
      <c r="K88" s="316">
        <v>5.7499999999999996E-2</v>
      </c>
      <c r="L88" s="316">
        <v>0.14902339880441182</v>
      </c>
      <c r="M88" s="316">
        <v>0.11316940687658669</v>
      </c>
      <c r="N88" s="335">
        <v>0.96959058251079833</v>
      </c>
      <c r="O88" s="335">
        <v>2.1937413868275741</v>
      </c>
      <c r="P88" s="335">
        <v>14.336117914629234</v>
      </c>
      <c r="Q88" s="335">
        <v>21.925850898335842</v>
      </c>
      <c r="R88" s="335">
        <v>3.0312061912149648</v>
      </c>
      <c r="S88" s="335">
        <v>49.009192354149995</v>
      </c>
      <c r="T88" s="316">
        <v>0.20609140510202986</v>
      </c>
      <c r="U88" s="316">
        <v>3.8273490059164673E-2</v>
      </c>
      <c r="V88" s="316">
        <v>5.3131627068432101E-2</v>
      </c>
      <c r="W88" s="316">
        <v>1.1647288763561228</v>
      </c>
      <c r="X88" s="316">
        <v>2.2546718399316036E-3</v>
      </c>
      <c r="Y88" s="316">
        <v>4.8041231201549073E-3</v>
      </c>
      <c r="Z88" s="316">
        <v>4.8041231201548795E-3</v>
      </c>
    </row>
    <row r="89" spans="1:26" s="312" customFormat="1">
      <c r="A89" t="s">
        <v>597</v>
      </c>
      <c r="B89">
        <v>317</v>
      </c>
      <c r="C89" s="316">
        <v>9.3456323529411772E-2</v>
      </c>
      <c r="D89" s="316">
        <v>0.1507242463184674</v>
      </c>
      <c r="E89" s="316">
        <v>0.12710311973438801</v>
      </c>
      <c r="F89" s="316">
        <v>0.16884272967153807</v>
      </c>
      <c r="G89" s="335">
        <v>0.66244443323881774</v>
      </c>
      <c r="H89" s="335">
        <v>0.98602393752857953</v>
      </c>
      <c r="I89" s="316">
        <v>9.9962976164620604E-2</v>
      </c>
      <c r="J89" s="316">
        <v>0.37401359717937183</v>
      </c>
      <c r="K89" s="316">
        <v>5.3699999999999998E-2</v>
      </c>
      <c r="L89" s="316">
        <v>0.42088572718656658</v>
      </c>
      <c r="M89" s="316">
        <v>7.4750752658080136E-2</v>
      </c>
      <c r="N89" s="335">
        <v>0.94934567359792321</v>
      </c>
      <c r="O89" s="335">
        <v>2.0977434825725894</v>
      </c>
      <c r="P89" s="335">
        <v>6.1920626625678805</v>
      </c>
      <c r="Q89" s="335">
        <v>13.365738180667401</v>
      </c>
      <c r="R89" s="335">
        <v>1.5795114243809651</v>
      </c>
      <c r="S89" s="335">
        <v>30.913604541831742</v>
      </c>
      <c r="T89" s="316">
        <v>2.0535190261351356E-2</v>
      </c>
      <c r="U89" s="316">
        <v>0.12414115434902617</v>
      </c>
      <c r="V89" s="316">
        <v>7.4175592076433138E-3</v>
      </c>
      <c r="W89" s="316">
        <v>0.14094168502197341</v>
      </c>
      <c r="X89" s="316">
        <v>0.17328350820518468</v>
      </c>
      <c r="Y89" s="316">
        <v>0.57397980580081143</v>
      </c>
      <c r="Z89" s="316">
        <v>0.57397980580081143</v>
      </c>
    </row>
    <row r="90" spans="1:26" s="312" customFormat="1">
      <c r="A90" t="s">
        <v>598</v>
      </c>
      <c r="B90">
        <v>52</v>
      </c>
      <c r="C90" s="316">
        <v>7.2495641025641017E-2</v>
      </c>
      <c r="D90" s="316">
        <v>0.31799205072788211</v>
      </c>
      <c r="E90" s="316">
        <v>0.40615033772471465</v>
      </c>
      <c r="F90" s="316">
        <v>0.10563141233011625</v>
      </c>
      <c r="G90" s="335">
        <v>0.77352436235204747</v>
      </c>
      <c r="H90" s="335">
        <v>0.91693641616186339</v>
      </c>
      <c r="I90" s="316">
        <v>9.4836682079210269E-2</v>
      </c>
      <c r="J90" s="316">
        <v>0.3178324794533961</v>
      </c>
      <c r="K90" s="316">
        <v>5.3699999999999998E-2</v>
      </c>
      <c r="L90" s="316">
        <v>0.22977740935561874</v>
      </c>
      <c r="M90" s="316">
        <v>8.2250283933434865E-2</v>
      </c>
      <c r="N90" s="335">
        <v>1.5227462610268219</v>
      </c>
      <c r="O90" s="335">
        <v>3.8257296253041391</v>
      </c>
      <c r="P90" s="335">
        <v>10.583191936473913</v>
      </c>
      <c r="Q90" s="335">
        <v>11.968832752561296</v>
      </c>
      <c r="R90" s="335">
        <v>3.4546458925698147</v>
      </c>
      <c r="S90" s="335">
        <v>24.924137760938702</v>
      </c>
      <c r="T90" s="316">
        <v>0.16619004050658343</v>
      </c>
      <c r="U90" s="316">
        <v>3.6966902323033533E-2</v>
      </c>
      <c r="V90" s="316">
        <v>0.17868992613003012</v>
      </c>
      <c r="W90" s="316">
        <v>0.68975444946528275</v>
      </c>
      <c r="X90" s="316">
        <v>-8.7498617018006125E-4</v>
      </c>
      <c r="Y90" s="316">
        <v>0.31216523023118919</v>
      </c>
      <c r="Z90" s="316">
        <v>0.31216523023118925</v>
      </c>
    </row>
    <row r="91" spans="1:26" s="312" customFormat="1">
      <c r="A91" t="s">
        <v>599</v>
      </c>
      <c r="B91">
        <v>261</v>
      </c>
      <c r="C91" s="316">
        <v>0.12193851851851849</v>
      </c>
      <c r="D91" s="316">
        <v>7.750248618428697E-2</v>
      </c>
      <c r="E91" s="316">
        <v>0.13672238966531366</v>
      </c>
      <c r="F91" s="316">
        <v>0.18193875921423808</v>
      </c>
      <c r="G91" s="335">
        <v>0.80289841495346659</v>
      </c>
      <c r="H91" s="335">
        <v>1.0554273545660537</v>
      </c>
      <c r="I91" s="316">
        <v>0.1051127097088012</v>
      </c>
      <c r="J91" s="316">
        <v>0.32517883035918826</v>
      </c>
      <c r="K91" s="316">
        <v>5.3699999999999998E-2</v>
      </c>
      <c r="L91" s="316">
        <v>0.374007660987629</v>
      </c>
      <c r="M91" s="316">
        <v>8.0782572711237427E-2</v>
      </c>
      <c r="N91" s="335">
        <v>2.0819729078872427</v>
      </c>
      <c r="O91" s="335">
        <v>1.0964222352034401</v>
      </c>
      <c r="P91" s="335">
        <v>8.2880462435387372</v>
      </c>
      <c r="Q91" s="335">
        <v>13.426482308580052</v>
      </c>
      <c r="R91" s="335">
        <v>1.6451359985538101</v>
      </c>
      <c r="S91" s="335">
        <v>56.972591590295828</v>
      </c>
      <c r="T91" s="316">
        <v>4.0785070164462887E-2</v>
      </c>
      <c r="U91" s="316">
        <v>5.1672739967798462E-2</v>
      </c>
      <c r="V91" s="316">
        <v>1.6111931291420502E-2</v>
      </c>
      <c r="W91" s="316">
        <v>0.40618528728360126</v>
      </c>
      <c r="X91" s="316">
        <v>0.16792228186255095</v>
      </c>
      <c r="Y91" s="316">
        <v>0.45038180023782792</v>
      </c>
      <c r="Z91" s="316">
        <v>0.45038180023782792</v>
      </c>
    </row>
    <row r="92" spans="1:26" s="312" customFormat="1">
      <c r="A92" t="s">
        <v>600</v>
      </c>
      <c r="B92">
        <v>51</v>
      </c>
      <c r="C92" s="316">
        <v>5.3288604651162801E-2</v>
      </c>
      <c r="D92" s="316">
        <v>0.2291722772595047</v>
      </c>
      <c r="E92" s="316">
        <v>9.7070139441398973E-2</v>
      </c>
      <c r="F92" s="316">
        <v>0.12339268727251657</v>
      </c>
      <c r="G92" s="335">
        <v>0.90749395217399775</v>
      </c>
      <c r="H92" s="335">
        <v>1.1571230042095941</v>
      </c>
      <c r="I92" s="316">
        <v>0.1126585269123519</v>
      </c>
      <c r="J92" s="316">
        <v>0.20714670304496527</v>
      </c>
      <c r="K92" s="316">
        <v>4.7699999999999999E-2</v>
      </c>
      <c r="L92" s="316">
        <v>0.29272186864833327</v>
      </c>
      <c r="M92" s="316">
        <v>9.009718591375572E-2</v>
      </c>
      <c r="N92" s="335">
        <v>0.52487737739098173</v>
      </c>
      <c r="O92" s="335">
        <v>3.4574433140234277</v>
      </c>
      <c r="P92" s="335">
        <v>10.20105484093129</v>
      </c>
      <c r="Q92" s="335">
        <v>14.823208883523122</v>
      </c>
      <c r="R92" s="335">
        <v>2.2525824952967821</v>
      </c>
      <c r="S92" s="335">
        <v>40.146601838879768</v>
      </c>
      <c r="T92" s="316">
        <v>0.10603024412145549</v>
      </c>
      <c r="U92" s="316">
        <v>0.15615671243405566</v>
      </c>
      <c r="V92" s="316">
        <v>0.10023532307835836</v>
      </c>
      <c r="W92" s="316">
        <v>0.53265520351440687</v>
      </c>
      <c r="X92" s="316">
        <v>0.22817323156450839</v>
      </c>
      <c r="Y92" s="316">
        <v>0.19373488190435739</v>
      </c>
      <c r="Z92" s="316">
        <v>0.19373488190435739</v>
      </c>
    </row>
    <row r="93" spans="1:26" s="312" customFormat="1">
      <c r="A93" t="s">
        <v>601</v>
      </c>
      <c r="B93">
        <v>205</v>
      </c>
      <c r="C93" s="316">
        <v>6.1409276315789477E-2</v>
      </c>
      <c r="D93" s="316">
        <v>6.5423072545252828E-2</v>
      </c>
      <c r="E93" s="316">
        <v>7.7286468176222436E-2</v>
      </c>
      <c r="F93" s="316">
        <v>0.18538680610966765</v>
      </c>
      <c r="G93" s="335">
        <v>0.56643531653177803</v>
      </c>
      <c r="H93" s="335">
        <v>0.92223188249954591</v>
      </c>
      <c r="I93" s="316">
        <v>9.5229605681466309E-2</v>
      </c>
      <c r="J93" s="316">
        <v>0.32840789362321687</v>
      </c>
      <c r="K93" s="316">
        <v>5.3699999999999998E-2</v>
      </c>
      <c r="L93" s="316">
        <v>0.49257433792253391</v>
      </c>
      <c r="M93" s="316">
        <v>6.8054572204338359E-2</v>
      </c>
      <c r="N93" s="335">
        <v>1.2998587144813487</v>
      </c>
      <c r="O93" s="335">
        <v>1.1453255815184948</v>
      </c>
      <c r="P93" s="335">
        <v>8.2080423967531271</v>
      </c>
      <c r="Q93" s="335">
        <v>15.65309993549435</v>
      </c>
      <c r="R93" s="335">
        <v>1.5745384898455694</v>
      </c>
      <c r="S93" s="335">
        <v>20.262026339745358</v>
      </c>
      <c r="T93" s="316">
        <v>7.9971447257548983E-2</v>
      </c>
      <c r="U93" s="316">
        <v>9.6215236893176667E-2</v>
      </c>
      <c r="V93" s="316">
        <v>6.9441133597685237E-2</v>
      </c>
      <c r="W93" s="316">
        <v>1.2804949629082689</v>
      </c>
      <c r="X93" s="316">
        <v>0.14506857391365044</v>
      </c>
      <c r="Y93" s="316">
        <v>0.19542414385071233</v>
      </c>
      <c r="Z93" s="316">
        <v>0.19542414385071227</v>
      </c>
    </row>
    <row r="94" spans="1:26" s="312" customFormat="1">
      <c r="A94" t="s">
        <v>602</v>
      </c>
      <c r="B94">
        <v>54</v>
      </c>
      <c r="C94" s="316">
        <v>2.3117346938775509E-2</v>
      </c>
      <c r="D94" s="316">
        <v>0.10383416066220885</v>
      </c>
      <c r="E94" s="316">
        <v>7.296427552634499E-2</v>
      </c>
      <c r="F94" s="316">
        <v>0.16359702676079912</v>
      </c>
      <c r="G94" s="335">
        <v>0.38337966023127468</v>
      </c>
      <c r="H94" s="335">
        <v>0.60873720971516443</v>
      </c>
      <c r="I94" s="316">
        <v>7.1968300960865206E-2</v>
      </c>
      <c r="J94" s="316">
        <v>0.20935619281558507</v>
      </c>
      <c r="K94" s="316">
        <v>4.7699999999999999E-2</v>
      </c>
      <c r="L94" s="316">
        <v>0.47088951906222382</v>
      </c>
      <c r="M94" s="316">
        <v>5.4835409157891993E-2</v>
      </c>
      <c r="N94" s="335">
        <v>0.85358930758193918</v>
      </c>
      <c r="O94" s="335">
        <v>1.7342549496686466</v>
      </c>
      <c r="P94" s="335">
        <v>9.4292700064649022</v>
      </c>
      <c r="Q94" s="335">
        <v>16.574663889428795</v>
      </c>
      <c r="R94" s="335">
        <v>1.4670486505580824</v>
      </c>
      <c r="S94" s="335">
        <v>19.546941157799811</v>
      </c>
      <c r="T94" s="316">
        <v>2.0490289761429165E-2</v>
      </c>
      <c r="U94" s="316">
        <v>0.12735992717890102</v>
      </c>
      <c r="V94" s="316">
        <v>6.5259464958064062E-2</v>
      </c>
      <c r="W94" s="316">
        <v>0.74897270083945522</v>
      </c>
      <c r="X94" s="316">
        <v>0.11326811559882603</v>
      </c>
      <c r="Y94" s="316">
        <v>0.7378838813453874</v>
      </c>
      <c r="Z94" s="316">
        <v>0.7378838813453874</v>
      </c>
    </row>
    <row r="95" spans="1:26" s="312" customFormat="1">
      <c r="A95" t="s">
        <v>603</v>
      </c>
      <c r="B95">
        <v>102</v>
      </c>
      <c r="C95" s="316">
        <v>0.13417772727272725</v>
      </c>
      <c r="D95" s="316">
        <v>0.27299220753768338</v>
      </c>
      <c r="E95" s="316">
        <v>7.632142680348375E-2</v>
      </c>
      <c r="F95" s="316">
        <v>0.2249301652222587</v>
      </c>
      <c r="G95" s="335">
        <v>0.65151500811731455</v>
      </c>
      <c r="H95" s="335">
        <v>0.9328763252216562</v>
      </c>
      <c r="I95" s="316">
        <v>9.601942333144689E-2</v>
      </c>
      <c r="J95" s="316">
        <v>0.30629415860162873</v>
      </c>
      <c r="K95" s="316">
        <v>5.3699999999999998E-2</v>
      </c>
      <c r="L95" s="316">
        <v>0.41236878470577515</v>
      </c>
      <c r="M95" s="316">
        <v>7.2943586413179079E-2</v>
      </c>
      <c r="N95" s="335">
        <v>0.33494161989727078</v>
      </c>
      <c r="O95" s="335">
        <v>4.5203546938844958</v>
      </c>
      <c r="P95" s="335">
        <v>11.428863486444765</v>
      </c>
      <c r="Q95" s="335">
        <v>16.47451487214958</v>
      </c>
      <c r="R95" s="335">
        <v>1.6142054272219002</v>
      </c>
      <c r="S95" s="335">
        <v>48.065219329753909</v>
      </c>
      <c r="T95" s="316">
        <v>4.2492851498945827E-2</v>
      </c>
      <c r="U95" s="316">
        <v>0.23479905242407781</v>
      </c>
      <c r="V95" s="316">
        <v>0.14979071509458425</v>
      </c>
      <c r="W95" s="316">
        <v>1.1305652990825985</v>
      </c>
      <c r="X95" s="316">
        <v>0.12090453459493833</v>
      </c>
      <c r="Y95" s="316">
        <v>0.66409316731202273</v>
      </c>
      <c r="Z95" s="316">
        <v>0.4194827974296147</v>
      </c>
    </row>
    <row r="96" spans="1:26">
      <c r="A96" t="s">
        <v>752</v>
      </c>
      <c r="B96">
        <v>43848</v>
      </c>
      <c r="C96" s="316">
        <v>8.6543746410813333E-2</v>
      </c>
      <c r="D96" s="316">
        <v>9.6313040348299753E-2</v>
      </c>
      <c r="E96" s="316">
        <v>6.3851173190945479E-2</v>
      </c>
      <c r="F96" s="316">
        <v>0.24154682394094026</v>
      </c>
      <c r="G96" s="335">
        <v>0.78639635673126307</v>
      </c>
      <c r="H96" s="335">
        <v>1.0959412585834167</v>
      </c>
      <c r="I96" s="316">
        <v>0.10811884138688953</v>
      </c>
      <c r="J96" s="316">
        <v>0.40113536494291818</v>
      </c>
      <c r="K96" s="316">
        <v>5.7499999999999996E-2</v>
      </c>
      <c r="L96" s="316">
        <v>0.4457259185942144</v>
      </c>
      <c r="M96" s="316">
        <v>7.9046884770474848E-2</v>
      </c>
      <c r="N96" s="335">
        <v>0.7563473682916535</v>
      </c>
      <c r="O96" s="335">
        <v>1.9862808144549662</v>
      </c>
      <c r="P96" s="335">
        <v>12.050000845628224</v>
      </c>
      <c r="Q96" s="335">
        <v>19.129608461245684</v>
      </c>
      <c r="R96" s="335">
        <v>1.6390012478000731</v>
      </c>
      <c r="S96" s="335">
        <v>61.097928834029126</v>
      </c>
      <c r="T96" s="316">
        <v>-1.1515711203711696</v>
      </c>
      <c r="U96" s="316">
        <v>5.763009662063627E-2</v>
      </c>
      <c r="V96" s="316">
        <v>3.9369776359608435E-2</v>
      </c>
      <c r="W96" s="316">
        <v>0.73225615370406094</v>
      </c>
      <c r="X96" s="316">
        <v>0.12090453459493833</v>
      </c>
      <c r="Y96" s="316">
        <v>0.4194827974296147</v>
      </c>
      <c r="Z96" s="316">
        <v>0.4194827974296147</v>
      </c>
    </row>
    <row r="97" spans="1:26">
      <c r="A97" t="s">
        <v>753</v>
      </c>
      <c r="B97">
        <v>39174</v>
      </c>
      <c r="C97" s="316">
        <v>8.183892701393182E-2</v>
      </c>
      <c r="D97" s="316">
        <v>0.10162574677278435</v>
      </c>
      <c r="E97" s="316">
        <v>0.10482763056155846</v>
      </c>
      <c r="F97" s="316">
        <v>0.23728142112462339</v>
      </c>
      <c r="G97" s="335">
        <v>0.91864109217374168</v>
      </c>
      <c r="H97" s="335">
        <v>1.1298145277600451</v>
      </c>
      <c r="I97" s="316">
        <v>0.11063223795979535</v>
      </c>
      <c r="J97" s="316">
        <v>0.41214512129642089</v>
      </c>
      <c r="K97" s="316">
        <v>5.7499999999999996E-2</v>
      </c>
      <c r="L97" s="316">
        <v>0.30447148431061943</v>
      </c>
      <c r="M97" s="316">
        <v>9.0008180575074814E-2</v>
      </c>
      <c r="N97" s="335">
        <v>1.1714506865229484</v>
      </c>
      <c r="O97" s="335">
        <v>1.5910981094721199</v>
      </c>
      <c r="P97" s="335">
        <v>9.3306162234662917</v>
      </c>
      <c r="Q97" s="335">
        <v>15.06473470367534</v>
      </c>
      <c r="R97" s="335">
        <v>1.8883573771952042</v>
      </c>
      <c r="S97" s="335">
        <v>64.206492483979389</v>
      </c>
      <c r="T97" s="316">
        <v>0.10933563158682039</v>
      </c>
      <c r="U97" s="316">
        <v>6.1484001387244983E-2</v>
      </c>
      <c r="V97" s="316">
        <v>4.0231151676538637E-2</v>
      </c>
      <c r="W97" s="316">
        <v>0.69453856028079641</v>
      </c>
      <c r="X97" s="316">
        <v>0.12663483499138178</v>
      </c>
      <c r="Y97" s="316">
        <v>0.44311047108622542</v>
      </c>
      <c r="Z97" s="316">
        <v>0.44311047108622548</v>
      </c>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160" zoomScaleNormal="160" workbookViewId="0">
      <selection activeCell="A5" sqref="A5"/>
    </sheetView>
  </sheetViews>
  <sheetFormatPr defaultColWidth="11" defaultRowHeight="11.4"/>
  <cols>
    <col min="1" max="1" width="49" customWidth="1"/>
    <col min="2" max="2" width="16" style="181" customWidth="1"/>
    <col min="3" max="3" width="28.75" style="181" customWidth="1"/>
    <col min="4" max="4" width="29.25" style="181" customWidth="1"/>
    <col min="5" max="5" width="14.125" bestFit="1" customWidth="1"/>
  </cols>
  <sheetData>
    <row r="1" spans="1:5">
      <c r="B1" s="161" t="s">
        <v>396</v>
      </c>
      <c r="C1" s="161" t="s">
        <v>428</v>
      </c>
      <c r="D1" s="161" t="s">
        <v>429</v>
      </c>
      <c r="E1" s="200" t="s">
        <v>397</v>
      </c>
    </row>
    <row r="2" spans="1:5" ht="12.6">
      <c r="A2" s="60" t="s">
        <v>11</v>
      </c>
      <c r="B2" s="183">
        <v>15794.34</v>
      </c>
      <c r="C2" s="183">
        <v>7608.13</v>
      </c>
      <c r="D2" s="183">
        <v>9444.11</v>
      </c>
      <c r="E2" s="431">
        <f>B2-C2+D2</f>
        <v>17630.32</v>
      </c>
    </row>
    <row r="3" spans="1:5" ht="12.6">
      <c r="A3" s="60" t="s">
        <v>755</v>
      </c>
      <c r="B3" s="201">
        <v>1221.81</v>
      </c>
      <c r="C3" s="201">
        <v>581.41</v>
      </c>
      <c r="D3" s="201">
        <v>756</v>
      </c>
      <c r="E3" s="202">
        <f>B3-C3+D3</f>
        <v>1396.4</v>
      </c>
    </row>
    <row r="4" spans="1:5" ht="12.6">
      <c r="A4" s="60" t="s">
        <v>29</v>
      </c>
      <c r="B4" s="201">
        <v>1605.23</v>
      </c>
      <c r="C4" s="201">
        <v>908.79</v>
      </c>
      <c r="D4" s="201">
        <v>1165.5</v>
      </c>
      <c r="E4" s="202">
        <f>B4-C4+D4</f>
        <v>1861.94</v>
      </c>
    </row>
    <row r="5" spans="1:5" ht="12.6">
      <c r="A5" s="60" t="s">
        <v>440</v>
      </c>
      <c r="B5" s="201">
        <v>420.49</v>
      </c>
      <c r="C5" s="201">
        <v>182.82</v>
      </c>
      <c r="D5" s="201">
        <v>287.56</v>
      </c>
      <c r="E5" s="202">
        <f>B5-C5+D5</f>
        <v>525.23</v>
      </c>
    </row>
    <row r="6" spans="1:5" ht="12.6">
      <c r="A6" s="60" t="s">
        <v>30</v>
      </c>
      <c r="B6" s="201">
        <v>5238.7700000000004</v>
      </c>
      <c r="C6" s="201"/>
      <c r="D6" s="201">
        <v>6105.55</v>
      </c>
      <c r="E6" s="202"/>
    </row>
    <row r="7" spans="1:5" ht="12.6">
      <c r="A7" s="60" t="s">
        <v>31</v>
      </c>
      <c r="B7" s="201">
        <v>10360</v>
      </c>
      <c r="C7" s="201"/>
      <c r="D7" s="201">
        <v>12594.14</v>
      </c>
      <c r="E7" s="202"/>
    </row>
    <row r="8" spans="1:5" ht="12.6">
      <c r="A8" s="60" t="s">
        <v>246</v>
      </c>
      <c r="B8" s="201"/>
      <c r="C8" s="201"/>
      <c r="D8" s="201"/>
      <c r="E8" s="202"/>
    </row>
    <row r="9" spans="1:5" ht="12.6">
      <c r="A9" s="60" t="s">
        <v>247</v>
      </c>
      <c r="B9" s="201">
        <v>3794.48</v>
      </c>
      <c r="C9" s="201"/>
      <c r="D9" s="201">
        <v>5004.25</v>
      </c>
      <c r="E9" s="202"/>
    </row>
    <row r="10" spans="1:5" ht="12.6">
      <c r="A10" s="60" t="s">
        <v>388</v>
      </c>
      <c r="B10" s="201">
        <v>0</v>
      </c>
      <c r="C10" s="201"/>
      <c r="D10" s="201">
        <v>0</v>
      </c>
      <c r="E10" s="202"/>
    </row>
    <row r="11" spans="1:5" ht="12.6">
      <c r="A11" s="60" t="s">
        <v>392</v>
      </c>
      <c r="B11" s="201">
        <v>0</v>
      </c>
      <c r="C11" s="201"/>
      <c r="D11" s="201">
        <v>0</v>
      </c>
      <c r="E11" s="202"/>
    </row>
    <row r="12" spans="1:5" ht="12.6">
      <c r="A12" s="60" t="s">
        <v>32</v>
      </c>
      <c r="B12" s="201"/>
      <c r="C12" s="201"/>
      <c r="D12" s="201"/>
      <c r="E12" s="202"/>
    </row>
    <row r="13" spans="1:5" ht="12.6">
      <c r="A13" s="60" t="s">
        <v>33</v>
      </c>
      <c r="B13" s="203"/>
      <c r="C13" s="201"/>
      <c r="D13" s="201"/>
      <c r="E13" s="202"/>
    </row>
    <row r="14" spans="1:5" ht="12.6">
      <c r="A14" s="60" t="s">
        <v>106</v>
      </c>
      <c r="B14" s="182">
        <f>15885/61372</f>
        <v>0.25883138890699342</v>
      </c>
      <c r="C14" s="182">
        <f>6965/27030</f>
        <v>0.25767665556788755</v>
      </c>
      <c r="D14" s="182">
        <f>3941/23906</f>
        <v>0.16485401154521878</v>
      </c>
      <c r="E14" s="1"/>
    </row>
    <row r="15" spans="1:5" ht="12.6">
      <c r="A15" s="60" t="s">
        <v>107</v>
      </c>
      <c r="B15" s="161"/>
      <c r="C15" s="161"/>
      <c r="D15" s="161"/>
      <c r="E15" s="1"/>
    </row>
    <row r="16" spans="1:5" s="2" customFormat="1" ht="12.6">
      <c r="A16" s="225" t="s">
        <v>398</v>
      </c>
      <c r="B16" s="226"/>
      <c r="C16" s="226"/>
      <c r="D16" s="226"/>
      <c r="E16" s="227"/>
    </row>
    <row r="17" spans="1:5" ht="12.6">
      <c r="A17" s="63" t="s">
        <v>399</v>
      </c>
      <c r="B17" s="319">
        <v>172.47</v>
      </c>
      <c r="C17" s="204"/>
      <c r="D17" s="204" t="s">
        <v>100</v>
      </c>
      <c r="E17" s="205"/>
    </row>
    <row r="18" spans="1:5" ht="12.6">
      <c r="A18" s="63" t="s">
        <v>400</v>
      </c>
      <c r="B18" s="319">
        <v>139.4</v>
      </c>
      <c r="C18" s="430" t="s">
        <v>663</v>
      </c>
      <c r="D18" s="204" t="s">
        <v>100</v>
      </c>
      <c r="E18" s="205"/>
    </row>
    <row r="19" spans="1:5" ht="12.6">
      <c r="A19" s="63" t="s">
        <v>401</v>
      </c>
      <c r="B19" s="319">
        <v>145.18</v>
      </c>
      <c r="C19" s="430"/>
      <c r="D19" s="204" t="s">
        <v>100</v>
      </c>
      <c r="E19" s="205"/>
    </row>
    <row r="20" spans="1:5" ht="12.6">
      <c r="A20" s="63" t="s">
        <v>402</v>
      </c>
      <c r="B20" s="319">
        <v>156.53</v>
      </c>
      <c r="C20" s="430"/>
      <c r="D20" s="204" t="s">
        <v>100</v>
      </c>
      <c r="E20" s="205"/>
    </row>
    <row r="21" spans="1:5" ht="12.6">
      <c r="A21" s="63" t="s">
        <v>403</v>
      </c>
      <c r="B21" s="319">
        <v>151.19999999999999</v>
      </c>
      <c r="C21" s="430"/>
      <c r="D21" s="204" t="s">
        <v>100</v>
      </c>
      <c r="E21" s="205"/>
    </row>
    <row r="22" spans="1:5" ht="13.8">
      <c r="A22" s="63" t="s">
        <v>404</v>
      </c>
      <c r="B22" s="318">
        <v>943.63</v>
      </c>
      <c r="C22" s="430"/>
      <c r="D22" s="204" t="s">
        <v>100</v>
      </c>
      <c r="E22" s="205"/>
    </row>
    <row r="23" spans="1:5">
      <c r="B23" s="183"/>
      <c r="C23" s="430"/>
    </row>
    <row r="25" spans="1:5" ht="12.6">
      <c r="A25" s="63" t="s">
        <v>662</v>
      </c>
      <c r="B25" s="317">
        <v>107</v>
      </c>
    </row>
    <row r="29" spans="1:5">
      <c r="D29" s="201">
        <v>75872</v>
      </c>
    </row>
    <row r="30" spans="1:5">
      <c r="D30" s="201">
        <v>2404</v>
      </c>
    </row>
    <row r="31" spans="1:5">
      <c r="D31" s="201">
        <v>24171</v>
      </c>
    </row>
    <row r="32" spans="1:5">
      <c r="D32" s="201">
        <v>276</v>
      </c>
    </row>
    <row r="36" spans="1:5">
      <c r="A36" t="s">
        <v>756</v>
      </c>
      <c r="B36" s="181">
        <v>630.29</v>
      </c>
      <c r="C36" s="181">
        <v>286.14</v>
      </c>
      <c r="D36" s="181">
        <v>426.61</v>
      </c>
      <c r="E36">
        <f>B36-C36+D36</f>
        <v>770.76</v>
      </c>
    </row>
    <row r="37" spans="1:5">
      <c r="A37" t="s">
        <v>757</v>
      </c>
      <c r="B37" s="181">
        <v>2369.4699999999998</v>
      </c>
      <c r="C37" s="181">
        <v>1128.78</v>
      </c>
      <c r="D37" s="181">
        <v>1219.73</v>
      </c>
      <c r="E37">
        <f>B37-C37+D37</f>
        <v>2460.42</v>
      </c>
    </row>
    <row r="38" spans="1:5">
      <c r="A38" t="s">
        <v>758</v>
      </c>
      <c r="B38" s="181">
        <v>9967.5400000000009</v>
      </c>
      <c r="C38" s="181">
        <v>4703.01</v>
      </c>
      <c r="D38" s="181">
        <v>5876.21</v>
      </c>
      <c r="E38">
        <f>B38-C38+D38</f>
        <v>11140.740000000002</v>
      </c>
    </row>
    <row r="40" spans="1:5">
      <c r="A40" t="s">
        <v>759</v>
      </c>
      <c r="B40" s="181">
        <v>13043</v>
      </c>
      <c r="C40" s="181">
        <v>6020.47</v>
      </c>
      <c r="D40" s="181">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3" sqref="B3"/>
    </sheetView>
  </sheetViews>
  <sheetFormatPr defaultColWidth="11" defaultRowHeight="11.4"/>
  <cols>
    <col min="1" max="1" width="22.125" customWidth="1"/>
    <col min="2" max="2" width="38" customWidth="1"/>
    <col min="3" max="3" width="18.375" bestFit="1" customWidth="1"/>
    <col min="4" max="5" width="12.375" bestFit="1" customWidth="1"/>
    <col min="6" max="6" width="17.625" bestFit="1" customWidth="1"/>
  </cols>
  <sheetData>
    <row r="1" spans="1:7" s="343" customFormat="1" ht="12">
      <c r="A1" s="343" t="s">
        <v>242</v>
      </c>
      <c r="B1" s="343" t="s">
        <v>244</v>
      </c>
      <c r="C1" s="343" t="s">
        <v>442</v>
      </c>
      <c r="D1" s="343" t="s">
        <v>450</v>
      </c>
      <c r="E1" s="343" t="s">
        <v>452</v>
      </c>
      <c r="F1" s="343" t="s">
        <v>476</v>
      </c>
      <c r="G1" t="s">
        <v>232</v>
      </c>
    </row>
    <row r="2" spans="1:7">
      <c r="A2" t="s">
        <v>59</v>
      </c>
      <c r="B2" t="s">
        <v>104</v>
      </c>
      <c r="C2" t="s">
        <v>443</v>
      </c>
      <c r="D2" t="s">
        <v>451</v>
      </c>
      <c r="E2">
        <v>1</v>
      </c>
      <c r="F2" t="s">
        <v>451</v>
      </c>
      <c r="G2" t="s">
        <v>471</v>
      </c>
    </row>
    <row r="3" spans="1:7">
      <c r="A3" t="s">
        <v>53</v>
      </c>
      <c r="B3" t="s">
        <v>238</v>
      </c>
      <c r="C3" t="s">
        <v>446</v>
      </c>
      <c r="D3" t="s">
        <v>452</v>
      </c>
      <c r="E3">
        <v>2</v>
      </c>
      <c r="F3" t="s">
        <v>481</v>
      </c>
      <c r="G3" t="s">
        <v>470</v>
      </c>
    </row>
    <row r="4" spans="1:7">
      <c r="C4" t="s">
        <v>444</v>
      </c>
      <c r="D4" t="s">
        <v>453</v>
      </c>
      <c r="F4" t="s">
        <v>482</v>
      </c>
      <c r="G4" t="s">
        <v>469</v>
      </c>
    </row>
    <row r="5" spans="1:7">
      <c r="C5" t="s">
        <v>445</v>
      </c>
      <c r="F5" t="s">
        <v>483</v>
      </c>
      <c r="G5" t="s">
        <v>468</v>
      </c>
    </row>
    <row r="6" spans="1:7">
      <c r="F6" t="s">
        <v>480</v>
      </c>
      <c r="G6" t="s">
        <v>467</v>
      </c>
    </row>
    <row r="7" spans="1:7">
      <c r="G7" t="s">
        <v>466</v>
      </c>
    </row>
    <row r="8" spans="1:7">
      <c r="G8" t="s">
        <v>465</v>
      </c>
    </row>
    <row r="9" spans="1:7">
      <c r="G9" t="s">
        <v>464</v>
      </c>
    </row>
    <row r="10" spans="1:7">
      <c r="G10" t="s">
        <v>463</v>
      </c>
    </row>
    <row r="11" spans="1:7">
      <c r="G11" t="s">
        <v>462</v>
      </c>
    </row>
    <row r="12" spans="1:7">
      <c r="G12" t="s">
        <v>461</v>
      </c>
    </row>
    <row r="13" spans="1:7">
      <c r="G13" t="s">
        <v>460</v>
      </c>
    </row>
    <row r="14" spans="1:7">
      <c r="G14" t="s">
        <v>459</v>
      </c>
    </row>
    <row r="15" spans="1:7">
      <c r="G15" t="s">
        <v>458</v>
      </c>
    </row>
    <row r="16" spans="1:7">
      <c r="G16" t="s">
        <v>457</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topLeftCell="A31" zoomScale="125" zoomScaleNormal="125" workbookViewId="0">
      <selection activeCell="B35" sqref="B35"/>
    </sheetView>
  </sheetViews>
  <sheetFormatPr defaultColWidth="11" defaultRowHeight="15.6"/>
  <cols>
    <col min="1" max="1" width="40" style="47" customWidth="1"/>
    <col min="2" max="2" width="14.375" style="47" customWidth="1"/>
    <col min="3" max="13" width="14.375" style="52" customWidth="1"/>
    <col min="14" max="14" width="12.625" bestFit="1" customWidth="1"/>
  </cols>
  <sheetData>
    <row r="1" spans="1:14">
      <c r="A1" s="42"/>
      <c r="B1" s="43" t="s">
        <v>14</v>
      </c>
      <c r="C1" s="43">
        <v>1</v>
      </c>
      <c r="D1" s="43">
        <v>2</v>
      </c>
      <c r="E1" s="43">
        <v>3</v>
      </c>
      <c r="F1" s="43">
        <v>4</v>
      </c>
      <c r="G1" s="43">
        <v>5</v>
      </c>
      <c r="H1" s="43">
        <v>6</v>
      </c>
      <c r="I1" s="43">
        <v>7</v>
      </c>
      <c r="J1" s="43">
        <v>8</v>
      </c>
      <c r="K1" s="43">
        <v>9</v>
      </c>
      <c r="L1" s="43">
        <v>10</v>
      </c>
      <c r="M1" s="50" t="s">
        <v>45</v>
      </c>
    </row>
    <row r="2" spans="1:14">
      <c r="A2" s="45" t="s">
        <v>20</v>
      </c>
      <c r="B2" s="89"/>
      <c r="C2" s="90">
        <f>'Input sheet'!B23</f>
        <v>0.15</v>
      </c>
      <c r="D2" s="90">
        <f>C2</f>
        <v>0.15</v>
      </c>
      <c r="E2" s="90">
        <f>D2</f>
        <v>0.15</v>
      </c>
      <c r="F2" s="90">
        <f>E2</f>
        <v>0.15</v>
      </c>
      <c r="G2" s="90">
        <f>F2</f>
        <v>0.15</v>
      </c>
      <c r="H2" s="90">
        <f>G2-((G2-$M$2)/5)</f>
        <v>0.13200000000000001</v>
      </c>
      <c r="I2" s="90">
        <f>G2-((G2-$M$2)/5)*2</f>
        <v>0.11399999999999999</v>
      </c>
      <c r="J2" s="90">
        <f>G2-((G2-$M$2)/5)*3</f>
        <v>9.6000000000000002E-2</v>
      </c>
      <c r="K2" s="90">
        <f>G2-((G2-$M$2)/5)*4</f>
        <v>7.8E-2</v>
      </c>
      <c r="L2" s="90">
        <f>G2-((G2-$M$2)/5)*5</f>
        <v>0.06</v>
      </c>
      <c r="M2" s="91">
        <f>IF('Input sheet'!B55="Yes",'Input sheet'!B56,'Input sheet'!B28)</f>
        <v>0.06</v>
      </c>
    </row>
    <row r="3" spans="1:14" ht="15" customHeight="1">
      <c r="A3" s="45" t="s">
        <v>11</v>
      </c>
      <c r="B3" s="92">
        <f>'Input sheet'!B8</f>
        <v>21724</v>
      </c>
      <c r="C3" s="93">
        <f>B3*(1+C2)</f>
        <v>24982.6</v>
      </c>
      <c r="D3" s="93">
        <f t="shared" ref="D3:L3" si="0">C3*(1+D2)</f>
        <v>28729.989999999994</v>
      </c>
      <c r="E3" s="93">
        <f t="shared" si="0"/>
        <v>33039.488499999992</v>
      </c>
      <c r="F3" s="93">
        <f t="shared" si="0"/>
        <v>37995.411774999986</v>
      </c>
      <c r="G3" s="93">
        <f t="shared" si="0"/>
        <v>43694.723541249979</v>
      </c>
      <c r="H3" s="93">
        <f t="shared" si="0"/>
        <v>49462.427048694983</v>
      </c>
      <c r="I3" s="93">
        <f t="shared" si="0"/>
        <v>55101.143732246208</v>
      </c>
      <c r="J3" s="93">
        <f t="shared" si="0"/>
        <v>60390.853530541848</v>
      </c>
      <c r="K3" s="93">
        <f t="shared" si="0"/>
        <v>65101.340105924115</v>
      </c>
      <c r="L3" s="93">
        <f t="shared" si="0"/>
        <v>69007.420512279568</v>
      </c>
      <c r="M3" s="109">
        <f>L3*(1+M2)</f>
        <v>73147.865743016344</v>
      </c>
    </row>
    <row r="4" spans="1:14" ht="15" customHeight="1">
      <c r="A4" s="45" t="s">
        <v>26</v>
      </c>
      <c r="B4" s="94">
        <f>B5/B3</f>
        <v>0.21535168477260175</v>
      </c>
      <c r="C4" s="90">
        <f>IF(C1&gt;'Input sheet'!$B$25,'Input sheet'!$B$24,'Input sheet'!$B$24-(('Input sheet'!$B$24-$B$4)/'Input sheet'!$B$25)*('Input sheet'!$B$25-C1))</f>
        <v>0.212385066026755</v>
      </c>
      <c r="D4" s="90">
        <f>IF(D1&gt;'Input sheet'!$B$25,'Input sheet'!$B$24,'Input sheet'!$B$24-(('Input sheet'!$B$24-$B$4)/'Input sheet'!$B$25)*('Input sheet'!$B$25-D1))</f>
        <v>0.20941844728090825</v>
      </c>
      <c r="E4" s="90">
        <f>IF(E1&gt;'Input sheet'!$B$25,'Input sheet'!$B$24,'Input sheet'!$B$24-(('Input sheet'!$B$24-$B$4)/'Input sheet'!$B$25)*('Input sheet'!$B$25-E1))</f>
        <v>0.20645182853506153</v>
      </c>
      <c r="F4" s="90">
        <f>IF(F1&gt;'Input sheet'!$B$25,'Input sheet'!$B$24,'Input sheet'!$B$24-(('Input sheet'!$B$24-$B$4)/'Input sheet'!$B$25)*('Input sheet'!$B$25-F1))</f>
        <v>0.20348520978921478</v>
      </c>
      <c r="G4" s="90">
        <f>IF(G1&gt;'Input sheet'!$B$25,'Input sheet'!$B$24,'Input sheet'!$B$24-(('Input sheet'!$B$24-$B$4)/'Input sheet'!$B$25)*('Input sheet'!$B$25-G1))</f>
        <v>0.20051859104336803</v>
      </c>
      <c r="H4" s="90">
        <f>IF(H1&gt;'Input sheet'!$B$25,'Input sheet'!$B$24,'Input sheet'!$B$24-(('Input sheet'!$B$24-$B$4)/'Input sheet'!$B$25)*('Input sheet'!$B$25-H1))</f>
        <v>0.19755197229752128</v>
      </c>
      <c r="I4" s="90">
        <f>IF(I1&gt;'Input sheet'!$B$25,'Input sheet'!$B$24,'Input sheet'!$B$24-(('Input sheet'!$B$24-$B$4)/'Input sheet'!$B$25)*('Input sheet'!$B$25-I1))</f>
        <v>0.19458535355167453</v>
      </c>
      <c r="J4" s="90">
        <f>IF(J1&gt;'Input sheet'!$B$25,'Input sheet'!$B$24,'Input sheet'!$B$24-(('Input sheet'!$B$24-$B$4)/'Input sheet'!$B$25)*('Input sheet'!$B$25-J1))</f>
        <v>0.19161873480582781</v>
      </c>
      <c r="K4" s="90">
        <f>IF(K1&gt;'Input sheet'!$B$25,'Input sheet'!$B$24,'Input sheet'!$B$24-(('Input sheet'!$B$24-$B$4)/'Input sheet'!$B$25)*('Input sheet'!$B$25-K1))</f>
        <v>0.18865211605998106</v>
      </c>
      <c r="L4" s="90">
        <f>IF(L1&gt;'Input sheet'!$B$25,'Input sheet'!$B$24,'Input sheet'!$B$24-(('Input sheet'!$B$24-$B$4)/'Input sheet'!$B$25)*('Input sheet'!$B$25-L1))</f>
        <v>0.18568549731413431</v>
      </c>
      <c r="M4" s="91">
        <f>L4</f>
        <v>0.18568549731413431</v>
      </c>
    </row>
    <row r="5" spans="1:14" ht="15" customHeight="1">
      <c r="A5" s="45" t="s">
        <v>25</v>
      </c>
      <c r="B5" s="92">
        <f>IF('Input sheet'!B14="Yes",IF('Input sheet'!B13="Yes",'Input sheet'!B9+'Operating lease converter'!F32+'R&amp; D converter'!D39,'Input sheet'!B9+'Operating lease converter'!F32),IF('Input sheet'!B13="Yes",'Input sheet'!B9+'R&amp; D converter'!D39,'Input sheet'!B9))</f>
        <v>4678.3</v>
      </c>
      <c r="C5" s="93">
        <f t="shared" ref="C5:M5" si="1">C4*C3</f>
        <v>5305.9311505200094</v>
      </c>
      <c r="D5" s="93">
        <f t="shared" si="1"/>
        <v>6016.5898961960202</v>
      </c>
      <c r="E5" s="93">
        <f t="shared" si="1"/>
        <v>6821.0628146881354</v>
      </c>
      <c r="F5" s="93">
        <f t="shared" si="1"/>
        <v>7731.5043360634736</v>
      </c>
      <c r="G5" s="93">
        <f t="shared" si="1"/>
        <v>8761.6044005209296</v>
      </c>
      <c r="H5" s="93">
        <f t="shared" si="1"/>
        <v>9771.4000180919575</v>
      </c>
      <c r="I5" s="93">
        <f t="shared" si="1"/>
        <v>10721.875534240764</v>
      </c>
      <c r="J5" s="93">
        <f t="shared" si="1"/>
        <v>11572.018947366489</v>
      </c>
      <c r="K5" s="93">
        <f t="shared" si="1"/>
        <v>12281.505569323095</v>
      </c>
      <c r="L5" s="93">
        <f t="shared" si="1"/>
        <v>12813.677196188224</v>
      </c>
      <c r="M5" s="109">
        <f t="shared" si="1"/>
        <v>13582.497827959518</v>
      </c>
      <c r="N5" s="111">
        <f>M5-B5</f>
        <v>8904.1978279595169</v>
      </c>
    </row>
    <row r="6" spans="1:14" ht="15" customHeight="1">
      <c r="A6" s="45" t="s">
        <v>142</v>
      </c>
      <c r="B6" s="95">
        <f>'Input sheet'!B20</f>
        <v>0.24099999999999999</v>
      </c>
      <c r="C6" s="96">
        <f>B6</f>
        <v>0.24099999999999999</v>
      </c>
      <c r="D6" s="96">
        <f>C6</f>
        <v>0.24099999999999999</v>
      </c>
      <c r="E6" s="96">
        <f>D6</f>
        <v>0.24099999999999999</v>
      </c>
      <c r="F6" s="96">
        <f>E6</f>
        <v>0.24099999999999999</v>
      </c>
      <c r="G6" s="96">
        <f>F6</f>
        <v>0.24099999999999999</v>
      </c>
      <c r="H6" s="96">
        <f>G6+($M$6-$G$6)/5</f>
        <v>0.24279999999999999</v>
      </c>
      <c r="I6" s="96">
        <f>H6+($M$6-$G$6)/5</f>
        <v>0.24459999999999998</v>
      </c>
      <c r="J6" s="96">
        <f>I6+($M$6-$G$6)/5</f>
        <v>0.24639999999999998</v>
      </c>
      <c r="K6" s="96">
        <f>J6+($M$6-$G$6)/5</f>
        <v>0.24819999999999998</v>
      </c>
      <c r="L6" s="96">
        <f>K6+($M$6-$G$6)/5</f>
        <v>0.24999999999999997</v>
      </c>
      <c r="M6" s="96">
        <f>IF('Input sheet'!B50="Yes",'Input sheet'!B20,'Input sheet'!B21)</f>
        <v>0.25</v>
      </c>
    </row>
    <row r="7" spans="1:14" ht="15" customHeight="1">
      <c r="A7" s="45" t="s">
        <v>12</v>
      </c>
      <c r="B7" s="92">
        <f>IF(B5&gt;0,B5*(1-B6),B5)</f>
        <v>3550.8297000000002</v>
      </c>
      <c r="C7" s="93">
        <f>IF(C5&gt;0,IF(C5&lt;B10,C5,C5-(C5-B10)*C6),C5)</f>
        <v>4027.2017432446873</v>
      </c>
      <c r="D7" s="93">
        <f t="shared" ref="D7:L7" si="2">IF(D5&gt;0,IF(D5&lt;C10,D5,D5-(D5-C10)*D6),D5)</f>
        <v>4566.5917312127795</v>
      </c>
      <c r="E7" s="93">
        <f t="shared" si="2"/>
        <v>5177.1866763482949</v>
      </c>
      <c r="F7" s="93">
        <f t="shared" si="2"/>
        <v>5868.2117910721763</v>
      </c>
      <c r="G7" s="93">
        <f t="shared" si="2"/>
        <v>6650.0577399953854</v>
      </c>
      <c r="H7" s="93">
        <f t="shared" si="2"/>
        <v>7398.9040936992296</v>
      </c>
      <c r="I7" s="93">
        <f t="shared" si="2"/>
        <v>8099.3047785654726</v>
      </c>
      <c r="J7" s="93">
        <f t="shared" si="2"/>
        <v>8720.6734787353853</v>
      </c>
      <c r="K7" s="93">
        <f t="shared" si="2"/>
        <v>9233.2358870171029</v>
      </c>
      <c r="L7" s="93">
        <f t="shared" si="2"/>
        <v>9610.2578971411676</v>
      </c>
      <c r="M7" s="93">
        <f>M5*(1-M6)</f>
        <v>10186.873370969639</v>
      </c>
    </row>
    <row r="8" spans="1:14" ht="15" customHeight="1">
      <c r="A8" s="45" t="s">
        <v>15</v>
      </c>
      <c r="B8" s="92"/>
      <c r="C8" s="93">
        <f t="shared" ref="C8:L8" si="3">(C3-B3)/C38</f>
        <v>2606.8799999999987</v>
      </c>
      <c r="D8" s="93">
        <f t="shared" si="3"/>
        <v>2997.9119999999966</v>
      </c>
      <c r="E8" s="93">
        <f t="shared" si="3"/>
        <v>3447.5987999999984</v>
      </c>
      <c r="F8" s="93">
        <f t="shared" si="3"/>
        <v>3964.7386199999951</v>
      </c>
      <c r="G8" s="93">
        <f t="shared" si="3"/>
        <v>4559.4494129999948</v>
      </c>
      <c r="H8" s="93">
        <f t="shared" si="3"/>
        <v>4614.1628059560026</v>
      </c>
      <c r="I8" s="93">
        <f t="shared" si="3"/>
        <v>4510.9733468409804</v>
      </c>
      <c r="J8" s="93">
        <f t="shared" si="3"/>
        <v>4231.7678386365124</v>
      </c>
      <c r="K8" s="93">
        <f t="shared" si="3"/>
        <v>3768.3892603058134</v>
      </c>
      <c r="L8" s="93">
        <f t="shared" si="3"/>
        <v>3124.8643250843625</v>
      </c>
      <c r="M8" s="97">
        <f>IF(M2&gt;0,(M2/M40)*M7,0)</f>
        <v>5093.4366854848176</v>
      </c>
      <c r="N8" s="111">
        <f>SUM(C8:M8)</f>
        <v>42920.17309530847</v>
      </c>
    </row>
    <row r="9" spans="1:14" ht="15" customHeight="1">
      <c r="A9" s="45" t="s">
        <v>16</v>
      </c>
      <c r="B9" s="92"/>
      <c r="C9" s="93">
        <f t="shared" ref="C9:L9" si="4">C7-C8</f>
        <v>1420.3217432446886</v>
      </c>
      <c r="D9" s="93">
        <f t="shared" si="4"/>
        <v>1568.6797312127828</v>
      </c>
      <c r="E9" s="93">
        <f t="shared" si="4"/>
        <v>1729.5878763482965</v>
      </c>
      <c r="F9" s="93">
        <f t="shared" si="4"/>
        <v>1903.4731710721812</v>
      </c>
      <c r="G9" s="93">
        <f t="shared" si="4"/>
        <v>2090.6083269953906</v>
      </c>
      <c r="H9" s="93">
        <f t="shared" si="4"/>
        <v>2784.7412877432271</v>
      </c>
      <c r="I9" s="93">
        <f t="shared" si="4"/>
        <v>3588.3314317244922</v>
      </c>
      <c r="J9" s="93">
        <f t="shared" si="4"/>
        <v>4488.9056400988729</v>
      </c>
      <c r="K9" s="93">
        <f t="shared" si="4"/>
        <v>5464.846626711289</v>
      </c>
      <c r="L9" s="93">
        <f t="shared" si="4"/>
        <v>6485.3935720568052</v>
      </c>
      <c r="M9" s="97">
        <f>M7-M8</f>
        <v>5093.4366854848213</v>
      </c>
    </row>
    <row r="10" spans="1:14" ht="15" customHeight="1">
      <c r="A10" s="45" t="s">
        <v>48</v>
      </c>
      <c r="B10" s="92">
        <f>IF('Input sheet'!B52="Yes",'Input sheet'!B53,0)</f>
        <v>0</v>
      </c>
      <c r="C10" s="93">
        <f>IF(C5&lt;0,B10-C5,IF(B10&gt;C5,B10-C5,0))</f>
        <v>0</v>
      </c>
      <c r="D10" s="93">
        <f t="shared" ref="D10:M10" si="5">IF(D5&lt;0,C10-D5,IF(C10&gt;D5,C10-D5,0))</f>
        <v>0</v>
      </c>
      <c r="E10" s="93">
        <f t="shared" si="5"/>
        <v>0</v>
      </c>
      <c r="F10" s="93">
        <f t="shared" si="5"/>
        <v>0</v>
      </c>
      <c r="G10" s="93">
        <f t="shared" si="5"/>
        <v>0</v>
      </c>
      <c r="H10" s="93">
        <f t="shared" si="5"/>
        <v>0</v>
      </c>
      <c r="I10" s="93">
        <f t="shared" si="5"/>
        <v>0</v>
      </c>
      <c r="J10" s="93">
        <f t="shared" si="5"/>
        <v>0</v>
      </c>
      <c r="K10" s="93">
        <f t="shared" si="5"/>
        <v>0</v>
      </c>
      <c r="L10" s="93">
        <f t="shared" si="5"/>
        <v>0</v>
      </c>
      <c r="M10" s="93">
        <f t="shared" si="5"/>
        <v>0</v>
      </c>
    </row>
    <row r="11" spans="1:14" ht="15" customHeight="1">
      <c r="A11" s="45"/>
      <c r="B11" s="89"/>
      <c r="C11" s="98"/>
      <c r="D11" s="98"/>
      <c r="E11" s="98"/>
      <c r="F11" s="98"/>
      <c r="G11" s="98"/>
      <c r="H11" s="98"/>
      <c r="I11" s="98"/>
      <c r="J11" s="98"/>
      <c r="K11" s="98"/>
      <c r="L11" s="98"/>
      <c r="M11" s="98"/>
    </row>
    <row r="12" spans="1:14" ht="15" customHeight="1">
      <c r="A12" s="45" t="s">
        <v>148</v>
      </c>
      <c r="B12" s="94"/>
      <c r="C12" s="90">
        <f>'Input sheet'!B29</f>
        <v>0.18349632642035563</v>
      </c>
      <c r="D12" s="90">
        <f>C12</f>
        <v>0.18349632642035563</v>
      </c>
      <c r="E12" s="90">
        <f>D12</f>
        <v>0.18349632642035563</v>
      </c>
      <c r="F12" s="90">
        <f>E12</f>
        <v>0.18349632642035563</v>
      </c>
      <c r="G12" s="90">
        <f>F12</f>
        <v>0.18349632642035563</v>
      </c>
      <c r="H12" s="90">
        <f>G12-($G$12-$M$12)/5</f>
        <v>0.17079706113628451</v>
      </c>
      <c r="I12" s="90">
        <f>H12-($G$12-$M$12)/5</f>
        <v>0.1580977958522134</v>
      </c>
      <c r="J12" s="90">
        <f>I12-($G$12-$M$12)/5</f>
        <v>0.14539853056814228</v>
      </c>
      <c r="K12" s="90">
        <f>J12-($G$12-$M$12)/5</f>
        <v>0.13269926528407117</v>
      </c>
      <c r="L12" s="90">
        <f>K12-($G$12-$M$12)/5</f>
        <v>0.12000000000000004</v>
      </c>
      <c r="M12" s="91">
        <f>IF('Input sheet'!B39="Yes",'Input sheet'!B40,'Input sheet'!B28+0.045)</f>
        <v>0.12</v>
      </c>
    </row>
    <row r="13" spans="1:14" ht="15" customHeight="1">
      <c r="A13" s="46" t="s">
        <v>149</v>
      </c>
      <c r="B13" s="89"/>
      <c r="C13" s="153">
        <f>1/(1+C12)</f>
        <v>0.84495403802784508</v>
      </c>
      <c r="D13" s="153">
        <f>C13*(1/(1+D12))</f>
        <v>0.71394732637956104</v>
      </c>
      <c r="E13" s="153">
        <f t="shared" ref="E13:L13" si="6">D13*(1/(1+E12))</f>
        <v>0.60325267636359392</v>
      </c>
      <c r="F13" s="153">
        <f t="shared" si="6"/>
        <v>0.50972078484452343</v>
      </c>
      <c r="G13" s="153">
        <f t="shared" si="6"/>
        <v>0.43069063542110247</v>
      </c>
      <c r="H13" s="153">
        <f t="shared" si="6"/>
        <v>0.36786104929500563</v>
      </c>
      <c r="I13" s="153">
        <f t="shared" si="6"/>
        <v>0.31764247424744163</v>
      </c>
      <c r="J13" s="153">
        <f t="shared" si="6"/>
        <v>0.2773204834564299</v>
      </c>
      <c r="K13" s="153">
        <f t="shared" si="6"/>
        <v>0.24483152055976684</v>
      </c>
      <c r="L13" s="153">
        <f t="shared" si="6"/>
        <v>0.21859957192836324</v>
      </c>
      <c r="M13" s="98"/>
    </row>
    <row r="14" spans="1:14" ht="15" customHeight="1">
      <c r="A14" s="46" t="s">
        <v>21</v>
      </c>
      <c r="B14" s="89"/>
      <c r="C14" s="93">
        <f>C9*C13</f>
        <v>1200.1065922533478</v>
      </c>
      <c r="D14" s="93">
        <f t="shared" ref="C14:L14" si="7">D9*D13</f>
        <v>1119.9547000451748</v>
      </c>
      <c r="E14" s="93">
        <f t="shared" si="7"/>
        <v>1043.3785154131347</v>
      </c>
      <c r="F14" s="93">
        <f t="shared" si="7"/>
        <v>970.23983868940604</v>
      </c>
      <c r="G14" s="93">
        <f t="shared" si="7"/>
        <v>900.40542877029281</v>
      </c>
      <c r="H14" s="93">
        <f t="shared" si="7"/>
        <v>1024.3978521243487</v>
      </c>
      <c r="I14" s="93">
        <f t="shared" si="7"/>
        <v>1139.8064743928323</v>
      </c>
      <c r="J14" s="93">
        <f t="shared" si="7"/>
        <v>1244.8654823025145</v>
      </c>
      <c r="K14" s="93">
        <f t="shared" si="7"/>
        <v>1337.9667092436375</v>
      </c>
      <c r="L14" s="93">
        <f t="shared" si="7"/>
        <v>1417.7042586385762</v>
      </c>
      <c r="M14" s="98"/>
    </row>
    <row r="15" spans="1:14" ht="15" customHeight="1">
      <c r="A15" s="46"/>
      <c r="B15" s="45"/>
      <c r="C15" s="51"/>
      <c r="D15" s="51"/>
      <c r="E15" s="51"/>
      <c r="F15" s="51"/>
      <c r="G15" s="51"/>
      <c r="H15" s="51"/>
      <c r="I15" s="51"/>
      <c r="J15" s="51"/>
      <c r="K15" s="51"/>
      <c r="L15" s="51"/>
    </row>
    <row r="16" spans="1:14" ht="15" customHeight="1">
      <c r="A16" s="48" t="s">
        <v>22</v>
      </c>
      <c r="B16" s="92">
        <f>M9</f>
        <v>5093.4366854848213</v>
      </c>
      <c r="C16" s="51"/>
      <c r="D16" s="51"/>
      <c r="E16" s="51"/>
      <c r="F16" s="51"/>
      <c r="G16" s="51"/>
      <c r="H16" s="51"/>
      <c r="I16" s="51"/>
      <c r="J16" s="51"/>
      <c r="K16" s="51"/>
      <c r="L16" s="51"/>
    </row>
    <row r="17" spans="1:12" ht="15" customHeight="1">
      <c r="A17" s="48" t="s">
        <v>144</v>
      </c>
      <c r="B17" s="94">
        <f>M12</f>
        <v>0.12</v>
      </c>
      <c r="C17" s="51"/>
      <c r="D17" s="51"/>
      <c r="E17" s="51"/>
      <c r="F17" s="51"/>
      <c r="G17" s="51"/>
      <c r="H17" s="51"/>
      <c r="I17" s="51"/>
      <c r="J17" s="51"/>
      <c r="K17" s="51"/>
      <c r="L17" s="51"/>
    </row>
    <row r="18" spans="1:12">
      <c r="A18" s="48" t="s">
        <v>23</v>
      </c>
      <c r="B18" s="92">
        <f>B16/(B17-M2)</f>
        <v>84890.611424747025</v>
      </c>
      <c r="C18" s="51"/>
      <c r="D18" s="154"/>
      <c r="E18" s="51"/>
      <c r="F18" s="51"/>
      <c r="G18" s="51"/>
      <c r="H18" s="51"/>
      <c r="I18" s="51"/>
      <c r="J18" s="51"/>
      <c r="K18" s="51"/>
      <c r="L18" s="51"/>
    </row>
    <row r="19" spans="1:12">
      <c r="A19" s="48" t="s">
        <v>24</v>
      </c>
      <c r="B19" s="99">
        <f>B18*L13</f>
        <v>18557.051318186721</v>
      </c>
      <c r="C19" s="51"/>
      <c r="D19" s="51"/>
      <c r="E19" s="51"/>
      <c r="F19" s="51"/>
      <c r="G19" s="51"/>
      <c r="H19" s="51"/>
      <c r="I19" s="51"/>
      <c r="J19" s="51"/>
      <c r="K19" s="51"/>
      <c r="L19" s="51"/>
    </row>
    <row r="20" spans="1:12">
      <c r="A20" s="48" t="s">
        <v>46</v>
      </c>
      <c r="B20" s="99">
        <f>SUM(C14:L14)</f>
        <v>11398.825851873267</v>
      </c>
      <c r="C20" s="51"/>
      <c r="D20" s="51"/>
      <c r="E20" s="51"/>
      <c r="F20" s="51"/>
      <c r="G20" s="51"/>
      <c r="H20" s="51"/>
      <c r="I20" s="51"/>
      <c r="J20" s="51"/>
      <c r="K20" s="51"/>
      <c r="L20" s="51"/>
    </row>
    <row r="21" spans="1:12">
      <c r="A21" s="48" t="s">
        <v>47</v>
      </c>
      <c r="B21" s="99">
        <f>B19+B20</f>
        <v>29955.87717005999</v>
      </c>
      <c r="C21" s="51"/>
      <c r="D21" s="51"/>
      <c r="E21" s="51"/>
      <c r="F21" s="51"/>
      <c r="G21" s="51"/>
      <c r="H21" s="51"/>
      <c r="I21" s="51"/>
      <c r="J21" s="51"/>
      <c r="K21" s="51"/>
      <c r="L21" s="51"/>
    </row>
    <row r="22" spans="1:12">
      <c r="A22" s="48" t="s">
        <v>112</v>
      </c>
      <c r="B22" s="100">
        <f>IF('Input sheet'!B45="Yes",'Input sheet'!B46,0)</f>
        <v>0</v>
      </c>
      <c r="C22" s="51"/>
      <c r="D22" s="51"/>
      <c r="E22" s="51"/>
      <c r="F22" s="51"/>
      <c r="G22" s="51"/>
      <c r="H22" s="51"/>
      <c r="I22" s="51"/>
      <c r="J22" s="51"/>
      <c r="K22" s="51"/>
      <c r="L22" s="51"/>
    </row>
    <row r="23" spans="1:12">
      <c r="A23" s="48" t="s">
        <v>113</v>
      </c>
      <c r="B23" s="101">
        <f>IF('Input sheet'!B47="B",('Input sheet'!B11+'Input sheet'!B12)*'Input sheet'!B48,'Valuation output'!B21*'Input sheet'!B48)</f>
        <v>14977.938585029995</v>
      </c>
      <c r="C23" s="51"/>
      <c r="D23" s="51"/>
      <c r="E23" s="51"/>
      <c r="F23" s="51"/>
      <c r="G23" s="51"/>
      <c r="H23" s="51"/>
      <c r="I23" s="51"/>
      <c r="J23" s="51"/>
      <c r="K23" s="51"/>
      <c r="L23" s="51"/>
    </row>
    <row r="24" spans="1:12">
      <c r="A24" s="48" t="s">
        <v>44</v>
      </c>
      <c r="B24" s="92">
        <f>B21*(1-B22)+B23*B22</f>
        <v>29955.87717005999</v>
      </c>
      <c r="C24" s="51"/>
      <c r="D24" s="51"/>
      <c r="E24" s="51"/>
      <c r="F24" s="51"/>
      <c r="G24" s="51"/>
      <c r="H24" s="51"/>
      <c r="I24" s="51"/>
      <c r="J24" s="51"/>
      <c r="K24" s="51"/>
      <c r="L24" s="51"/>
    </row>
    <row r="25" spans="1:12">
      <c r="A25" s="48" t="s">
        <v>391</v>
      </c>
      <c r="B25" s="92">
        <f>IF('Input sheet'!B14="Yes",'Input sheet'!B12+'Operating lease converter'!C28,'Input sheet'!B12)</f>
        <v>11065</v>
      </c>
      <c r="C25" s="51"/>
      <c r="D25" s="51"/>
      <c r="E25" s="51"/>
      <c r="F25" s="51"/>
      <c r="G25" s="51"/>
      <c r="H25" s="51"/>
      <c r="I25" s="51"/>
      <c r="J25" s="51"/>
      <c r="K25" s="51"/>
      <c r="L25" s="51"/>
    </row>
    <row r="26" spans="1:12">
      <c r="A26" s="48" t="s">
        <v>393</v>
      </c>
      <c r="B26" s="92">
        <f>'Input sheet'!B17</f>
        <v>269.89999999999998</v>
      </c>
      <c r="C26" s="51"/>
      <c r="D26" s="51"/>
      <c r="E26" s="51"/>
      <c r="F26" s="51"/>
      <c r="G26" s="51"/>
      <c r="H26" s="51"/>
      <c r="I26" s="51"/>
      <c r="J26" s="51"/>
      <c r="K26" s="51"/>
      <c r="L26" s="51"/>
    </row>
    <row r="27" spans="1:12">
      <c r="A27" s="48" t="s">
        <v>390</v>
      </c>
      <c r="B27" s="92">
        <f>IF('Input sheet'!B58="YES",'Input sheet'!B15-'Input sheet'!B59*('Input sheet'!B21-'Input sheet'!B60),'Input sheet'!B15)</f>
        <v>1205</v>
      </c>
      <c r="C27" s="51"/>
      <c r="D27" s="51"/>
      <c r="E27" s="51"/>
      <c r="F27" s="51"/>
      <c r="G27" s="51"/>
      <c r="H27" s="51"/>
      <c r="I27" s="51"/>
      <c r="J27" s="51"/>
      <c r="K27" s="51"/>
      <c r="L27" s="51"/>
    </row>
    <row r="28" spans="1:12">
      <c r="A28" s="48" t="s">
        <v>389</v>
      </c>
      <c r="B28" s="92">
        <f>'Input sheet'!B16</f>
        <v>36.5</v>
      </c>
      <c r="C28" s="51"/>
      <c r="D28" s="51"/>
      <c r="E28" s="51"/>
      <c r="F28" s="51"/>
      <c r="G28" s="51"/>
      <c r="H28" s="51"/>
      <c r="I28" s="51"/>
      <c r="J28" s="51"/>
      <c r="K28" s="51"/>
      <c r="L28" s="51"/>
    </row>
    <row r="29" spans="1:12">
      <c r="A29" s="48" t="s">
        <v>54</v>
      </c>
      <c r="B29" s="99">
        <f>B24-B25-B26+B27+B28</f>
        <v>19862.477170059989</v>
      </c>
      <c r="C29" s="51"/>
      <c r="D29" s="51"/>
      <c r="E29" s="51"/>
      <c r="F29" s="51"/>
      <c r="G29" s="51"/>
      <c r="H29" s="51"/>
      <c r="I29" s="51"/>
      <c r="J29" s="51"/>
      <c r="K29" s="51"/>
      <c r="L29" s="51"/>
    </row>
    <row r="30" spans="1:12">
      <c r="A30" s="48" t="s">
        <v>60</v>
      </c>
      <c r="B30" s="102">
        <f>IF('Input sheet'!B31="No",0,'Option value'!D27)</f>
        <v>0</v>
      </c>
      <c r="C30" s="51"/>
      <c r="D30" s="51"/>
      <c r="E30" s="51"/>
      <c r="F30" s="51"/>
      <c r="G30" s="51"/>
      <c r="H30" s="51"/>
      <c r="I30" s="51"/>
      <c r="J30" s="51"/>
      <c r="K30" s="51"/>
      <c r="L30" s="51"/>
    </row>
    <row r="31" spans="1:12">
      <c r="A31" s="48" t="s">
        <v>61</v>
      </c>
      <c r="B31" s="99">
        <f>B29-B30</f>
        <v>19862.477170059989</v>
      </c>
      <c r="C31" s="51"/>
      <c r="D31" s="51"/>
      <c r="E31" s="51"/>
      <c r="F31" s="51"/>
      <c r="G31" s="51"/>
      <c r="H31" s="51"/>
      <c r="I31" s="51"/>
      <c r="J31" s="51"/>
      <c r="K31" s="51"/>
      <c r="L31" s="51"/>
    </row>
    <row r="32" spans="1:12">
      <c r="A32" s="48" t="s">
        <v>13</v>
      </c>
      <c r="B32" s="103">
        <f>'Input sheet'!B18</f>
        <v>405.6</v>
      </c>
      <c r="C32" s="51"/>
      <c r="D32" s="51"/>
      <c r="E32" s="51"/>
      <c r="F32" s="51"/>
      <c r="G32" s="51"/>
      <c r="H32" s="51"/>
      <c r="I32" s="51"/>
      <c r="J32" s="51"/>
      <c r="K32" s="51"/>
      <c r="L32" s="51"/>
    </row>
    <row r="33" spans="1:13">
      <c r="A33" s="48" t="s">
        <v>96</v>
      </c>
      <c r="B33" s="104">
        <f>B31/B32</f>
        <v>48.970604462672554</v>
      </c>
      <c r="C33" s="51"/>
      <c r="D33" s="51"/>
      <c r="E33" s="51"/>
      <c r="F33" s="51"/>
      <c r="G33" s="51"/>
      <c r="H33" s="51"/>
      <c r="I33" s="51"/>
      <c r="J33" s="51"/>
      <c r="K33" s="51"/>
      <c r="L33" s="51"/>
    </row>
    <row r="34" spans="1:13">
      <c r="A34" s="48" t="s">
        <v>103</v>
      </c>
      <c r="B34" s="105">
        <f>'Input sheet'!B19</f>
        <v>83</v>
      </c>
      <c r="C34" s="51"/>
      <c r="D34" s="51"/>
      <c r="E34" s="51"/>
      <c r="F34" s="51"/>
      <c r="G34" s="51"/>
      <c r="H34" s="51"/>
      <c r="I34" s="51"/>
      <c r="J34" s="51"/>
      <c r="K34" s="51"/>
      <c r="L34" s="51"/>
    </row>
    <row r="35" spans="1:13">
      <c r="A35" s="48" t="s">
        <v>52</v>
      </c>
      <c r="B35" s="95">
        <f>B34/B33</f>
        <v>1.694894333257946</v>
      </c>
      <c r="C35" s="51"/>
      <c r="D35" s="51"/>
      <c r="E35" s="51"/>
      <c r="F35" s="51"/>
      <c r="G35" s="51"/>
      <c r="H35" s="51"/>
      <c r="I35" s="51"/>
      <c r="J35" s="51"/>
      <c r="K35" s="51"/>
      <c r="L35" s="51"/>
    </row>
    <row r="36" spans="1:13">
      <c r="A36" s="46"/>
      <c r="B36" s="45"/>
      <c r="C36" s="51"/>
      <c r="D36" s="51"/>
      <c r="E36" s="51"/>
      <c r="F36" s="51"/>
      <c r="G36" s="51"/>
      <c r="H36" s="51"/>
      <c r="I36" s="51"/>
      <c r="J36" s="51"/>
      <c r="K36" s="51"/>
      <c r="L36" s="51"/>
    </row>
    <row r="37" spans="1:13" ht="16.2">
      <c r="A37" s="49" t="s">
        <v>17</v>
      </c>
      <c r="B37" s="89"/>
      <c r="C37" s="98"/>
      <c r="D37" s="98"/>
      <c r="E37" s="98"/>
      <c r="F37" s="98"/>
      <c r="G37" s="98"/>
      <c r="H37" s="98"/>
      <c r="I37" s="98"/>
      <c r="J37" s="98"/>
      <c r="K37" s="98"/>
      <c r="L37" s="98"/>
      <c r="M37" s="98" t="s">
        <v>43</v>
      </c>
    </row>
    <row r="38" spans="1:13">
      <c r="A38" s="44" t="s">
        <v>38</v>
      </c>
      <c r="B38" s="89"/>
      <c r="C38" s="106">
        <f>'Input sheet'!B26</f>
        <v>1.25</v>
      </c>
      <c r="D38" s="106">
        <f>C38</f>
        <v>1.25</v>
      </c>
      <c r="E38" s="106">
        <f t="shared" ref="E38:L38" si="8">D38</f>
        <v>1.25</v>
      </c>
      <c r="F38" s="106">
        <f t="shared" si="8"/>
        <v>1.25</v>
      </c>
      <c r="G38" s="106">
        <f t="shared" si="8"/>
        <v>1.25</v>
      </c>
      <c r="H38" s="106">
        <f t="shared" si="8"/>
        <v>1.25</v>
      </c>
      <c r="I38" s="106">
        <f t="shared" si="8"/>
        <v>1.25</v>
      </c>
      <c r="J38" s="106">
        <f t="shared" si="8"/>
        <v>1.25</v>
      </c>
      <c r="K38" s="106">
        <f t="shared" si="8"/>
        <v>1.25</v>
      </c>
      <c r="L38" s="106">
        <f t="shared" si="8"/>
        <v>1.25</v>
      </c>
      <c r="M38" s="98"/>
    </row>
    <row r="39" spans="1:13">
      <c r="A39" s="44" t="s">
        <v>18</v>
      </c>
      <c r="B39" s="107">
        <f>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39298.1</v>
      </c>
      <c r="C39" s="108">
        <f t="shared" ref="C39:L39" si="9">B39+C8</f>
        <v>41904.979999999996</v>
      </c>
      <c r="D39" s="108">
        <f t="shared" si="9"/>
        <v>44902.891999999993</v>
      </c>
      <c r="E39" s="108">
        <f t="shared" si="9"/>
        <v>48350.490799999992</v>
      </c>
      <c r="F39" s="108">
        <f t="shared" si="9"/>
        <v>52315.229419999989</v>
      </c>
      <c r="G39" s="108">
        <f t="shared" si="9"/>
        <v>56874.678832999984</v>
      </c>
      <c r="H39" s="108">
        <f t="shared" si="9"/>
        <v>61488.841638955986</v>
      </c>
      <c r="I39" s="108">
        <f t="shared" si="9"/>
        <v>65999.814985796969</v>
      </c>
      <c r="J39" s="108">
        <f t="shared" si="9"/>
        <v>70231.582824433484</v>
      </c>
      <c r="K39" s="108">
        <f t="shared" si="9"/>
        <v>73999.972084739304</v>
      </c>
      <c r="L39" s="108">
        <f t="shared" si="9"/>
        <v>77124.836409823663</v>
      </c>
      <c r="M39" s="98"/>
    </row>
    <row r="40" spans="1:13">
      <c r="A40" s="44" t="s">
        <v>19</v>
      </c>
      <c r="B40" s="94">
        <f t="shared" ref="B40:L40" si="10">B7/B39</f>
        <v>9.0356269132604389E-2</v>
      </c>
      <c r="C40" s="90">
        <f t="shared" si="10"/>
        <v>9.6103177790436548E-2</v>
      </c>
      <c r="D40" s="90">
        <f t="shared" si="10"/>
        <v>0.10169927877279664</v>
      </c>
      <c r="E40" s="90">
        <f t="shared" si="10"/>
        <v>0.10707619696692501</v>
      </c>
      <c r="F40" s="90">
        <f t="shared" si="10"/>
        <v>0.11217023907055204</v>
      </c>
      <c r="G40" s="90">
        <f t="shared" si="10"/>
        <v>0.11692475239327189</v>
      </c>
      <c r="H40" s="90">
        <f t="shared" si="10"/>
        <v>0.12032921578102532</v>
      </c>
      <c r="I40" s="90">
        <f t="shared" si="10"/>
        <v>0.12271708307528478</v>
      </c>
      <c r="J40" s="90">
        <f t="shared" si="10"/>
        <v>0.12417025400859218</v>
      </c>
      <c r="K40" s="90">
        <f t="shared" si="10"/>
        <v>0.1247735050013787</v>
      </c>
      <c r="L40" s="110">
        <f t="shared" si="10"/>
        <v>0.12460652553056274</v>
      </c>
      <c r="M40" s="90">
        <f>IF('Input sheet'!B42="Yes",'Input sheet'!B43,'Valuation output'!L12)</f>
        <v>0.12000000000000004</v>
      </c>
    </row>
    <row r="41" spans="1:13">
      <c r="A41" s="46"/>
    </row>
  </sheetData>
  <phoneticPr fontId="6"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37" zoomScale="115" zoomScaleNormal="115" workbookViewId="0">
      <selection activeCell="D38" sqref="D38"/>
    </sheetView>
  </sheetViews>
  <sheetFormatPr defaultColWidth="11" defaultRowHeight="15.6"/>
  <cols>
    <col min="1" max="1" width="40.75" style="296" customWidth="1"/>
    <col min="2" max="2" width="21.25" style="296" customWidth="1"/>
    <col min="3" max="3" width="33" style="296" customWidth="1"/>
    <col min="4" max="4" width="16.5" style="296" customWidth="1"/>
    <col min="5" max="5" width="13.875" style="296" customWidth="1"/>
    <col min="6" max="6" width="24.625" style="297" customWidth="1"/>
    <col min="7" max="7" width="35.5" style="296" customWidth="1"/>
    <col min="8" max="8" width="17" customWidth="1"/>
    <col min="11" max="11" width="19.125" customWidth="1"/>
  </cols>
  <sheetData>
    <row r="1" spans="1:11">
      <c r="A1" s="370" t="str">
        <f>'Input sheet'!B2</f>
        <v>Beximco Pharma</v>
      </c>
      <c r="B1" s="370"/>
      <c r="C1" s="370"/>
      <c r="D1" s="370"/>
      <c r="E1" s="370"/>
      <c r="F1" s="370"/>
      <c r="G1" s="370"/>
    </row>
    <row r="2" spans="1:11">
      <c r="A2" s="371" t="s">
        <v>627</v>
      </c>
      <c r="B2" s="371"/>
      <c r="C2" s="371"/>
      <c r="D2" s="371"/>
      <c r="E2" s="371"/>
      <c r="F2" s="371"/>
      <c r="G2" s="371"/>
    </row>
    <row r="3" spans="1:11" ht="16.05" customHeight="1">
      <c r="A3" s="380" t="s">
        <v>762</v>
      </c>
      <c r="B3" s="381"/>
      <c r="C3" s="381"/>
      <c r="D3" s="381"/>
      <c r="E3" s="381"/>
      <c r="F3" s="381"/>
      <c r="G3" s="382"/>
      <c r="H3" s="389" t="s">
        <v>652</v>
      </c>
      <c r="I3" s="390"/>
      <c r="J3" s="390"/>
      <c r="K3" s="391"/>
    </row>
    <row r="4" spans="1:11" ht="16.05" customHeight="1">
      <c r="A4" s="383"/>
      <c r="B4" s="384"/>
      <c r="C4" s="384"/>
      <c r="D4" s="384"/>
      <c r="E4" s="384"/>
      <c r="F4" s="384"/>
      <c r="G4" s="385"/>
      <c r="H4" s="392"/>
      <c r="I4" s="393"/>
      <c r="J4" s="393"/>
      <c r="K4" s="394"/>
    </row>
    <row r="5" spans="1:11" ht="12" customHeight="1">
      <c r="A5" s="383"/>
      <c r="B5" s="384"/>
      <c r="C5" s="384"/>
      <c r="D5" s="384"/>
      <c r="E5" s="384"/>
      <c r="F5" s="384"/>
      <c r="G5" s="385"/>
      <c r="H5" s="392"/>
      <c r="I5" s="393"/>
      <c r="J5" s="393"/>
      <c r="K5" s="394"/>
    </row>
    <row r="6" spans="1:11" ht="12" customHeight="1">
      <c r="A6" s="386"/>
      <c r="B6" s="387"/>
      <c r="C6" s="387"/>
      <c r="D6" s="387"/>
      <c r="E6" s="387"/>
      <c r="F6" s="387"/>
      <c r="G6" s="388"/>
      <c r="H6" s="395"/>
      <c r="I6" s="396"/>
      <c r="J6" s="396"/>
      <c r="K6" s="397"/>
    </row>
    <row r="7" spans="1:11">
      <c r="A7" s="372" t="s">
        <v>628</v>
      </c>
      <c r="B7" s="373"/>
      <c r="C7" s="373"/>
      <c r="D7" s="373"/>
      <c r="E7" s="373"/>
      <c r="F7" s="373"/>
      <c r="G7" s="374"/>
    </row>
    <row r="8" spans="1:11">
      <c r="A8" s="271"/>
      <c r="B8" s="267" t="s">
        <v>629</v>
      </c>
      <c r="C8" s="268" t="s">
        <v>630</v>
      </c>
      <c r="D8" s="267" t="s">
        <v>631</v>
      </c>
      <c r="E8" s="267"/>
      <c r="F8" s="267" t="s">
        <v>43</v>
      </c>
      <c r="G8" s="269" t="s">
        <v>638</v>
      </c>
    </row>
    <row r="9" spans="1:11">
      <c r="A9" s="272" t="s">
        <v>639</v>
      </c>
      <c r="B9" s="273">
        <f>'Valuation output'!B3</f>
        <v>21724</v>
      </c>
      <c r="C9" s="274">
        <f>'Input sheet'!B23</f>
        <v>0.15</v>
      </c>
      <c r="D9" s="274">
        <f>F9</f>
        <v>0.06</v>
      </c>
      <c r="E9" s="275"/>
      <c r="F9" s="274">
        <f>'Valuation output'!M2</f>
        <v>0.06</v>
      </c>
      <c r="G9" s="294"/>
      <c r="H9" s="398" t="s">
        <v>653</v>
      </c>
      <c r="I9" s="399"/>
      <c r="J9" s="399"/>
      <c r="K9" s="400"/>
    </row>
    <row r="10" spans="1:11">
      <c r="A10" s="272" t="s">
        <v>640</v>
      </c>
      <c r="B10" s="274">
        <f>'Valuation output'!B4</f>
        <v>0.21535168477260175</v>
      </c>
      <c r="C10" s="276">
        <f>B10</f>
        <v>0.21535168477260175</v>
      </c>
      <c r="D10" s="277">
        <f>F10</f>
        <v>0.18568549731413431</v>
      </c>
      <c r="E10" s="277"/>
      <c r="F10" s="274">
        <f>'Valuation output'!M4</f>
        <v>0.18568549731413431</v>
      </c>
      <c r="G10" s="299"/>
      <c r="H10" s="401"/>
      <c r="I10" s="402"/>
      <c r="J10" s="402"/>
      <c r="K10" s="403"/>
    </row>
    <row r="11" spans="1:11">
      <c r="A11" s="272" t="s">
        <v>142</v>
      </c>
      <c r="B11" s="274">
        <f>'Valuation output'!B6</f>
        <v>0.24099999999999999</v>
      </c>
      <c r="C11" s="276">
        <f>B11</f>
        <v>0.24099999999999999</v>
      </c>
      <c r="D11" s="277">
        <f>F11</f>
        <v>0.25</v>
      </c>
      <c r="E11" s="277"/>
      <c r="F11" s="274">
        <f>'Valuation output'!M6</f>
        <v>0.25</v>
      </c>
      <c r="G11" s="299"/>
      <c r="H11" s="401"/>
      <c r="I11" s="402"/>
      <c r="J11" s="402"/>
      <c r="K11" s="403"/>
    </row>
    <row r="12" spans="1:11">
      <c r="A12" s="272" t="s">
        <v>641</v>
      </c>
      <c r="B12" s="275"/>
      <c r="C12" s="278" t="s">
        <v>645</v>
      </c>
      <c r="D12" s="279">
        <f>'Input sheet'!B26</f>
        <v>1.25</v>
      </c>
      <c r="E12" s="280" t="s">
        <v>657</v>
      </c>
      <c r="F12" s="281">
        <f>'Valuation output'!M2/'Valuation output'!M40</f>
        <v>0.49999999999999983</v>
      </c>
      <c r="G12" s="299"/>
      <c r="H12" s="401"/>
      <c r="I12" s="402"/>
      <c r="J12" s="402"/>
      <c r="K12" s="403"/>
    </row>
    <row r="13" spans="1:11">
      <c r="A13" s="301" t="s">
        <v>655</v>
      </c>
      <c r="B13" s="305">
        <f>'Valuation output'!B40</f>
        <v>9.0356269132604389E-2</v>
      </c>
      <c r="C13" s="308" t="s">
        <v>656</v>
      </c>
      <c r="D13" s="309">
        <f>Diagnostics!B6</f>
        <v>0.21506949761797195</v>
      </c>
      <c r="E13" s="302"/>
      <c r="F13" s="303">
        <f>'Valuation output'!M40</f>
        <v>0.12000000000000004</v>
      </c>
      <c r="G13" s="304"/>
      <c r="H13" s="401"/>
      <c r="I13" s="402"/>
      <c r="J13" s="402"/>
      <c r="K13" s="403"/>
    </row>
    <row r="14" spans="1:11" ht="16.2" thickBot="1">
      <c r="A14" s="282" t="s">
        <v>642</v>
      </c>
      <c r="B14" s="306"/>
      <c r="C14" s="276">
        <f>'Valuation output'!C12</f>
        <v>0.18349632642035563</v>
      </c>
      <c r="D14" s="277">
        <f>F14</f>
        <v>0.12</v>
      </c>
      <c r="E14" s="307"/>
      <c r="F14" s="283">
        <f>'Valuation output'!M12</f>
        <v>0.12</v>
      </c>
      <c r="G14" s="300"/>
      <c r="H14" s="404"/>
      <c r="I14" s="405"/>
      <c r="J14" s="405"/>
      <c r="K14" s="406"/>
    </row>
    <row r="15" spans="1:11" ht="16.2" thickBot="1">
      <c r="A15" s="375" t="s">
        <v>633</v>
      </c>
      <c r="B15" s="375"/>
      <c r="C15" s="375"/>
      <c r="D15" s="375"/>
      <c r="E15" s="375"/>
      <c r="F15" s="375"/>
      <c r="G15" s="375"/>
    </row>
    <row r="16" spans="1:11">
      <c r="A16" s="266"/>
      <c r="B16" s="270" t="s">
        <v>11</v>
      </c>
      <c r="C16" s="270" t="s">
        <v>632</v>
      </c>
      <c r="D16" s="270" t="s">
        <v>646</v>
      </c>
      <c r="E16" s="270" t="s">
        <v>634</v>
      </c>
      <c r="F16" s="270" t="s">
        <v>643</v>
      </c>
      <c r="G16" s="310" t="s">
        <v>16</v>
      </c>
      <c r="H16" s="407" t="s">
        <v>654</v>
      </c>
      <c r="I16" s="408"/>
      <c r="J16" s="408"/>
      <c r="K16" s="409"/>
    </row>
    <row r="17" spans="1:11">
      <c r="A17" s="284">
        <v>1</v>
      </c>
      <c r="B17" s="350">
        <f>'Valuation output'!C3</f>
        <v>24982.6</v>
      </c>
      <c r="C17" s="285">
        <f>'Valuation output'!C4</f>
        <v>0.212385066026755</v>
      </c>
      <c r="D17" s="352">
        <f>B17*C17</f>
        <v>5305.9311505200094</v>
      </c>
      <c r="E17" s="350">
        <f>'Valuation output'!C7</f>
        <v>4027.2017432446873</v>
      </c>
      <c r="F17" s="350">
        <f>'Valuation output'!C8</f>
        <v>2606.8799999999987</v>
      </c>
      <c r="G17" s="353">
        <f>E17-F17</f>
        <v>1420.3217432446886</v>
      </c>
      <c r="H17" s="410"/>
      <c r="I17" s="411"/>
      <c r="J17" s="411"/>
      <c r="K17" s="412"/>
    </row>
    <row r="18" spans="1:11">
      <c r="A18" s="284">
        <v>2</v>
      </c>
      <c r="B18" s="350">
        <f>'Valuation output'!D3</f>
        <v>28729.989999999994</v>
      </c>
      <c r="C18" s="285">
        <f>'Valuation output'!D4</f>
        <v>0.20941844728090825</v>
      </c>
      <c r="D18" s="352">
        <f t="shared" ref="D18:D26" si="0">B18*C18</f>
        <v>6016.5898961960202</v>
      </c>
      <c r="E18" s="350">
        <f>'Valuation output'!D7</f>
        <v>4566.5917312127795</v>
      </c>
      <c r="F18" s="350">
        <f>'Valuation output'!D8</f>
        <v>2997.9119999999966</v>
      </c>
      <c r="G18" s="353">
        <f t="shared" ref="G18:G27" si="1">E18-F18</f>
        <v>1568.6797312127828</v>
      </c>
      <c r="H18" s="410"/>
      <c r="I18" s="411"/>
      <c r="J18" s="411"/>
      <c r="K18" s="412"/>
    </row>
    <row r="19" spans="1:11">
      <c r="A19" s="284">
        <v>3</v>
      </c>
      <c r="B19" s="350">
        <f>'Valuation output'!E3</f>
        <v>33039.488499999992</v>
      </c>
      <c r="C19" s="285">
        <f>'Valuation output'!E4</f>
        <v>0.20645182853506153</v>
      </c>
      <c r="D19" s="352">
        <f t="shared" si="0"/>
        <v>6821.0628146881354</v>
      </c>
      <c r="E19" s="350">
        <f>'Valuation output'!E7</f>
        <v>5177.1866763482949</v>
      </c>
      <c r="F19" s="350">
        <f>'Valuation output'!E8</f>
        <v>3447.5987999999984</v>
      </c>
      <c r="G19" s="353">
        <f t="shared" si="1"/>
        <v>1729.5878763482965</v>
      </c>
      <c r="H19" s="410"/>
      <c r="I19" s="411"/>
      <c r="J19" s="411"/>
      <c r="K19" s="412"/>
    </row>
    <row r="20" spans="1:11">
      <c r="A20" s="284">
        <v>4</v>
      </c>
      <c r="B20" s="350">
        <f>'Valuation output'!F3</f>
        <v>37995.411774999986</v>
      </c>
      <c r="C20" s="285">
        <f>'Valuation output'!F4</f>
        <v>0.20348520978921478</v>
      </c>
      <c r="D20" s="352">
        <f t="shared" si="0"/>
        <v>7731.5043360634736</v>
      </c>
      <c r="E20" s="350">
        <f>'Valuation output'!F7</f>
        <v>5868.2117910721763</v>
      </c>
      <c r="F20" s="350">
        <f>'Valuation output'!F8</f>
        <v>3964.7386199999951</v>
      </c>
      <c r="G20" s="353">
        <f t="shared" si="1"/>
        <v>1903.4731710721812</v>
      </c>
      <c r="H20" s="410"/>
      <c r="I20" s="411"/>
      <c r="J20" s="411"/>
      <c r="K20" s="412"/>
    </row>
    <row r="21" spans="1:11">
      <c r="A21" s="284">
        <v>5</v>
      </c>
      <c r="B21" s="350">
        <f>'Valuation output'!G3</f>
        <v>43694.723541249979</v>
      </c>
      <c r="C21" s="285">
        <f>'Valuation output'!G4</f>
        <v>0.20051859104336803</v>
      </c>
      <c r="D21" s="352">
        <f t="shared" si="0"/>
        <v>8761.6044005209296</v>
      </c>
      <c r="E21" s="350">
        <f>'Valuation output'!G7</f>
        <v>6650.0577399953854</v>
      </c>
      <c r="F21" s="350">
        <f>'Valuation output'!G8</f>
        <v>4559.4494129999948</v>
      </c>
      <c r="G21" s="353">
        <f t="shared" si="1"/>
        <v>2090.6083269953906</v>
      </c>
      <c r="H21" s="410"/>
      <c r="I21" s="411"/>
      <c r="J21" s="411"/>
      <c r="K21" s="412"/>
    </row>
    <row r="22" spans="1:11">
      <c r="A22" s="284">
        <v>6</v>
      </c>
      <c r="B22" s="350">
        <f>'Valuation output'!H3</f>
        <v>49462.427048694983</v>
      </c>
      <c r="C22" s="285">
        <f>'Valuation output'!H4</f>
        <v>0.19755197229752128</v>
      </c>
      <c r="D22" s="352">
        <f t="shared" si="0"/>
        <v>9771.4000180919575</v>
      </c>
      <c r="E22" s="350">
        <f>'Valuation output'!H7</f>
        <v>7398.9040936992296</v>
      </c>
      <c r="F22" s="350">
        <f>'Valuation output'!H8</f>
        <v>4614.1628059560026</v>
      </c>
      <c r="G22" s="353">
        <f t="shared" si="1"/>
        <v>2784.7412877432271</v>
      </c>
      <c r="H22" s="410"/>
      <c r="I22" s="411"/>
      <c r="J22" s="411"/>
      <c r="K22" s="412"/>
    </row>
    <row r="23" spans="1:11">
      <c r="A23" s="284">
        <v>7</v>
      </c>
      <c r="B23" s="350">
        <f>'Valuation output'!I3</f>
        <v>55101.143732246208</v>
      </c>
      <c r="C23" s="285">
        <f>'Valuation output'!I4</f>
        <v>0.19458535355167453</v>
      </c>
      <c r="D23" s="352">
        <f t="shared" si="0"/>
        <v>10721.875534240764</v>
      </c>
      <c r="E23" s="350">
        <f>'Valuation output'!I7</f>
        <v>8099.3047785654726</v>
      </c>
      <c r="F23" s="350">
        <f>'Valuation output'!I8</f>
        <v>4510.9733468409804</v>
      </c>
      <c r="G23" s="353">
        <f t="shared" si="1"/>
        <v>3588.3314317244922</v>
      </c>
      <c r="H23" s="410"/>
      <c r="I23" s="411"/>
      <c r="J23" s="411"/>
      <c r="K23" s="412"/>
    </row>
    <row r="24" spans="1:11">
      <c r="A24" s="284">
        <v>8</v>
      </c>
      <c r="B24" s="350">
        <f>'Valuation output'!J3</f>
        <v>60390.853530541848</v>
      </c>
      <c r="C24" s="285">
        <f>'Valuation output'!J4</f>
        <v>0.19161873480582781</v>
      </c>
      <c r="D24" s="352">
        <f t="shared" si="0"/>
        <v>11572.018947366489</v>
      </c>
      <c r="E24" s="350">
        <f>'Valuation output'!J7</f>
        <v>8720.6734787353853</v>
      </c>
      <c r="F24" s="350">
        <f>'Valuation output'!J8</f>
        <v>4231.7678386365124</v>
      </c>
      <c r="G24" s="353">
        <f t="shared" si="1"/>
        <v>4488.9056400988729</v>
      </c>
      <c r="H24" s="410"/>
      <c r="I24" s="411"/>
      <c r="J24" s="411"/>
      <c r="K24" s="412"/>
    </row>
    <row r="25" spans="1:11">
      <c r="A25" s="284">
        <v>9</v>
      </c>
      <c r="B25" s="350">
        <f>'Valuation output'!K3</f>
        <v>65101.340105924115</v>
      </c>
      <c r="C25" s="285">
        <f>'Valuation output'!K4</f>
        <v>0.18865211605998106</v>
      </c>
      <c r="D25" s="352">
        <f t="shared" si="0"/>
        <v>12281.505569323095</v>
      </c>
      <c r="E25" s="350">
        <f>'Valuation output'!K7</f>
        <v>9233.2358870171029</v>
      </c>
      <c r="F25" s="350">
        <f>'Valuation output'!K8</f>
        <v>3768.3892603058134</v>
      </c>
      <c r="G25" s="353">
        <f t="shared" si="1"/>
        <v>5464.846626711289</v>
      </c>
      <c r="H25" s="410"/>
      <c r="I25" s="411"/>
      <c r="J25" s="411"/>
      <c r="K25" s="412"/>
    </row>
    <row r="26" spans="1:11">
      <c r="A26" s="284">
        <v>10</v>
      </c>
      <c r="B26" s="350">
        <f>'Valuation output'!L3</f>
        <v>69007.420512279568</v>
      </c>
      <c r="C26" s="285">
        <f>'Valuation output'!L4</f>
        <v>0.18568549731413431</v>
      </c>
      <c r="D26" s="352">
        <f t="shared" si="0"/>
        <v>12813.677196188224</v>
      </c>
      <c r="E26" s="350">
        <f>'Valuation output'!L7</f>
        <v>9610.2578971411676</v>
      </c>
      <c r="F26" s="350">
        <f>'Valuation output'!L8</f>
        <v>3124.8643250843625</v>
      </c>
      <c r="G26" s="353">
        <f t="shared" si="1"/>
        <v>6485.3935720568052</v>
      </c>
      <c r="H26" s="410"/>
      <c r="I26" s="411"/>
      <c r="J26" s="411"/>
      <c r="K26" s="412"/>
    </row>
    <row r="27" spans="1:11" ht="16.2" thickBot="1">
      <c r="A27" s="286" t="s">
        <v>45</v>
      </c>
      <c r="B27" s="351">
        <f>'Valuation output'!M3</f>
        <v>73147.865743016344</v>
      </c>
      <c r="C27" s="287">
        <f>'Valuation output'!M4</f>
        <v>0.18568549731413431</v>
      </c>
      <c r="D27" s="352">
        <f>B27*C27</f>
        <v>13582.497827959518</v>
      </c>
      <c r="E27" s="351">
        <f>'Valuation output'!M7</f>
        <v>10186.873370969639</v>
      </c>
      <c r="F27" s="351">
        <f>'Valuation output'!M8</f>
        <v>5093.4366854848176</v>
      </c>
      <c r="G27" s="353">
        <f t="shared" si="1"/>
        <v>5093.4366854848213</v>
      </c>
      <c r="H27" s="413"/>
      <c r="I27" s="414"/>
      <c r="J27" s="414"/>
      <c r="K27" s="415"/>
    </row>
    <row r="28" spans="1:11" ht="16.2" thickBot="1">
      <c r="A28" s="376" t="s">
        <v>635</v>
      </c>
      <c r="B28" s="376"/>
      <c r="C28" s="376"/>
      <c r="D28" s="376"/>
      <c r="E28" s="376"/>
      <c r="F28" s="376"/>
      <c r="G28" s="376"/>
    </row>
    <row r="29" spans="1:11">
      <c r="A29" s="377" t="s">
        <v>636</v>
      </c>
      <c r="B29" s="378"/>
      <c r="C29" s="379"/>
      <c r="D29" s="354">
        <f>'Valuation output'!B18</f>
        <v>84890.611424747025</v>
      </c>
      <c r="E29" s="288"/>
      <c r="F29" s="289"/>
      <c r="G29" s="290"/>
      <c r="H29" s="416" t="s">
        <v>658</v>
      </c>
      <c r="I29" s="417"/>
      <c r="J29" s="417"/>
      <c r="K29" s="417"/>
    </row>
    <row r="30" spans="1:11">
      <c r="A30" s="367" t="s">
        <v>637</v>
      </c>
      <c r="B30" s="368"/>
      <c r="C30" s="369"/>
      <c r="D30" s="355">
        <f>'Valuation output'!B19</f>
        <v>18557.051318186721</v>
      </c>
      <c r="E30" s="291"/>
      <c r="F30" s="292"/>
      <c r="G30" s="293"/>
      <c r="H30" s="416"/>
      <c r="I30" s="417"/>
      <c r="J30" s="417"/>
      <c r="K30" s="417"/>
    </row>
    <row r="31" spans="1:11">
      <c r="A31" s="367" t="s">
        <v>46</v>
      </c>
      <c r="B31" s="368"/>
      <c r="C31" s="369"/>
      <c r="D31" s="355">
        <f>'Valuation output'!B20</f>
        <v>11398.825851873267</v>
      </c>
      <c r="E31" s="291"/>
      <c r="F31" s="292"/>
      <c r="G31" s="293"/>
      <c r="H31" s="416"/>
      <c r="I31" s="417"/>
      <c r="J31" s="417"/>
      <c r="K31" s="417"/>
    </row>
    <row r="32" spans="1:11">
      <c r="A32" s="367" t="s">
        <v>44</v>
      </c>
      <c r="B32" s="368"/>
      <c r="C32" s="369"/>
      <c r="D32" s="355">
        <f>'Valuation output'!B21</f>
        <v>29955.87717005999</v>
      </c>
      <c r="E32" s="291"/>
      <c r="F32" s="292"/>
      <c r="G32" s="293"/>
      <c r="H32" s="416"/>
      <c r="I32" s="417"/>
      <c r="J32" s="417"/>
      <c r="K32" s="417"/>
    </row>
    <row r="33" spans="1:11">
      <c r="A33" s="367" t="s">
        <v>647</v>
      </c>
      <c r="B33" s="368"/>
      <c r="C33" s="369"/>
      <c r="D33" s="356">
        <f>D32-'Valuation output'!B24</f>
        <v>0</v>
      </c>
      <c r="E33" s="418" t="s">
        <v>112</v>
      </c>
      <c r="F33" s="419"/>
      <c r="G33" s="311">
        <f>'Valuation output'!B22</f>
        <v>0</v>
      </c>
      <c r="H33" s="402"/>
      <c r="I33" s="417"/>
      <c r="J33" s="417"/>
      <c r="K33" s="417"/>
    </row>
    <row r="34" spans="1:11">
      <c r="A34" s="367" t="s">
        <v>648</v>
      </c>
      <c r="B34" s="368"/>
      <c r="C34" s="369"/>
      <c r="D34" s="355">
        <f>'Valuation output'!B25+'Valuation output'!B26</f>
        <v>11334.9</v>
      </c>
      <c r="E34" s="291"/>
      <c r="F34" s="292"/>
      <c r="G34" s="293"/>
      <c r="H34" s="416"/>
      <c r="I34" s="417"/>
      <c r="J34" s="417"/>
      <c r="K34" s="417"/>
    </row>
    <row r="35" spans="1:11">
      <c r="A35" s="367" t="s">
        <v>649</v>
      </c>
      <c r="B35" s="368"/>
      <c r="C35" s="369"/>
      <c r="D35" s="355">
        <f>'Valuation output'!B27+'Valuation output'!B28</f>
        <v>1241.5</v>
      </c>
      <c r="E35" s="291"/>
      <c r="F35" s="292"/>
      <c r="G35" s="293"/>
      <c r="H35" s="416"/>
      <c r="I35" s="417"/>
      <c r="J35" s="417"/>
      <c r="K35" s="417"/>
    </row>
    <row r="36" spans="1:11">
      <c r="A36" s="367" t="s">
        <v>54</v>
      </c>
      <c r="B36" s="368"/>
      <c r="C36" s="369"/>
      <c r="D36" s="355">
        <f>D32-D33-D34+D35</f>
        <v>19862.477170059989</v>
      </c>
      <c r="E36" s="291"/>
      <c r="F36" s="292"/>
      <c r="G36" s="293"/>
      <c r="H36" s="416"/>
      <c r="I36" s="417"/>
      <c r="J36" s="417"/>
      <c r="K36" s="417"/>
    </row>
    <row r="37" spans="1:11">
      <c r="A37" s="367" t="s">
        <v>650</v>
      </c>
      <c r="B37" s="368"/>
      <c r="C37" s="369"/>
      <c r="D37" s="355">
        <f>'Valuation output'!B30</f>
        <v>0</v>
      </c>
      <c r="E37" s="291"/>
      <c r="F37" s="292"/>
      <c r="G37" s="293"/>
      <c r="H37" s="416"/>
      <c r="I37" s="417"/>
      <c r="J37" s="417"/>
      <c r="K37" s="417"/>
    </row>
    <row r="38" spans="1:11" ht="16.2" thickBot="1">
      <c r="A38" s="420" t="s">
        <v>644</v>
      </c>
      <c r="B38" s="421"/>
      <c r="C38" s="421"/>
      <c r="D38" s="298">
        <f>'Valuation output'!B32</f>
        <v>405.6</v>
      </c>
      <c r="E38" s="292"/>
      <c r="F38" s="295"/>
      <c r="G38" s="293"/>
      <c r="H38" s="416"/>
      <c r="I38" s="417"/>
      <c r="J38" s="417"/>
      <c r="K38" s="417"/>
    </row>
    <row r="39" spans="1:11" ht="16.2" thickBot="1">
      <c r="A39" s="422" t="s">
        <v>621</v>
      </c>
      <c r="B39" s="423"/>
      <c r="C39" s="423"/>
      <c r="D39" s="357">
        <f>(D36-D37)/D38</f>
        <v>48.970604462672554</v>
      </c>
      <c r="E39" s="424" t="s">
        <v>651</v>
      </c>
      <c r="F39" s="425"/>
      <c r="G39" s="358">
        <f>'Input sheet'!B19</f>
        <v>83</v>
      </c>
      <c r="H39" s="416"/>
      <c r="I39" s="417"/>
      <c r="J39" s="417"/>
      <c r="K39" s="417"/>
    </row>
  </sheetData>
  <mergeCells count="23">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5:C35"/>
    <mergeCell ref="A36:C36"/>
    <mergeCell ref="A1:G1"/>
    <mergeCell ref="A2:G2"/>
    <mergeCell ref="A7:G7"/>
    <mergeCell ref="A15:G15"/>
    <mergeCell ref="A28:G28"/>
    <mergeCell ref="A30:C30"/>
  </mergeCells>
  <pageMargins left="0.75" right="0.75" top="1" bottom="1" header="0.3" footer="0.3"/>
  <pageSetup orientation="portrait"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opLeftCell="A7" zoomScale="125" zoomScaleNormal="125" workbookViewId="0">
      <selection activeCell="C11" sqref="C11"/>
    </sheetView>
  </sheetViews>
  <sheetFormatPr defaultColWidth="10.875" defaultRowHeight="15"/>
  <cols>
    <col min="1" max="1" width="61.625" style="5" customWidth="1"/>
    <col min="2" max="2" width="43.875" style="5" customWidth="1"/>
    <col min="3" max="3" width="68" style="5" bestFit="1" customWidth="1"/>
    <col min="4" max="16384" width="10.875" style="5"/>
  </cols>
  <sheetData>
    <row r="1" spans="1:4" s="144" customFormat="1" ht="13.2">
      <c r="A1" s="146" t="s">
        <v>97</v>
      </c>
      <c r="B1" s="147"/>
    </row>
    <row r="2" spans="1:4" s="144" customFormat="1" ht="13.2">
      <c r="A2" s="147" t="s">
        <v>7</v>
      </c>
      <c r="B2" s="148">
        <f>'Valuation output'!B39</f>
        <v>39298.1</v>
      </c>
    </row>
    <row r="3" spans="1:4" s="144" customFormat="1" ht="13.2">
      <c r="A3" s="147" t="s">
        <v>8</v>
      </c>
      <c r="B3" s="148">
        <f>'Valuation output'!L39</f>
        <v>77124.836409823663</v>
      </c>
    </row>
    <row r="4" spans="1:4" s="144" customFormat="1" ht="13.2">
      <c r="A4" s="147" t="s">
        <v>9</v>
      </c>
      <c r="B4" s="148">
        <f>B3-B2</f>
        <v>37826.736409823665</v>
      </c>
    </row>
    <row r="5" spans="1:4" s="144" customFormat="1" ht="13.2">
      <c r="A5" s="147" t="s">
        <v>10</v>
      </c>
      <c r="B5" s="148">
        <f>'Valuation output'!L5-'Valuation output'!B5</f>
        <v>8135.3771961882239</v>
      </c>
    </row>
    <row r="6" spans="1:4" s="144" customFormat="1" ht="13.2">
      <c r="A6" s="147" t="s">
        <v>4</v>
      </c>
      <c r="B6" s="149">
        <f>B5/B4</f>
        <v>0.21506949761797195</v>
      </c>
    </row>
    <row r="7" spans="1:4" s="144" customFormat="1" ht="13.2">
      <c r="A7" s="147" t="s">
        <v>5</v>
      </c>
      <c r="B7" s="149">
        <f>'Valuation output'!L40</f>
        <v>0.12460652553056274</v>
      </c>
    </row>
    <row r="8" spans="1:4" s="144" customFormat="1" ht="13.2">
      <c r="A8" s="147" t="s">
        <v>240</v>
      </c>
      <c r="B8" s="149">
        <f>(1/'Valuation output'!L13)^(1/10)-1</f>
        <v>0.164220036395333</v>
      </c>
    </row>
    <row r="9" spans="1:4" s="144" customFormat="1" ht="13.8" thickBot="1">
      <c r="A9" s="150" t="s">
        <v>28</v>
      </c>
      <c r="B9" s="151">
        <f>'Valuation output'!B33/'Valuation output'!B34</f>
        <v>0.59000728268280189</v>
      </c>
    </row>
    <row r="10" spans="1:4" s="144" customFormat="1" ht="13.8" thickBot="1">
      <c r="A10" s="152"/>
      <c r="B10" s="426" t="str">
        <f>IF(B9="NA","Value is negative. See below",IF(B9&gt;2,"Value seems high. See below",IF(B9&lt;0.5,"Value seems low. See below"," ")))</f>
        <v xml:space="preserve"> </v>
      </c>
      <c r="C10" s="427"/>
    </row>
    <row r="11" spans="1:4" s="8" customFormat="1" ht="13.8">
      <c r="A11" s="211" t="s">
        <v>6</v>
      </c>
      <c r="B11" s="212" t="s">
        <v>0</v>
      </c>
      <c r="C11" s="213" t="s">
        <v>1</v>
      </c>
    </row>
    <row r="12" spans="1:4" s="8" customFormat="1" ht="13.2">
      <c r="A12" s="222" t="s">
        <v>154</v>
      </c>
      <c r="B12" s="214" t="s">
        <v>2</v>
      </c>
      <c r="C12" s="215" t="s">
        <v>3</v>
      </c>
    </row>
    <row r="13" spans="1:4" s="8" customFormat="1" ht="13.2">
      <c r="A13" s="222" t="s">
        <v>155</v>
      </c>
      <c r="B13" s="216" t="s">
        <v>152</v>
      </c>
      <c r="C13" s="217" t="s">
        <v>153</v>
      </c>
      <c r="D13" s="8" t="s">
        <v>159</v>
      </c>
    </row>
    <row r="14" spans="1:4" s="8" customFormat="1" ht="13.2">
      <c r="A14" s="223" t="s">
        <v>156</v>
      </c>
      <c r="B14" s="218" t="s">
        <v>150</v>
      </c>
      <c r="C14" s="219" t="s">
        <v>151</v>
      </c>
      <c r="D14" s="8" t="s">
        <v>159</v>
      </c>
    </row>
    <row r="15" spans="1:4" s="8" customFormat="1" ht="13.8" thickBot="1">
      <c r="A15" s="224" t="s">
        <v>161</v>
      </c>
      <c r="B15" s="220" t="s">
        <v>157</v>
      </c>
      <c r="C15" s="221" t="s">
        <v>158</v>
      </c>
      <c r="D15" s="8" t="s">
        <v>160</v>
      </c>
    </row>
    <row r="16" spans="1:4">
      <c r="B16" s="79"/>
    </row>
  </sheetData>
  <mergeCells count="1">
    <mergeCell ref="B10:C10"/>
  </mergeCells>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37" zoomScale="130" zoomScaleNormal="130" workbookViewId="0">
      <selection activeCell="F50" sqref="F50"/>
    </sheetView>
  </sheetViews>
  <sheetFormatPr defaultColWidth="11" defaultRowHeight="11.4"/>
  <cols>
    <col min="2" max="2" width="17.5" customWidth="1"/>
    <col min="4" max="4" width="11" style="181"/>
    <col min="5" max="5" width="17.25" customWidth="1"/>
    <col min="6" max="6" width="15.75" customWidth="1"/>
  </cols>
  <sheetData>
    <row r="1" spans="1:8" s="321" customFormat="1" ht="42" thickBot="1">
      <c r="A1" s="320" t="s">
        <v>120</v>
      </c>
      <c r="B1" s="320" t="s">
        <v>11</v>
      </c>
      <c r="C1" s="320" t="s">
        <v>664</v>
      </c>
      <c r="D1" s="432" t="s">
        <v>680</v>
      </c>
      <c r="E1" s="320" t="s">
        <v>665</v>
      </c>
      <c r="F1" s="320" t="s">
        <v>48</v>
      </c>
      <c r="G1" s="320" t="s">
        <v>666</v>
      </c>
      <c r="H1" s="320" t="s">
        <v>667</v>
      </c>
    </row>
    <row r="2" spans="1:8" s="321" customFormat="1" ht="12">
      <c r="A2" s="321" t="s">
        <v>679</v>
      </c>
      <c r="B2" s="322">
        <f>'Valuation output'!B3</f>
        <v>21724</v>
      </c>
      <c r="D2" s="433">
        <f>'Valuation output'!B4</f>
        <v>0.21535168477260175</v>
      </c>
      <c r="E2" s="322">
        <f>B2*D2</f>
        <v>4678.3</v>
      </c>
      <c r="F2" s="322">
        <f>'Valuation output'!B10</f>
        <v>0</v>
      </c>
      <c r="G2" s="322">
        <f>E2-H2</f>
        <v>1127.4703</v>
      </c>
      <c r="H2" s="322">
        <f>'Valuation output'!B7</f>
        <v>3550.8297000000002</v>
      </c>
    </row>
    <row r="3" spans="1:8" s="321" customFormat="1" ht="12">
      <c r="A3" s="321">
        <v>1</v>
      </c>
      <c r="B3" s="322">
        <f>'Valuation output'!C3</f>
        <v>24982.6</v>
      </c>
      <c r="C3" s="323">
        <f>'Valuation output'!C2</f>
        <v>0.15</v>
      </c>
      <c r="D3" s="433">
        <f>'Valuation output'!C4</f>
        <v>0.212385066026755</v>
      </c>
      <c r="E3" s="322">
        <f>B3*D3</f>
        <v>5305.9311505200094</v>
      </c>
      <c r="F3" s="322">
        <f>'Valuation output'!C10</f>
        <v>0</v>
      </c>
      <c r="G3" s="322">
        <f t="shared" ref="G3:G12" si="0">E3-H3</f>
        <v>1278.729407275322</v>
      </c>
      <c r="H3" s="322">
        <f>'Valuation output'!C7</f>
        <v>4027.2017432446873</v>
      </c>
    </row>
    <row r="4" spans="1:8" s="321" customFormat="1" ht="12">
      <c r="A4" s="321">
        <v>2</v>
      </c>
      <c r="B4" s="325">
        <f>'Valuation output'!D3</f>
        <v>28729.989999999994</v>
      </c>
      <c r="C4" s="323">
        <f>B4/B3-1</f>
        <v>0.14999999999999991</v>
      </c>
      <c r="D4" s="433">
        <f>'Valuation output'!D4</f>
        <v>0.20941844728090825</v>
      </c>
      <c r="E4" s="322">
        <f t="shared" ref="E4:E12" si="1">B4*D4</f>
        <v>6016.5898961960202</v>
      </c>
      <c r="F4" s="322">
        <f>'Valuation output'!D10</f>
        <v>0</v>
      </c>
      <c r="G4" s="322">
        <f t="shared" si="0"/>
        <v>1449.9981649832407</v>
      </c>
      <c r="H4" s="322">
        <f>'Valuation output'!D7</f>
        <v>4566.5917312127795</v>
      </c>
    </row>
    <row r="5" spans="1:8" s="321" customFormat="1" ht="12">
      <c r="A5" s="321">
        <v>3</v>
      </c>
      <c r="B5" s="322">
        <f>'Valuation output'!E3</f>
        <v>33039.488499999992</v>
      </c>
      <c r="C5" s="323">
        <f t="shared" ref="C5:C12" si="2">B5/B4-1</f>
        <v>0.14999999999999991</v>
      </c>
      <c r="D5" s="433">
        <f>'Valuation output'!E4</f>
        <v>0.20645182853506153</v>
      </c>
      <c r="E5" s="322">
        <f t="shared" si="1"/>
        <v>6821.0628146881354</v>
      </c>
      <c r="F5" s="322">
        <f>'Valuation output'!E10</f>
        <v>0</v>
      </c>
      <c r="G5" s="322">
        <f t="shared" si="0"/>
        <v>1643.8761383398405</v>
      </c>
      <c r="H5" s="322">
        <f>'Valuation output'!E7</f>
        <v>5177.1866763482949</v>
      </c>
    </row>
    <row r="6" spans="1:8" s="321" customFormat="1" ht="12">
      <c r="A6" s="321">
        <v>4</v>
      </c>
      <c r="B6" s="322">
        <f>'Valuation output'!F3</f>
        <v>37995.411774999986</v>
      </c>
      <c r="C6" s="323">
        <f t="shared" si="2"/>
        <v>0.14999999999999991</v>
      </c>
      <c r="D6" s="433">
        <f>'Valuation output'!F4</f>
        <v>0.20348520978921478</v>
      </c>
      <c r="E6" s="322">
        <f t="shared" si="1"/>
        <v>7731.5043360634736</v>
      </c>
      <c r="F6" s="322">
        <f>'Valuation output'!F10</f>
        <v>0</v>
      </c>
      <c r="G6" s="322">
        <f t="shared" si="0"/>
        <v>1863.2925449912973</v>
      </c>
      <c r="H6" s="322">
        <f>'Valuation output'!F7</f>
        <v>5868.2117910721763</v>
      </c>
    </row>
    <row r="7" spans="1:8" s="321" customFormat="1" ht="12">
      <c r="A7" s="321">
        <v>5</v>
      </c>
      <c r="B7" s="322">
        <f>'Valuation output'!G3</f>
        <v>43694.723541249979</v>
      </c>
      <c r="C7" s="323">
        <f t="shared" si="2"/>
        <v>0.14999999999999991</v>
      </c>
      <c r="D7" s="433">
        <f>'Valuation output'!G4</f>
        <v>0.20051859104336803</v>
      </c>
      <c r="E7" s="322">
        <f t="shared" si="1"/>
        <v>8761.6044005209296</v>
      </c>
      <c r="F7" s="322">
        <f>'Valuation output'!G10</f>
        <v>0</v>
      </c>
      <c r="G7" s="322">
        <f t="shared" si="0"/>
        <v>2111.5466605255442</v>
      </c>
      <c r="H7" s="322">
        <f>'Valuation output'!G7</f>
        <v>6650.0577399953854</v>
      </c>
    </row>
    <row r="8" spans="1:8" s="321" customFormat="1" ht="12">
      <c r="A8" s="321">
        <v>6</v>
      </c>
      <c r="B8" s="322">
        <f>'Valuation output'!H3</f>
        <v>49462.427048694983</v>
      </c>
      <c r="C8" s="323">
        <f t="shared" si="2"/>
        <v>0.13200000000000012</v>
      </c>
      <c r="D8" s="433">
        <f>'Valuation output'!H4</f>
        <v>0.19755197229752128</v>
      </c>
      <c r="E8" s="322">
        <f t="shared" si="1"/>
        <v>9771.4000180919575</v>
      </c>
      <c r="F8" s="322">
        <f>'Valuation output'!H10</f>
        <v>0</v>
      </c>
      <c r="G8" s="322">
        <f t="shared" si="0"/>
        <v>2372.4959243927278</v>
      </c>
      <c r="H8" s="322">
        <f>'Valuation output'!H7</f>
        <v>7398.9040936992296</v>
      </c>
    </row>
    <row r="9" spans="1:8" s="321" customFormat="1" ht="12">
      <c r="A9" s="321">
        <v>7</v>
      </c>
      <c r="B9" s="322">
        <f>'Valuation output'!I3</f>
        <v>55101.143732246208</v>
      </c>
      <c r="C9" s="323">
        <f t="shared" si="2"/>
        <v>0.11399999999999988</v>
      </c>
      <c r="D9" s="433">
        <f>'Valuation output'!I4</f>
        <v>0.19458535355167453</v>
      </c>
      <c r="E9" s="322">
        <f t="shared" si="1"/>
        <v>10721.875534240764</v>
      </c>
      <c r="F9" s="322">
        <f>'Valuation output'!I10</f>
        <v>0</v>
      </c>
      <c r="G9" s="322">
        <f t="shared" si="0"/>
        <v>2622.5707556752914</v>
      </c>
      <c r="H9" s="322">
        <f>'Valuation output'!I7</f>
        <v>8099.3047785654726</v>
      </c>
    </row>
    <row r="10" spans="1:8" s="321" customFormat="1" ht="12">
      <c r="A10" s="321">
        <v>8</v>
      </c>
      <c r="B10" s="322">
        <f>'Valuation output'!J3</f>
        <v>60390.853530541848</v>
      </c>
      <c r="C10" s="323">
        <f t="shared" si="2"/>
        <v>9.6000000000000085E-2</v>
      </c>
      <c r="D10" s="433">
        <f>'Valuation output'!J4</f>
        <v>0.19161873480582781</v>
      </c>
      <c r="E10" s="322">
        <f t="shared" si="1"/>
        <v>11572.018947366489</v>
      </c>
      <c r="F10" s="322">
        <f>'Valuation output'!J10</f>
        <v>0</v>
      </c>
      <c r="G10" s="322">
        <f t="shared" si="0"/>
        <v>2851.3454686311034</v>
      </c>
      <c r="H10" s="322">
        <f>'Valuation output'!J7</f>
        <v>8720.6734787353853</v>
      </c>
    </row>
    <row r="11" spans="1:8" s="321" customFormat="1" ht="12">
      <c r="A11" s="321">
        <v>9</v>
      </c>
      <c r="B11" s="322">
        <f>'Valuation output'!K3</f>
        <v>65101.340105924115</v>
      </c>
      <c r="C11" s="323">
        <f t="shared" si="2"/>
        <v>7.8000000000000069E-2</v>
      </c>
      <c r="D11" s="433">
        <f>'Valuation output'!K4</f>
        <v>0.18865211605998106</v>
      </c>
      <c r="E11" s="322">
        <f t="shared" si="1"/>
        <v>12281.505569323095</v>
      </c>
      <c r="F11" s="322">
        <f>'Valuation output'!K10</f>
        <v>0</v>
      </c>
      <c r="G11" s="322">
        <f t="shared" si="0"/>
        <v>3048.2696823059923</v>
      </c>
      <c r="H11" s="322">
        <f>'Valuation output'!K7</f>
        <v>9233.2358870171029</v>
      </c>
    </row>
    <row r="12" spans="1:8" s="321" customFormat="1" ht="12">
      <c r="A12" s="321">
        <v>10</v>
      </c>
      <c r="B12" s="322">
        <f>'Valuation output'!L3</f>
        <v>69007.420512279568</v>
      </c>
      <c r="C12" s="323">
        <f t="shared" si="2"/>
        <v>6.0000000000000053E-2</v>
      </c>
      <c r="D12" s="433">
        <f>'Valuation output'!L4</f>
        <v>0.18568549731413431</v>
      </c>
      <c r="E12" s="322">
        <f t="shared" si="1"/>
        <v>12813.677196188224</v>
      </c>
      <c r="F12" s="322">
        <f>'Valuation output'!L10</f>
        <v>0</v>
      </c>
      <c r="G12" s="322">
        <f t="shared" si="0"/>
        <v>3203.4192990470565</v>
      </c>
      <c r="H12" s="322">
        <f>'Valuation output'!L7</f>
        <v>9610.2578971411676</v>
      </c>
    </row>
    <row r="13" spans="1:8" s="321" customFormat="1" ht="12.6" thickBot="1">
      <c r="D13" s="434"/>
    </row>
    <row r="14" spans="1:8" s="321" customFormat="1" ht="42" thickBot="1">
      <c r="A14" s="320" t="s">
        <v>120</v>
      </c>
      <c r="B14" s="320" t="s">
        <v>667</v>
      </c>
      <c r="C14" s="320" t="s">
        <v>668</v>
      </c>
      <c r="D14" s="432" t="s">
        <v>669</v>
      </c>
      <c r="E14" s="320" t="s">
        <v>670</v>
      </c>
      <c r="F14" s="320" t="s">
        <v>16</v>
      </c>
      <c r="G14" s="320" t="s">
        <v>671</v>
      </c>
      <c r="H14" s="320" t="s">
        <v>672</v>
      </c>
    </row>
    <row r="15" spans="1:8" s="321" customFormat="1" ht="12">
      <c r="A15" s="321" t="str">
        <f>A2</f>
        <v>Traling 12 month</v>
      </c>
      <c r="B15" s="322">
        <f>H2</f>
        <v>3550.8297000000002</v>
      </c>
      <c r="D15" s="434"/>
      <c r="G15" s="326">
        <f>'Valuation output'!B39</f>
        <v>39298.1</v>
      </c>
      <c r="H15" s="327">
        <f>B15/G15</f>
        <v>9.0356269132604389E-2</v>
      </c>
    </row>
    <row r="16" spans="1:8" s="321" customFormat="1" ht="12">
      <c r="A16" s="321">
        <f t="shared" ref="A16:A24" si="3">A3</f>
        <v>1</v>
      </c>
      <c r="B16" s="322">
        <f t="shared" ref="B16:B25" si="4">H3</f>
        <v>4027.2017432446873</v>
      </c>
      <c r="C16" s="322">
        <f>B3-B2</f>
        <v>3258.5999999999985</v>
      </c>
      <c r="D16" s="435">
        <f>'Valuation output'!C38</f>
        <v>1.25</v>
      </c>
      <c r="E16" s="322">
        <f>C16/D16</f>
        <v>2606.8799999999987</v>
      </c>
      <c r="F16" s="322">
        <f>B16-E16</f>
        <v>1420.3217432446886</v>
      </c>
      <c r="G16" s="322">
        <f>G15+E16</f>
        <v>41904.979999999996</v>
      </c>
      <c r="H16" s="327">
        <f t="shared" ref="H16:H25" si="5">B16/G16</f>
        <v>9.6103177790436548E-2</v>
      </c>
    </row>
    <row r="17" spans="1:8" s="321" customFormat="1" ht="12">
      <c r="A17" s="321">
        <f t="shared" si="3"/>
        <v>2</v>
      </c>
      <c r="B17" s="322">
        <f t="shared" si="4"/>
        <v>4566.5917312127795</v>
      </c>
      <c r="C17" s="322">
        <f t="shared" ref="C17:C25" si="6">B4-B3</f>
        <v>3747.3899999999958</v>
      </c>
      <c r="D17" s="435">
        <f>'Valuation output'!D38</f>
        <v>1.25</v>
      </c>
      <c r="E17" s="322">
        <f t="shared" ref="E17:E25" si="7">C17/D17</f>
        <v>2997.9119999999966</v>
      </c>
      <c r="F17" s="322">
        <f t="shared" ref="F17:F25" si="8">B17-E17</f>
        <v>1568.6797312127828</v>
      </c>
      <c r="G17" s="322">
        <f t="shared" ref="G17:G25" si="9">G16+E17</f>
        <v>44902.891999999993</v>
      </c>
      <c r="H17" s="327">
        <f t="shared" si="5"/>
        <v>0.10169927877279664</v>
      </c>
    </row>
    <row r="18" spans="1:8" s="321" customFormat="1" ht="12">
      <c r="A18" s="321">
        <f t="shared" si="3"/>
        <v>3</v>
      </c>
      <c r="B18" s="322">
        <f t="shared" si="4"/>
        <v>5177.1866763482949</v>
      </c>
      <c r="C18" s="322">
        <f t="shared" si="6"/>
        <v>4309.4984999999979</v>
      </c>
      <c r="D18" s="435">
        <f>'Valuation output'!E38</f>
        <v>1.25</v>
      </c>
      <c r="E18" s="322">
        <f t="shared" si="7"/>
        <v>3447.5987999999984</v>
      </c>
      <c r="F18" s="322">
        <f t="shared" si="8"/>
        <v>1729.5878763482965</v>
      </c>
      <c r="G18" s="322">
        <f t="shared" si="9"/>
        <v>48350.490799999992</v>
      </c>
      <c r="H18" s="327">
        <f t="shared" si="5"/>
        <v>0.10707619696692501</v>
      </c>
    </row>
    <row r="19" spans="1:8" s="321" customFormat="1" ht="12">
      <c r="A19" s="321">
        <f t="shared" si="3"/>
        <v>4</v>
      </c>
      <c r="B19" s="322">
        <f t="shared" si="4"/>
        <v>5868.2117910721763</v>
      </c>
      <c r="C19" s="322">
        <f t="shared" si="6"/>
        <v>4955.9232749999937</v>
      </c>
      <c r="D19" s="435">
        <f>'Valuation output'!F38</f>
        <v>1.25</v>
      </c>
      <c r="E19" s="322">
        <f t="shared" si="7"/>
        <v>3964.7386199999951</v>
      </c>
      <c r="F19" s="322">
        <f t="shared" si="8"/>
        <v>1903.4731710721812</v>
      </c>
      <c r="G19" s="322">
        <f t="shared" si="9"/>
        <v>52315.229419999989</v>
      </c>
      <c r="H19" s="327">
        <f t="shared" si="5"/>
        <v>0.11217023907055204</v>
      </c>
    </row>
    <row r="20" spans="1:8" s="321" customFormat="1" ht="12">
      <c r="A20" s="321">
        <f t="shared" si="3"/>
        <v>5</v>
      </c>
      <c r="B20" s="322">
        <f t="shared" si="4"/>
        <v>6650.0577399953854</v>
      </c>
      <c r="C20" s="322">
        <f t="shared" si="6"/>
        <v>5699.3117662499935</v>
      </c>
      <c r="D20" s="435">
        <f>'Valuation output'!G38</f>
        <v>1.25</v>
      </c>
      <c r="E20" s="322">
        <f t="shared" si="7"/>
        <v>4559.4494129999948</v>
      </c>
      <c r="F20" s="322">
        <f t="shared" si="8"/>
        <v>2090.6083269953906</v>
      </c>
      <c r="G20" s="322">
        <f t="shared" si="9"/>
        <v>56874.678832999984</v>
      </c>
      <c r="H20" s="327">
        <f t="shared" si="5"/>
        <v>0.11692475239327189</v>
      </c>
    </row>
    <row r="21" spans="1:8" s="321" customFormat="1" ht="12">
      <c r="A21" s="321">
        <f t="shared" si="3"/>
        <v>6</v>
      </c>
      <c r="B21" s="322">
        <f t="shared" si="4"/>
        <v>7398.9040936992296</v>
      </c>
      <c r="C21" s="322">
        <f t="shared" si="6"/>
        <v>5767.7035074450032</v>
      </c>
      <c r="D21" s="435">
        <f>'Valuation output'!H38</f>
        <v>1.25</v>
      </c>
      <c r="E21" s="322">
        <f t="shared" si="7"/>
        <v>4614.1628059560026</v>
      </c>
      <c r="F21" s="322">
        <f t="shared" si="8"/>
        <v>2784.7412877432271</v>
      </c>
      <c r="G21" s="322">
        <f t="shared" si="9"/>
        <v>61488.841638955986</v>
      </c>
      <c r="H21" s="327">
        <f t="shared" si="5"/>
        <v>0.12032921578102532</v>
      </c>
    </row>
    <row r="22" spans="1:8" s="321" customFormat="1" ht="12">
      <c r="A22" s="321">
        <f t="shared" si="3"/>
        <v>7</v>
      </c>
      <c r="B22" s="322">
        <f t="shared" si="4"/>
        <v>8099.3047785654726</v>
      </c>
      <c r="C22" s="322">
        <f t="shared" si="6"/>
        <v>5638.7166835512253</v>
      </c>
      <c r="D22" s="435">
        <f>'Valuation output'!I38</f>
        <v>1.25</v>
      </c>
      <c r="E22" s="322">
        <f t="shared" si="7"/>
        <v>4510.9733468409804</v>
      </c>
      <c r="F22" s="322">
        <f t="shared" si="8"/>
        <v>3588.3314317244922</v>
      </c>
      <c r="G22" s="322">
        <f t="shared" si="9"/>
        <v>65999.814985796969</v>
      </c>
      <c r="H22" s="327">
        <f t="shared" si="5"/>
        <v>0.12271708307528478</v>
      </c>
    </row>
    <row r="23" spans="1:8" s="321" customFormat="1" ht="12">
      <c r="A23" s="321">
        <f t="shared" si="3"/>
        <v>8</v>
      </c>
      <c r="B23" s="322">
        <f t="shared" si="4"/>
        <v>8720.6734787353853</v>
      </c>
      <c r="C23" s="322">
        <f t="shared" si="6"/>
        <v>5289.7097982956402</v>
      </c>
      <c r="D23" s="435">
        <f>'Valuation output'!J38</f>
        <v>1.25</v>
      </c>
      <c r="E23" s="322">
        <f t="shared" si="7"/>
        <v>4231.7678386365124</v>
      </c>
      <c r="F23" s="322">
        <f t="shared" si="8"/>
        <v>4488.9056400988729</v>
      </c>
      <c r="G23" s="322">
        <f t="shared" si="9"/>
        <v>70231.582824433484</v>
      </c>
      <c r="H23" s="327">
        <f t="shared" si="5"/>
        <v>0.12417025400859218</v>
      </c>
    </row>
    <row r="24" spans="1:8" s="321" customFormat="1" ht="12">
      <c r="A24" s="321">
        <f t="shared" si="3"/>
        <v>9</v>
      </c>
      <c r="B24" s="322">
        <f t="shared" si="4"/>
        <v>9233.2358870171029</v>
      </c>
      <c r="C24" s="322">
        <f t="shared" si="6"/>
        <v>4710.4865753822669</v>
      </c>
      <c r="D24" s="435">
        <f>'Valuation output'!K38</f>
        <v>1.25</v>
      </c>
      <c r="E24" s="322">
        <f t="shared" si="7"/>
        <v>3768.3892603058134</v>
      </c>
      <c r="F24" s="322">
        <f t="shared" si="8"/>
        <v>5464.846626711289</v>
      </c>
      <c r="G24" s="322">
        <f t="shared" si="9"/>
        <v>73999.972084739304</v>
      </c>
      <c r="H24" s="327">
        <f t="shared" si="5"/>
        <v>0.1247735050013787</v>
      </c>
    </row>
    <row r="25" spans="1:8" s="321" customFormat="1" ht="12">
      <c r="A25" s="321">
        <f>A12</f>
        <v>10</v>
      </c>
      <c r="B25" s="322">
        <f t="shared" si="4"/>
        <v>9610.2578971411676</v>
      </c>
      <c r="C25" s="322">
        <f t="shared" si="6"/>
        <v>3906.0804063554533</v>
      </c>
      <c r="D25" s="435">
        <f>'Valuation output'!L38</f>
        <v>1.25</v>
      </c>
      <c r="E25" s="322">
        <f t="shared" si="7"/>
        <v>3124.8643250843625</v>
      </c>
      <c r="F25" s="322">
        <f t="shared" si="8"/>
        <v>6485.3935720568052</v>
      </c>
      <c r="G25" s="322">
        <f t="shared" si="9"/>
        <v>77124.836409823663</v>
      </c>
      <c r="H25" s="327">
        <f t="shared" si="5"/>
        <v>0.12460652553056274</v>
      </c>
    </row>
    <row r="26" spans="1:8" s="321" customFormat="1" ht="12.6" thickBot="1">
      <c r="D26" s="434"/>
    </row>
    <row r="27" spans="1:8" s="321" customFormat="1" ht="42" thickBot="1">
      <c r="A27" s="320" t="s">
        <v>120</v>
      </c>
      <c r="B27" s="320" t="s">
        <v>476</v>
      </c>
      <c r="C27" s="320" t="s">
        <v>673</v>
      </c>
      <c r="D27" s="432" t="s">
        <v>674</v>
      </c>
      <c r="E27" s="320" t="s">
        <v>675</v>
      </c>
      <c r="F27" s="320" t="s">
        <v>676</v>
      </c>
      <c r="G27" s="320" t="s">
        <v>677</v>
      </c>
      <c r="H27" s="320" t="s">
        <v>678</v>
      </c>
    </row>
    <row r="28" spans="1:8">
      <c r="A28">
        <f>A16</f>
        <v>1</v>
      </c>
      <c r="H28" s="316">
        <f>'Valuation output'!C12</f>
        <v>0.18349632642035563</v>
      </c>
    </row>
    <row r="29" spans="1:8">
      <c r="A29">
        <f t="shared" ref="A29:A37" si="10">A17</f>
        <v>2</v>
      </c>
      <c r="H29" s="316">
        <f>'Valuation output'!D12</f>
        <v>0.18349632642035563</v>
      </c>
    </row>
    <row r="30" spans="1:8">
      <c r="A30">
        <f t="shared" si="10"/>
        <v>3</v>
      </c>
      <c r="H30" s="316">
        <f>'Valuation output'!E12</f>
        <v>0.18349632642035563</v>
      </c>
    </row>
    <row r="31" spans="1:8">
      <c r="A31">
        <f t="shared" si="10"/>
        <v>4</v>
      </c>
      <c r="H31" s="316">
        <f>'Valuation output'!F12</f>
        <v>0.18349632642035563</v>
      </c>
    </row>
    <row r="32" spans="1:8">
      <c r="A32">
        <f t="shared" si="10"/>
        <v>5</v>
      </c>
      <c r="H32" s="316">
        <f>'Valuation output'!G12</f>
        <v>0.18349632642035563</v>
      </c>
    </row>
    <row r="33" spans="1:8">
      <c r="A33">
        <f t="shared" si="10"/>
        <v>6</v>
      </c>
      <c r="H33" s="316">
        <f>'Valuation output'!H12</f>
        <v>0.17079706113628451</v>
      </c>
    </row>
    <row r="34" spans="1:8">
      <c r="A34">
        <f t="shared" si="10"/>
        <v>7</v>
      </c>
      <c r="H34" s="316">
        <f>'Valuation output'!I12</f>
        <v>0.1580977958522134</v>
      </c>
    </row>
    <row r="35" spans="1:8">
      <c r="A35">
        <f t="shared" si="10"/>
        <v>8</v>
      </c>
      <c r="H35" s="316">
        <f>'Valuation output'!J12</f>
        <v>0.14539853056814228</v>
      </c>
    </row>
    <row r="36" spans="1:8">
      <c r="A36">
        <f t="shared" si="10"/>
        <v>9</v>
      </c>
      <c r="H36" s="316">
        <f>'Valuation output'!K12</f>
        <v>0.13269926528407117</v>
      </c>
    </row>
    <row r="37" spans="1:8">
      <c r="A37">
        <f t="shared" si="10"/>
        <v>10</v>
      </c>
      <c r="H37" s="316">
        <f>'Valuation output'!L12</f>
        <v>0.12000000000000004</v>
      </c>
    </row>
    <row r="38" spans="1:8" ht="12" thickBot="1"/>
    <row r="39" spans="1:8" ht="42" thickBot="1">
      <c r="A39" s="320" t="s">
        <v>120</v>
      </c>
      <c r="B39" s="320" t="s">
        <v>678</v>
      </c>
      <c r="C39" s="320" t="s">
        <v>681</v>
      </c>
      <c r="D39" s="432" t="s">
        <v>16</v>
      </c>
      <c r="E39" s="320" t="s">
        <v>682</v>
      </c>
      <c r="F39" s="320" t="s">
        <v>130</v>
      </c>
    </row>
    <row r="40" spans="1:8">
      <c r="A40">
        <f>A28</f>
        <v>1</v>
      </c>
      <c r="B40" s="328">
        <f>H28</f>
        <v>0.18349632642035563</v>
      </c>
      <c r="C40" s="329">
        <f>(1+'Summary Sheet'!B40)</f>
        <v>1.1834963264203555</v>
      </c>
      <c r="D40" s="436">
        <f>F16</f>
        <v>1420.3217432446886</v>
      </c>
      <c r="F40" s="324">
        <f>D40/C40</f>
        <v>1200.1065922533478</v>
      </c>
    </row>
    <row r="41" spans="1:8">
      <c r="A41">
        <f t="shared" ref="A41:A49" si="11">A29</f>
        <v>2</v>
      </c>
      <c r="B41" s="328">
        <f t="shared" ref="B41:B49" si="12">H29</f>
        <v>0.18349632642035563</v>
      </c>
      <c r="C41" s="329">
        <f>C40*(1+B41)</f>
        <v>1.4006635546504766</v>
      </c>
      <c r="D41" s="436">
        <f t="shared" ref="D41:D49" si="13">F17</f>
        <v>1568.6797312127828</v>
      </c>
      <c r="F41" s="324">
        <f t="shared" ref="F41:F48" si="14">D41/C41</f>
        <v>1119.9547000451748</v>
      </c>
    </row>
    <row r="42" spans="1:8">
      <c r="A42">
        <f t="shared" si="11"/>
        <v>3</v>
      </c>
      <c r="B42" s="328">
        <f t="shared" si="12"/>
        <v>0.18349632642035563</v>
      </c>
      <c r="C42" s="329">
        <f t="shared" ref="C42:C49" si="15">C41*(1+B42)</f>
        <v>1.657680171479716</v>
      </c>
      <c r="D42" s="436">
        <f t="shared" si="13"/>
        <v>1729.5878763482965</v>
      </c>
      <c r="F42" s="324">
        <f t="shared" si="14"/>
        <v>1043.3785154131347</v>
      </c>
    </row>
    <row r="43" spans="1:8">
      <c r="A43">
        <f t="shared" si="11"/>
        <v>4</v>
      </c>
      <c r="B43" s="328">
        <f t="shared" si="12"/>
        <v>0.18349632642035563</v>
      </c>
      <c r="C43" s="329">
        <f t="shared" si="15"/>
        <v>1.9618583933261089</v>
      </c>
      <c r="D43" s="436">
        <f t="shared" si="13"/>
        <v>1903.4731710721812</v>
      </c>
      <c r="F43" s="324">
        <f t="shared" si="14"/>
        <v>970.23983868940604</v>
      </c>
    </row>
    <row r="44" spans="1:8">
      <c r="A44">
        <f t="shared" si="11"/>
        <v>5</v>
      </c>
      <c r="B44" s="328">
        <f t="shared" si="12"/>
        <v>0.18349632642035563</v>
      </c>
      <c r="C44" s="329">
        <f t="shared" si="15"/>
        <v>2.3218522014583907</v>
      </c>
      <c r="D44" s="436">
        <f t="shared" si="13"/>
        <v>2090.6083269953906</v>
      </c>
      <c r="F44" s="324">
        <f t="shared" si="14"/>
        <v>900.40542877029281</v>
      </c>
    </row>
    <row r="45" spans="1:8">
      <c r="A45">
        <f t="shared" si="11"/>
        <v>6</v>
      </c>
      <c r="B45" s="328">
        <f t="shared" si="12"/>
        <v>0.17079706113628451</v>
      </c>
      <c r="C45" s="329">
        <f t="shared" si="15"/>
        <v>2.7184177338602962</v>
      </c>
      <c r="D45" s="436">
        <f t="shared" si="13"/>
        <v>2784.7412877432271</v>
      </c>
      <c r="F45" s="324">
        <f t="shared" si="14"/>
        <v>1024.3978521243489</v>
      </c>
    </row>
    <row r="46" spans="1:8">
      <c r="A46">
        <f t="shared" si="11"/>
        <v>7</v>
      </c>
      <c r="B46" s="328">
        <f t="shared" si="12"/>
        <v>0.1580977958522134</v>
      </c>
      <c r="C46" s="329">
        <f t="shared" si="15"/>
        <v>3.1481935857891776</v>
      </c>
      <c r="D46" s="436">
        <f t="shared" si="13"/>
        <v>3588.3314317244922</v>
      </c>
      <c r="F46" s="324">
        <f t="shared" si="14"/>
        <v>1139.8064743928326</v>
      </c>
    </row>
    <row r="47" spans="1:8">
      <c r="A47">
        <f t="shared" si="11"/>
        <v>8</v>
      </c>
      <c r="B47" s="328">
        <f t="shared" si="12"/>
        <v>0.14539853056814228</v>
      </c>
      <c r="C47" s="329">
        <f t="shared" si="15"/>
        <v>3.6059363071069748</v>
      </c>
      <c r="D47" s="436">
        <f t="shared" si="13"/>
        <v>4488.9056400988729</v>
      </c>
      <c r="F47" s="324">
        <f t="shared" si="14"/>
        <v>1244.8654823025147</v>
      </c>
    </row>
    <row r="48" spans="1:8">
      <c r="A48">
        <f t="shared" si="11"/>
        <v>9</v>
      </c>
      <c r="B48" s="328">
        <f t="shared" si="12"/>
        <v>0.13269926528407117</v>
      </c>
      <c r="C48" s="329">
        <f t="shared" si="15"/>
        <v>4.0844414057212273</v>
      </c>
      <c r="D48" s="436">
        <f t="shared" si="13"/>
        <v>5464.846626711289</v>
      </c>
      <c r="F48" s="324">
        <f t="shared" si="14"/>
        <v>1337.966709243638</v>
      </c>
    </row>
    <row r="49" spans="1:6">
      <c r="A49">
        <f t="shared" si="11"/>
        <v>10</v>
      </c>
      <c r="B49" s="328">
        <f t="shared" si="12"/>
        <v>0.12000000000000004</v>
      </c>
      <c r="C49" s="329">
        <f t="shared" si="15"/>
        <v>4.5745743744077751</v>
      </c>
      <c r="D49" s="436">
        <f t="shared" si="13"/>
        <v>6485.3935720568052</v>
      </c>
      <c r="E49" s="324">
        <f>'Valuation output'!B18</f>
        <v>84890.611424747025</v>
      </c>
      <c r="F49" s="324">
        <f>(D49+E49)/C49</f>
        <v>19974.755576825304</v>
      </c>
    </row>
    <row r="50" spans="1:6">
      <c r="A50" t="s">
        <v>44</v>
      </c>
      <c r="F50" s="324">
        <f>SUM(F40:F49)</f>
        <v>29955.877170059997</v>
      </c>
    </row>
  </sheetData>
  <pageMargins left="0.75" right="0.75" top="1" bottom="1"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6" zoomScale="130" zoomScaleNormal="130" workbookViewId="0">
      <selection activeCell="A26" sqref="A26"/>
    </sheetView>
  </sheetViews>
  <sheetFormatPr defaultColWidth="11" defaultRowHeight="11.4"/>
  <sheetData>
    <row r="1" spans="1:7" s="7" customFormat="1" ht="17.399999999999999">
      <c r="A1" s="6" t="s">
        <v>62</v>
      </c>
      <c r="B1" s="6"/>
    </row>
    <row r="2" spans="1:7" ht="13.2">
      <c r="A2" s="8" t="s">
        <v>63</v>
      </c>
      <c r="B2" s="8"/>
      <c r="D2" s="28">
        <f>'Input sheet'!B19</f>
        <v>83</v>
      </c>
    </row>
    <row r="3" spans="1:7" ht="13.2">
      <c r="A3" s="8" t="s">
        <v>64</v>
      </c>
      <c r="B3" s="8"/>
      <c r="D3" s="9">
        <f>'Input sheet'!B33</f>
        <v>107.46</v>
      </c>
    </row>
    <row r="4" spans="1:7" ht="13.2">
      <c r="A4" s="8" t="s">
        <v>65</v>
      </c>
      <c r="B4" s="8"/>
      <c r="D4" s="12">
        <f>'Input sheet'!B34</f>
        <v>5.62</v>
      </c>
    </row>
    <row r="5" spans="1:7" ht="13.2">
      <c r="A5" s="8" t="s">
        <v>66</v>
      </c>
      <c r="B5" s="8"/>
      <c r="D5" s="10">
        <f>'Input sheet'!B35</f>
        <v>0.42</v>
      </c>
      <c r="E5" s="8" t="s">
        <v>67</v>
      </c>
    </row>
    <row r="6" spans="1:7" ht="13.2">
      <c r="A6" s="8" t="s">
        <v>68</v>
      </c>
      <c r="B6" s="8"/>
      <c r="D6" s="11">
        <v>0</v>
      </c>
    </row>
    <row r="7" spans="1:7" ht="13.2">
      <c r="A7" s="8" t="s">
        <v>69</v>
      </c>
      <c r="B7" s="8"/>
      <c r="D7" s="11">
        <f>'Input sheet'!B28</f>
        <v>6.2311881188118701E-2</v>
      </c>
    </row>
    <row r="8" spans="1:7" ht="13.2">
      <c r="A8" s="8" t="s">
        <v>70</v>
      </c>
      <c r="B8" s="8"/>
      <c r="D8" s="12">
        <f>'Input sheet'!B32</f>
        <v>20.440000000000001</v>
      </c>
    </row>
    <row r="9" spans="1:7" ht="13.2">
      <c r="A9" s="8" t="s">
        <v>71</v>
      </c>
      <c r="B9" s="8"/>
      <c r="D9" s="13">
        <f>'Input sheet'!B18</f>
        <v>405.6</v>
      </c>
    </row>
    <row r="10" spans="1:7" ht="13.2">
      <c r="A10" s="8"/>
      <c r="B10" s="8"/>
    </row>
    <row r="11" spans="1:7" s="16" customFormat="1" ht="13.8">
      <c r="A11" s="14" t="s">
        <v>72</v>
      </c>
      <c r="B11" s="15"/>
    </row>
    <row r="12" spans="1:7" s="8" customFormat="1" ht="13.2">
      <c r="A12" s="17" t="s">
        <v>73</v>
      </c>
    </row>
    <row r="13" spans="1:7" s="8" customFormat="1" ht="13.2">
      <c r="A13" s="8" t="s">
        <v>74</v>
      </c>
      <c r="C13" s="18">
        <f>D2</f>
        <v>83</v>
      </c>
      <c r="D13" s="8" t="s">
        <v>75</v>
      </c>
      <c r="F13" s="19">
        <f>D8</f>
        <v>20.440000000000001</v>
      </c>
      <c r="G13" s="20"/>
    </row>
    <row r="14" spans="1:7" s="8" customFormat="1" ht="13.2">
      <c r="A14" s="8" t="s">
        <v>76</v>
      </c>
      <c r="C14" s="18">
        <f>D3</f>
        <v>107.46</v>
      </c>
      <c r="D14" s="8" t="s">
        <v>77</v>
      </c>
      <c r="F14" s="21">
        <f>D9</f>
        <v>405.6</v>
      </c>
      <c r="G14" s="20"/>
    </row>
    <row r="15" spans="1:7" s="8" customFormat="1" ht="13.2">
      <c r="A15" s="8" t="s">
        <v>78</v>
      </c>
      <c r="C15" s="18">
        <f ca="1">(C13*F14+C26*F13)/(F14+F13)</f>
        <v>80.56678941959315</v>
      </c>
      <c r="D15" s="8" t="s">
        <v>79</v>
      </c>
      <c r="F15" s="22">
        <f>D7</f>
        <v>6.2311881188118701E-2</v>
      </c>
    </row>
    <row r="16" spans="1:7" s="8" customFormat="1" ht="13.2">
      <c r="A16" s="8" t="s">
        <v>80</v>
      </c>
      <c r="C16" s="18">
        <f>C14</f>
        <v>107.46</v>
      </c>
      <c r="D16" s="8" t="s">
        <v>81</v>
      </c>
      <c r="F16" s="23">
        <f>D5^2</f>
        <v>0.17639999999999997</v>
      </c>
    </row>
    <row r="17" spans="1:7" s="8" customFormat="1" ht="13.2">
      <c r="A17" s="8" t="s">
        <v>82</v>
      </c>
      <c r="C17" s="18">
        <f>D4</f>
        <v>5.62</v>
      </c>
      <c r="D17" s="8" t="s">
        <v>83</v>
      </c>
      <c r="F17" s="22">
        <f>D6</f>
        <v>0</v>
      </c>
    </row>
    <row r="18" spans="1:7" s="8" customFormat="1" ht="13.2">
      <c r="C18" s="17"/>
      <c r="D18" s="8" t="s">
        <v>84</v>
      </c>
      <c r="F18" s="24">
        <f>F15-F17</f>
        <v>6.2311881188118701E-2</v>
      </c>
    </row>
    <row r="19" spans="1:7" s="8" customFormat="1" ht="13.2"/>
    <row r="20" spans="1:7" s="8" customFormat="1" ht="13.2">
      <c r="A20" s="8" t="s">
        <v>85</v>
      </c>
      <c r="B20" s="19">
        <f ca="1">(LN(C15/C16)+(F18+(F16/2))*C17)/(((F16)^(0.5))*(C17^0.5))</f>
        <v>0.5602679671220111</v>
      </c>
    </row>
    <row r="21" spans="1:7" s="8" customFormat="1" ht="13.2">
      <c r="A21" s="8" t="s">
        <v>86</v>
      </c>
      <c r="B21" s="19">
        <f ca="1">NORMSDIST(B20)</f>
        <v>0.71235166335168199</v>
      </c>
    </row>
    <row r="22" spans="1:7" s="8" customFormat="1" ht="13.2"/>
    <row r="23" spans="1:7" s="8" customFormat="1" ht="15.75" customHeight="1">
      <c r="A23" s="8" t="s">
        <v>87</v>
      </c>
      <c r="B23" s="19">
        <f ca="1">B20-((F16^0.5)*(C17^(0.5)))</f>
        <v>-0.43540667853288351</v>
      </c>
    </row>
    <row r="24" spans="1:7" s="8" customFormat="1" ht="13.2">
      <c r="A24" s="8" t="s">
        <v>88</v>
      </c>
      <c r="B24" s="19">
        <f ca="1">NORMSDIST(B23)</f>
        <v>0.33163363178361571</v>
      </c>
    </row>
    <row r="25" spans="1:7" ht="13.8" thickBot="1">
      <c r="A25" s="8"/>
      <c r="B25" s="8"/>
    </row>
    <row r="26" spans="1:7" s="8" customFormat="1" ht="13.8" thickBot="1">
      <c r="A26" s="8" t="s">
        <v>89</v>
      </c>
      <c r="C26" s="25">
        <f ca="1">((EXP((0-F17)*C17))*C15*B21-C16*(EXP((0-F15)*C17))*B24)</f>
        <v>32.283510974729147</v>
      </c>
      <c r="G26" s="26"/>
    </row>
    <row r="27" spans="1:7" s="8" customFormat="1" ht="13.8" thickBot="1">
      <c r="A27" s="8" t="s">
        <v>90</v>
      </c>
      <c r="D27" s="27">
        <f ca="1">C26*D8</f>
        <v>659.87496432346381</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0"/>
  <sheetViews>
    <sheetView topLeftCell="A45" zoomScale="115" zoomScaleNormal="115" workbookViewId="0">
      <selection activeCell="C41" sqref="C41"/>
    </sheetView>
  </sheetViews>
  <sheetFormatPr defaultColWidth="11" defaultRowHeight="11.4"/>
  <cols>
    <col min="1" max="1" width="40.125" bestFit="1" customWidth="1"/>
    <col min="2" max="2" width="23.75" customWidth="1"/>
    <col min="3" max="3" width="20.125" bestFit="1" customWidth="1"/>
    <col min="7" max="7" width="19.5" bestFit="1" customWidth="1"/>
    <col min="8" max="8" width="16.375" customWidth="1"/>
    <col min="11" max="11" width="18.125" bestFit="1" customWidth="1"/>
  </cols>
  <sheetData>
    <row r="1" spans="1:17">
      <c r="A1" s="429" t="s">
        <v>743</v>
      </c>
      <c r="B1" s="429"/>
      <c r="C1" s="429"/>
      <c r="D1" s="429"/>
      <c r="E1" s="429"/>
      <c r="F1" s="429"/>
      <c r="G1" s="429"/>
      <c r="H1" s="429"/>
      <c r="I1" s="429"/>
      <c r="J1" s="429"/>
      <c r="K1" s="429"/>
    </row>
    <row r="2" spans="1:17">
      <c r="A2" s="429"/>
      <c r="B2" s="429"/>
      <c r="C2" s="429"/>
      <c r="D2" s="429"/>
      <c r="E2" s="429"/>
      <c r="F2" s="429"/>
      <c r="G2" s="429"/>
      <c r="H2" s="429"/>
      <c r="I2" s="429"/>
      <c r="J2" s="429"/>
      <c r="K2" s="429"/>
    </row>
    <row r="3" spans="1:17" s="112" customFormat="1" ht="18">
      <c r="A3" s="112" t="s">
        <v>183</v>
      </c>
      <c r="B3" s="244"/>
      <c r="C3" s="238"/>
      <c r="G3" s="129" t="s">
        <v>604</v>
      </c>
    </row>
    <row r="4" spans="1:17" s="14" customFormat="1" ht="15" customHeight="1">
      <c r="A4" s="14" t="s">
        <v>6</v>
      </c>
      <c r="B4" s="243"/>
      <c r="C4" s="238"/>
      <c r="G4" s="164" t="s">
        <v>354</v>
      </c>
      <c r="H4" s="164" t="s">
        <v>11</v>
      </c>
      <c r="I4" s="164" t="s">
        <v>380</v>
      </c>
      <c r="J4" s="164" t="s">
        <v>382</v>
      </c>
      <c r="K4" s="164" t="s">
        <v>381</v>
      </c>
    </row>
    <row r="5" spans="1:17" s="8" customFormat="1" ht="15" customHeight="1">
      <c r="A5" s="113" t="s">
        <v>184</v>
      </c>
      <c r="B5" s="114"/>
      <c r="G5" s="162" t="s">
        <v>259</v>
      </c>
      <c r="H5" s="162">
        <v>16238</v>
      </c>
      <c r="I5" s="123">
        <f>IF(H5=0,0,VLOOKUP(G5,'Country equity risk premiums'!$A$5:$D$190,4))</f>
        <v>0.10526102416318409</v>
      </c>
      <c r="J5" s="123">
        <f t="shared" ref="J5:J12" si="0">IF(H5&gt;0,H5/$H$18,)</f>
        <v>0.91662432966412644</v>
      </c>
      <c r="K5" s="123">
        <f t="shared" ref="K5:K12" si="1">IF(J5=0,0,I5*J5)</f>
        <v>9.6484815713338029E-2</v>
      </c>
      <c r="M5" s="428" t="s">
        <v>661</v>
      </c>
      <c r="N5" s="428"/>
      <c r="O5" s="428"/>
      <c r="P5" s="428"/>
      <c r="Q5" s="428"/>
    </row>
    <row r="6" spans="1:17" s="8" customFormat="1" ht="15" customHeight="1">
      <c r="A6" s="114" t="s">
        <v>185</v>
      </c>
      <c r="B6" s="120">
        <f>'Input sheet'!B18</f>
        <v>405.6</v>
      </c>
      <c r="G6" s="230"/>
      <c r="H6" s="162"/>
      <c r="I6" s="123">
        <f>IF(H6=0,0,VLOOKUP(G6,'Country equity risk premiums'!$A$5:$D$190,4))</f>
        <v>0</v>
      </c>
      <c r="J6" s="123">
        <f t="shared" si="0"/>
        <v>0</v>
      </c>
      <c r="K6" s="123">
        <f t="shared" si="1"/>
        <v>0</v>
      </c>
      <c r="M6" s="428"/>
      <c r="N6" s="428"/>
      <c r="O6" s="428"/>
      <c r="P6" s="428"/>
      <c r="Q6" s="428"/>
    </row>
    <row r="7" spans="1:17" s="8" customFormat="1" ht="15" customHeight="1">
      <c r="A7" s="114" t="s">
        <v>186</v>
      </c>
      <c r="B7" s="121">
        <f>'Input sheet'!B19</f>
        <v>83</v>
      </c>
      <c r="G7" s="230"/>
      <c r="H7" s="162"/>
      <c r="I7" s="123">
        <f>IF(H7=0,0,VLOOKUP(G7,'Country equity risk premiums'!$A$5:$D$190,4))</f>
        <v>0</v>
      </c>
      <c r="J7" s="123">
        <f t="shared" si="0"/>
        <v>0</v>
      </c>
      <c r="K7" s="123">
        <f t="shared" si="1"/>
        <v>0</v>
      </c>
      <c r="M7" s="428"/>
      <c r="N7" s="428"/>
      <c r="O7" s="428"/>
      <c r="P7" s="428"/>
      <c r="Q7" s="428"/>
    </row>
    <row r="8" spans="1:17" s="8" customFormat="1" ht="15" customHeight="1">
      <c r="B8" s="116"/>
      <c r="G8" s="230"/>
      <c r="H8" s="162"/>
      <c r="I8" s="123">
        <f>IF(H8=0,0,VLOOKUP(G8,'Country equity risk premiums'!$A$5:$D$190,4))</f>
        <v>0</v>
      </c>
      <c r="J8" s="123">
        <f t="shared" si="0"/>
        <v>0</v>
      </c>
      <c r="K8" s="123">
        <f t="shared" si="1"/>
        <v>0</v>
      </c>
      <c r="M8" s="428"/>
      <c r="N8" s="428"/>
      <c r="O8" s="428"/>
      <c r="P8" s="428"/>
      <c r="Q8" s="428"/>
    </row>
    <row r="9" spans="1:17" s="8" customFormat="1" ht="15" customHeight="1">
      <c r="A9" s="8" t="s">
        <v>475</v>
      </c>
      <c r="B9" s="230" t="s">
        <v>482</v>
      </c>
      <c r="G9" s="230"/>
      <c r="H9" s="174"/>
      <c r="I9" s="123">
        <f>IF(H9=0,0,VLOOKUP(G9,'Country equity risk premiums'!$A$5:$D$190,4))</f>
        <v>0</v>
      </c>
      <c r="J9" s="123">
        <f t="shared" si="0"/>
        <v>0</v>
      </c>
      <c r="K9" s="123">
        <f t="shared" si="1"/>
        <v>0</v>
      </c>
      <c r="M9" s="428"/>
      <c r="N9" s="428"/>
      <c r="O9" s="428"/>
      <c r="P9" s="428"/>
      <c r="Q9" s="428"/>
    </row>
    <row r="10" spans="1:17" s="8" customFormat="1" ht="15" customHeight="1">
      <c r="A10" s="8" t="s">
        <v>477</v>
      </c>
      <c r="B10" s="239">
        <v>1.2</v>
      </c>
      <c r="G10" s="230"/>
      <c r="H10" s="162"/>
      <c r="I10" s="123">
        <f>IF(H10=0,0,VLOOKUP(G10,'Country equity risk premiums'!$A$5:$D$190,4))</f>
        <v>0</v>
      </c>
      <c r="J10" s="123">
        <f t="shared" si="0"/>
        <v>0</v>
      </c>
      <c r="K10" s="123">
        <f t="shared" si="1"/>
        <v>0</v>
      </c>
      <c r="M10" s="428"/>
      <c r="N10" s="428"/>
      <c r="O10" s="428"/>
      <c r="P10" s="428"/>
      <c r="Q10" s="428"/>
    </row>
    <row r="11" spans="1:17" s="8" customFormat="1" ht="15" customHeight="1">
      <c r="A11" s="8" t="s">
        <v>211</v>
      </c>
      <c r="B11" s="167">
        <f>IF(B9="Single Business(US)",VLOOKUP('Input sheet'!B6,'Industry Average Beta (US)'!A2:G95,7),IF(B9="Multibusiness(US)",K48,IF(B9="Single Business(Global)",VLOOKUP('Input sheet'!B7,'Industry Average Beta (Global)'!A2:G95,7),'Cost of capital worksheet'!K64)))</f>
        <v>1.1894809072126773</v>
      </c>
      <c r="G11" s="230"/>
      <c r="H11" s="162"/>
      <c r="I11" s="123">
        <f>IF(H11=0,0,VLOOKUP(G11,'Country equity risk premiums'!$A$5:$D$190,4))</f>
        <v>0</v>
      </c>
      <c r="J11" s="123">
        <f t="shared" si="0"/>
        <v>0</v>
      </c>
      <c r="K11" s="123">
        <f t="shared" si="1"/>
        <v>0</v>
      </c>
      <c r="M11" s="428"/>
      <c r="N11" s="428"/>
      <c r="O11" s="428"/>
      <c r="P11" s="428"/>
      <c r="Q11" s="428"/>
    </row>
    <row r="12" spans="1:17" s="8" customFormat="1" ht="15" customHeight="1">
      <c r="A12" s="8" t="s">
        <v>187</v>
      </c>
      <c r="B12" s="125">
        <f>'Input sheet'!B28</f>
        <v>6.2311881188118701E-2</v>
      </c>
      <c r="G12" s="230"/>
      <c r="H12" s="162"/>
      <c r="I12" s="123">
        <f>IF(H12=0,0,VLOOKUP(G12,'Country equity risk premiums'!$A$5:$D$190,4))</f>
        <v>0</v>
      </c>
      <c r="J12" s="123">
        <f t="shared" si="0"/>
        <v>0</v>
      </c>
      <c r="K12" s="123">
        <f t="shared" si="1"/>
        <v>0</v>
      </c>
      <c r="M12" s="428"/>
      <c r="N12" s="428"/>
      <c r="O12" s="428"/>
      <c r="P12" s="428"/>
      <c r="Q12" s="428"/>
    </row>
    <row r="13" spans="1:17" s="8" customFormat="1" ht="15" customHeight="1">
      <c r="A13" s="8" t="s">
        <v>441</v>
      </c>
      <c r="B13" s="231" t="s">
        <v>444</v>
      </c>
      <c r="G13" s="230"/>
      <c r="H13" s="162"/>
      <c r="I13" s="123">
        <f>IF(H13=0,0,VLOOKUP(G13,'Country equity risk premiums'!$A$5:$D$190,4))</f>
        <v>0</v>
      </c>
      <c r="J13" s="123">
        <f>IF(H13&gt;0,H13/$H$18,)</f>
        <v>0</v>
      </c>
      <c r="K13" s="123">
        <f>IF(J13=0,0,I13*J13)</f>
        <v>0</v>
      </c>
      <c r="M13" s="428"/>
      <c r="N13" s="428"/>
      <c r="O13" s="428"/>
      <c r="P13" s="428"/>
      <c r="Q13" s="428"/>
    </row>
    <row r="14" spans="1:17" s="8" customFormat="1" ht="15" customHeight="1">
      <c r="A14" s="8" t="s">
        <v>447</v>
      </c>
      <c r="B14" s="231">
        <v>0.06</v>
      </c>
      <c r="G14" s="230"/>
      <c r="H14" s="230"/>
      <c r="I14" s="123">
        <f>IF(H14=0,0,VLOOKUP(G14,'Country equity risk premiums'!$A$5:$D$190,4))</f>
        <v>0</v>
      </c>
      <c r="J14" s="123">
        <f>IF(H14&gt;0,H14/$H$18,)</f>
        <v>0</v>
      </c>
      <c r="K14" s="123">
        <f>IF(J14=0,0,I14*J14)</f>
        <v>0</v>
      </c>
      <c r="M14" s="428"/>
      <c r="N14" s="428"/>
      <c r="O14" s="428"/>
      <c r="P14" s="428"/>
      <c r="Q14" s="428"/>
    </row>
    <row r="15" spans="1:17" s="8" customFormat="1" ht="15" customHeight="1">
      <c r="A15" s="8" t="s">
        <v>448</v>
      </c>
      <c r="B15" s="233">
        <f>IF(B13="Will Input",B14,IF(B13="Country of Incorporation",VLOOKUP('Input sheet'!B5,'Country equity risk premiums'!A5:E190,4),IF(B13="Operating regions",'Cost of capital worksheet'!K32,'Cost of capital worksheet'!K18)))</f>
        <v>0.10264627775115909</v>
      </c>
      <c r="G15" s="230"/>
      <c r="H15" s="230"/>
      <c r="I15" s="123">
        <f>IF(H15=0,0,VLOOKUP(G15,'Country equity risk premiums'!$A$5:$D$190,4))</f>
        <v>0</v>
      </c>
      <c r="J15" s="123">
        <f>IF(H15&gt;0,H15/$H$18,)</f>
        <v>0</v>
      </c>
      <c r="K15" s="123">
        <f>IF(J15=0,0,I15*J15)</f>
        <v>0</v>
      </c>
      <c r="M15" s="428"/>
      <c r="N15" s="428"/>
      <c r="O15" s="428"/>
      <c r="P15" s="428"/>
      <c r="Q15" s="428"/>
    </row>
    <row r="16" spans="1:17" s="8" customFormat="1" ht="15" customHeight="1">
      <c r="B16" s="116"/>
      <c r="G16" s="313" t="s">
        <v>754</v>
      </c>
      <c r="H16" s="162">
        <v>1477</v>
      </c>
      <c r="I16" s="340">
        <v>7.3899999999999993E-2</v>
      </c>
      <c r="J16" s="123">
        <f>IF(H16&gt;0,H16/$H$18,)</f>
        <v>8.337567033587355E-2</v>
      </c>
      <c r="K16" s="123">
        <f>IF(J16=0,0,I16*J16)</f>
        <v>6.1614620378210548E-3</v>
      </c>
      <c r="M16" s="428"/>
      <c r="N16" s="428"/>
      <c r="O16" s="428"/>
      <c r="P16" s="428"/>
      <c r="Q16" s="428"/>
    </row>
    <row r="17" spans="1:17" s="8" customFormat="1" ht="15" customHeight="1">
      <c r="A17" s="17" t="s">
        <v>188</v>
      </c>
      <c r="B17" s="116"/>
      <c r="G17" s="313"/>
      <c r="H17" s="162"/>
      <c r="I17" s="313"/>
      <c r="J17" s="123">
        <f>IF(H17&gt;0,H17/$H$18,)</f>
        <v>0</v>
      </c>
      <c r="K17" s="123">
        <f>IF(J17=0,0,I17*J17)</f>
        <v>0</v>
      </c>
      <c r="M17" s="428"/>
      <c r="N17" s="428"/>
      <c r="O17" s="428"/>
      <c r="P17" s="428"/>
      <c r="Q17" s="428"/>
    </row>
    <row r="18" spans="1:17" s="8" customFormat="1" ht="15" customHeight="1">
      <c r="A18" s="8" t="s">
        <v>189</v>
      </c>
      <c r="B18" s="121">
        <f>'Input sheet'!B12</f>
        <v>11065</v>
      </c>
      <c r="G18" s="163" t="s">
        <v>383</v>
      </c>
      <c r="H18" s="163">
        <f>SUM(H5:H17)</f>
        <v>17715</v>
      </c>
      <c r="I18" s="163"/>
      <c r="J18" s="123">
        <f>SUM(J5:J17)</f>
        <v>1</v>
      </c>
      <c r="K18" s="123">
        <f>SUM(K5:K17)</f>
        <v>0.10264627775115909</v>
      </c>
      <c r="M18" s="428"/>
      <c r="N18" s="428"/>
      <c r="O18" s="428"/>
      <c r="P18" s="428"/>
      <c r="Q18" s="428"/>
    </row>
    <row r="19" spans="1:17" s="8" customFormat="1" ht="15" customHeight="1">
      <c r="A19" s="8" t="s">
        <v>190</v>
      </c>
      <c r="B19" s="121">
        <f>'Input sheet'!B10</f>
        <v>950</v>
      </c>
      <c r="G19" s="129" t="s">
        <v>449</v>
      </c>
      <c r="M19" s="428"/>
      <c r="N19" s="428"/>
      <c r="O19" s="428"/>
      <c r="P19" s="428"/>
      <c r="Q19" s="428"/>
    </row>
    <row r="20" spans="1:17" s="8" customFormat="1" ht="15" customHeight="1">
      <c r="A20" s="8" t="s">
        <v>191</v>
      </c>
      <c r="B20" s="115">
        <v>3</v>
      </c>
      <c r="G20" s="19" t="s">
        <v>357</v>
      </c>
      <c r="H20" s="19" t="s">
        <v>11</v>
      </c>
      <c r="I20" s="19" t="s">
        <v>380</v>
      </c>
      <c r="J20" s="19" t="s">
        <v>382</v>
      </c>
      <c r="K20" s="19" t="s">
        <v>381</v>
      </c>
    </row>
    <row r="21" spans="1:17" s="8" customFormat="1" ht="15" customHeight="1">
      <c r="A21" s="8" t="s">
        <v>454</v>
      </c>
      <c r="B21" s="132" t="s">
        <v>452</v>
      </c>
      <c r="G21" s="19" t="str">
        <f>'Country equity risk premiums'!A194</f>
        <v>Africa &amp; Mid East</v>
      </c>
      <c r="H21" s="230">
        <v>0</v>
      </c>
      <c r="I21" s="24">
        <f>'Country equity risk premiums'!B194</f>
        <v>9.0811656903819551E-2</v>
      </c>
      <c r="J21" s="123">
        <f t="shared" ref="J21:J29" si="2">H21/$H$32</f>
        <v>0</v>
      </c>
      <c r="K21" s="165">
        <f>I21*J21</f>
        <v>0</v>
      </c>
    </row>
    <row r="22" spans="1:17" s="8" customFormat="1" ht="15" customHeight="1">
      <c r="A22" s="8" t="s">
        <v>456</v>
      </c>
      <c r="B22" s="234">
        <v>0.04</v>
      </c>
      <c r="G22" s="19" t="str">
        <f>'Country equity risk premiums'!A195</f>
        <v>Australia, NZ &amp; Canada</v>
      </c>
      <c r="H22" s="230">
        <f>3159+4281</f>
        <v>7440</v>
      </c>
      <c r="I22" s="24">
        <f>'Country equity risk premiums'!B195</f>
        <v>5.5323552295498526E-2</v>
      </c>
      <c r="J22" s="123">
        <f t="shared" si="2"/>
        <v>7.3442312248282404E-2</v>
      </c>
      <c r="K22" s="165">
        <f t="shared" ref="K22:K29" si="3">I22*J22</f>
        <v>4.0630896023701839E-3</v>
      </c>
    </row>
    <row r="23" spans="1:17" s="8" customFormat="1" ht="15" customHeight="1">
      <c r="A23" s="8" t="s">
        <v>455</v>
      </c>
      <c r="B23" s="132" t="s">
        <v>464</v>
      </c>
      <c r="G23" s="19" t="str">
        <f>'Country equity risk premiums'!A196</f>
        <v>Latin America &amp; Caribbean</v>
      </c>
      <c r="H23" s="230"/>
      <c r="I23" s="24">
        <f>'Country equity risk premiums'!B196</f>
        <v>0.10306101446405153</v>
      </c>
      <c r="J23" s="123">
        <f t="shared" si="2"/>
        <v>0</v>
      </c>
      <c r="K23" s="165">
        <f t="shared" si="3"/>
        <v>0</v>
      </c>
    </row>
    <row r="24" spans="1:17" s="8" customFormat="1" ht="15" customHeight="1">
      <c r="A24" s="8" t="s">
        <v>472</v>
      </c>
      <c r="B24" s="132">
        <v>2</v>
      </c>
      <c r="G24" s="19" t="str">
        <f>'Country equity risk premiums'!A197</f>
        <v>Japan</v>
      </c>
      <c r="H24" s="230">
        <v>0</v>
      </c>
      <c r="I24" s="24">
        <f>'Country equity risk premiums'!B197</f>
        <v>6.5066816753705153E-2</v>
      </c>
      <c r="J24" s="123">
        <f t="shared" si="2"/>
        <v>0</v>
      </c>
      <c r="K24" s="165">
        <f t="shared" si="3"/>
        <v>0</v>
      </c>
    </row>
    <row r="25" spans="1:17" s="8" customFormat="1" ht="15" customHeight="1">
      <c r="A25" s="8" t="s">
        <v>125</v>
      </c>
      <c r="B25" s="233">
        <f>IF(B21="Direct Input",B22,IF(B21="Synthetic Rating",'Synthetic rating'!D13,B12+VLOOKUP('Cost of capital worksheet'!B23,'Synthetic rating'!G39:H53,2)))</f>
        <v>0.11855309366779621</v>
      </c>
      <c r="G25" s="19" t="str">
        <f>'Country equity risk premiums'!A198</f>
        <v>US</v>
      </c>
      <c r="H25" s="230">
        <v>0</v>
      </c>
      <c r="I25" s="24">
        <f>'Country equity risk premiums'!B198</f>
        <v>5.5300000000000002E-2</v>
      </c>
      <c r="J25" s="123">
        <f t="shared" si="2"/>
        <v>0</v>
      </c>
      <c r="K25" s="165">
        <f t="shared" si="3"/>
        <v>0</v>
      </c>
    </row>
    <row r="26" spans="1:17" s="8" customFormat="1" ht="15" customHeight="1">
      <c r="A26" s="8" t="s">
        <v>192</v>
      </c>
      <c r="B26" s="236">
        <f>'Input sheet'!B21</f>
        <v>0.25</v>
      </c>
      <c r="G26" s="19" t="str">
        <f>'Country equity risk premiums'!A199</f>
        <v>Europe</v>
      </c>
      <c r="H26" s="230"/>
      <c r="I26" s="24">
        <f>'Country equity risk premiums'!B199</f>
        <v>6.6799442653654423E-2</v>
      </c>
      <c r="J26" s="123">
        <f t="shared" si="2"/>
        <v>0</v>
      </c>
      <c r="K26" s="165">
        <f t="shared" si="3"/>
        <v>0</v>
      </c>
    </row>
    <row r="27" spans="1:17" s="8" customFormat="1" ht="15" customHeight="1">
      <c r="B27" s="116"/>
      <c r="G27" s="19" t="str">
        <f>'Country equity risk premiums'!A200</f>
        <v>Emerging Markets</v>
      </c>
      <c r="H27" s="230">
        <v>0</v>
      </c>
      <c r="I27" s="24">
        <f>'Country equity risk premiums'!B200</f>
        <v>8.1009166095167506E-2</v>
      </c>
      <c r="J27" s="123">
        <f t="shared" si="2"/>
        <v>0</v>
      </c>
      <c r="K27" s="165">
        <f t="shared" si="3"/>
        <v>0</v>
      </c>
    </row>
    <row r="28" spans="1:17" s="8" customFormat="1" ht="15" customHeight="1">
      <c r="A28" s="8" t="s">
        <v>193</v>
      </c>
      <c r="B28" s="115">
        <v>0</v>
      </c>
      <c r="G28" s="19" t="str">
        <f>'Country equity risk premiums'!A201</f>
        <v>Asia</v>
      </c>
      <c r="H28" s="230">
        <v>93864</v>
      </c>
      <c r="I28" s="24">
        <f>'Country equity risk premiums'!B201</f>
        <v>7.004617267480448E-2</v>
      </c>
      <c r="J28" s="123">
        <f t="shared" si="2"/>
        <v>0.92655768775171765</v>
      </c>
      <c r="K28" s="165">
        <f t="shared" si="3"/>
        <v>6.4901819789424386E-2</v>
      </c>
    </row>
    <row r="29" spans="1:17" s="8" customFormat="1" ht="15" customHeight="1">
      <c r="A29" s="8" t="s">
        <v>194</v>
      </c>
      <c r="B29" s="115">
        <v>0</v>
      </c>
      <c r="G29" s="19" t="str">
        <f>'Country equity risk premiums'!A202</f>
        <v>North America</v>
      </c>
      <c r="H29" s="230"/>
      <c r="I29" s="24">
        <f>'Country equity risk premiums'!B202</f>
        <v>5.5300000000000002E-2</v>
      </c>
      <c r="J29" s="123">
        <f t="shared" si="2"/>
        <v>0</v>
      </c>
      <c r="K29" s="165">
        <f t="shared" si="3"/>
        <v>0</v>
      </c>
    </row>
    <row r="30" spans="1:17" s="8" customFormat="1" ht="15" customHeight="1">
      <c r="A30" s="8" t="s">
        <v>195</v>
      </c>
      <c r="B30" s="115">
        <v>0</v>
      </c>
      <c r="G30" s="230"/>
      <c r="H30" s="230"/>
      <c r="I30" s="314"/>
      <c r="J30" s="123">
        <f>H30/$H$32</f>
        <v>0</v>
      </c>
      <c r="K30" s="165">
        <f>I30*J30</f>
        <v>0</v>
      </c>
    </row>
    <row r="31" spans="1:17" s="8" customFormat="1" ht="15" customHeight="1">
      <c r="A31" s="8" t="s">
        <v>196</v>
      </c>
      <c r="B31" s="115">
        <v>0</v>
      </c>
      <c r="G31" s="230"/>
      <c r="H31" s="230"/>
      <c r="I31" s="314"/>
      <c r="J31" s="123">
        <f>H31/$H$32</f>
        <v>0</v>
      </c>
      <c r="K31" s="165">
        <f>I31*J31</f>
        <v>0</v>
      </c>
    </row>
    <row r="32" spans="1:17" s="8" customFormat="1" ht="15" customHeight="1">
      <c r="B32" s="116"/>
      <c r="G32" s="163" t="s">
        <v>383</v>
      </c>
      <c r="H32" s="163">
        <f>SUM(H21:H31)</f>
        <v>101304</v>
      </c>
      <c r="I32" s="125"/>
      <c r="J32" s="123">
        <f>SUM(J21:J31)</f>
        <v>1</v>
      </c>
      <c r="K32" s="166">
        <f>SUM(K21:K31)</f>
        <v>6.8964909391794574E-2</v>
      </c>
    </row>
    <row r="33" spans="1:11" s="8" customFormat="1" ht="15" customHeight="1">
      <c r="A33" s="8" t="s">
        <v>197</v>
      </c>
      <c r="B33" s="121">
        <f>IF('Input sheet'!B14="Yes",'Operating lease converter'!F33,0)</f>
        <v>0</v>
      </c>
    </row>
    <row r="34" spans="1:11" s="8" customFormat="1" ht="15" customHeight="1">
      <c r="B34" s="117"/>
      <c r="G34" s="112" t="s">
        <v>478</v>
      </c>
    </row>
    <row r="35" spans="1:11" s="8" customFormat="1" ht="15" customHeight="1">
      <c r="A35" s="17" t="s">
        <v>198</v>
      </c>
      <c r="B35" s="116"/>
      <c r="G35" s="19" t="s">
        <v>394</v>
      </c>
      <c r="H35" s="19" t="s">
        <v>11</v>
      </c>
      <c r="I35" s="19" t="s">
        <v>170</v>
      </c>
      <c r="J35" s="19" t="s">
        <v>395</v>
      </c>
      <c r="K35" s="19" t="s">
        <v>212</v>
      </c>
    </row>
    <row r="36" spans="1:11" s="8" customFormat="1" ht="15" customHeight="1">
      <c r="A36" s="8" t="s">
        <v>199</v>
      </c>
      <c r="B36" s="115">
        <v>0</v>
      </c>
      <c r="G36" s="230" t="s">
        <v>531</v>
      </c>
      <c r="H36" s="175">
        <v>25484</v>
      </c>
      <c r="I36" s="176">
        <f>IF(G36=0,,VLOOKUP(G36,'Industry Average Beta (US)'!$A$2:$S$95,15))</f>
        <v>2.0811854975069406</v>
      </c>
      <c r="J36" s="177">
        <f>H36*I36</f>
        <v>53036.931218466874</v>
      </c>
      <c r="K36" s="176">
        <f>IF(I36=0,0,VLOOKUP(G36,'Industry Average Beta (US)'!$A$2:$S$95,7))</f>
        <v>1.4982789281613096</v>
      </c>
    </row>
    <row r="37" spans="1:11" s="8" customFormat="1" ht="15" customHeight="1">
      <c r="A37" s="8" t="s">
        <v>200</v>
      </c>
      <c r="B37" s="115">
        <v>70</v>
      </c>
      <c r="G37" s="230" t="s">
        <v>541</v>
      </c>
      <c r="H37" s="175">
        <v>18805</v>
      </c>
      <c r="I37" s="176">
        <f>IF(G37=0,,VLOOKUP(G37,'Industry Average Beta (US)'!$A$2:$S$95,15))</f>
        <v>3.4508656043506392</v>
      </c>
      <c r="J37" s="177">
        <f>H37*I37</f>
        <v>64893.527689813767</v>
      </c>
      <c r="K37" s="176">
        <f>IF(I37=0,0,VLOOKUP(G37,'Industry Average Beta (US)'!$A$2:$S$95,7))</f>
        <v>1.2140124334135816</v>
      </c>
    </row>
    <row r="38" spans="1:11" s="8" customFormat="1" ht="15" customHeight="1">
      <c r="A38" s="8" t="s">
        <v>201</v>
      </c>
      <c r="B38" s="115">
        <v>5</v>
      </c>
      <c r="G38" s="230" t="s">
        <v>530</v>
      </c>
      <c r="H38" s="175">
        <v>37190</v>
      </c>
      <c r="I38" s="176">
        <f>IF(G38=0,,VLOOKUP(G38,'Industry Average Beta (US)'!$A$2:$S$95,15))</f>
        <v>1.0137978466098212</v>
      </c>
      <c r="J38" s="177">
        <f t="shared" ref="J38:J47" si="4">H38*I38</f>
        <v>37703.141915419248</v>
      </c>
      <c r="K38" s="176">
        <f>IF(I38=0,0,VLOOKUP(G38,'Industry Average Beta (US)'!$A$2:$S$95,7))</f>
        <v>1.0462592460215911</v>
      </c>
    </row>
    <row r="39" spans="1:11" s="8" customFormat="1" ht="15" customHeight="1">
      <c r="G39" s="230" t="s">
        <v>596</v>
      </c>
      <c r="H39" s="175">
        <v>166699</v>
      </c>
      <c r="I39" s="176">
        <f>IF(G39=0,,VLOOKUP(G39,'Industry Average Beta (US)'!$A$2:$S$95,15))</f>
        <v>3.3672665484561324</v>
      </c>
      <c r="J39" s="177">
        <f t="shared" si="4"/>
        <v>561319.96636108879</v>
      </c>
      <c r="K39" s="176">
        <f>IF(I39=0,0,VLOOKUP(G39,'Industry Average Beta (US)'!$A$2:$S$95,7))</f>
        <v>1.0228587017593667</v>
      </c>
    </row>
    <row r="40" spans="1:11" s="118" customFormat="1" ht="15" customHeight="1">
      <c r="A40" s="14" t="s">
        <v>124</v>
      </c>
      <c r="B40" s="8"/>
      <c r="C40" s="8"/>
      <c r="D40" s="8"/>
      <c r="E40" s="8"/>
      <c r="F40" s="8"/>
      <c r="G40" s="230"/>
      <c r="H40" s="175"/>
      <c r="I40" s="176">
        <f>IF(G40=0,,VLOOKUP(G40,'Industry Average Beta (US)'!$A$2:$S$95,15))</f>
        <v>0</v>
      </c>
      <c r="J40" s="177">
        <f t="shared" si="4"/>
        <v>0</v>
      </c>
      <c r="K40" s="176">
        <f>IF(I40=0,0,VLOOKUP(G40,'Industry Average Beta (US)'!$A$2:$S$95,7))</f>
        <v>0</v>
      </c>
    </row>
    <row r="41" spans="1:11" s="8" customFormat="1" ht="15" customHeight="1">
      <c r="A41" s="19" t="s">
        <v>202</v>
      </c>
      <c r="B41" s="19"/>
      <c r="C41" s="122">
        <f>B19*(1-(1+B25)^(-B20))/B25+B18/(1+B25)^B20</f>
        <v>10193.876391553622</v>
      </c>
      <c r="G41" s="230"/>
      <c r="H41" s="175"/>
      <c r="I41" s="176">
        <f>IF(G41=0,,VLOOKUP(G41,'Industry Average Beta (US)'!$A$2:$S$95,15))</f>
        <v>0</v>
      </c>
      <c r="J41" s="177">
        <f t="shared" si="4"/>
        <v>0</v>
      </c>
      <c r="K41" s="176">
        <f>IF(I41=0,0,VLOOKUP(G41,'Industry Average Beta (US)'!$A$2:$S$95,7))</f>
        <v>0</v>
      </c>
    </row>
    <row r="42" spans="1:11" s="8" customFormat="1" ht="15" customHeight="1">
      <c r="A42" s="19" t="s">
        <v>203</v>
      </c>
      <c r="B42" s="19"/>
      <c r="C42" s="122">
        <f>B29*(1-(1+B25)^(-B30))/B25+B28/(1+B25)^B30</f>
        <v>0</v>
      </c>
      <c r="G42" s="230"/>
      <c r="H42" s="175"/>
      <c r="I42" s="176">
        <f>IF(G42=0,,VLOOKUP(G42,'Industry Average Beta (US)'!$A$2:$S$95,15))</f>
        <v>0</v>
      </c>
      <c r="J42" s="177">
        <f t="shared" si="4"/>
        <v>0</v>
      </c>
      <c r="K42" s="176">
        <f>IF(I42=0,0,VLOOKUP(G42,'Industry Average Beta (US)'!$A$2:$S$95,7))</f>
        <v>0</v>
      </c>
    </row>
    <row r="43" spans="1:11" s="8" customFormat="1" ht="15" customHeight="1">
      <c r="A43" s="19" t="s">
        <v>204</v>
      </c>
      <c r="B43" s="19"/>
      <c r="C43" s="122">
        <f>B33</f>
        <v>0</v>
      </c>
      <c r="G43" s="230"/>
      <c r="H43" s="175"/>
      <c r="I43" s="176">
        <f>IF(G43=0,,VLOOKUP(G43,'Industry Average Beta (US)'!$A$2:$S$95,15))</f>
        <v>0</v>
      </c>
      <c r="J43" s="177">
        <f t="shared" si="4"/>
        <v>0</v>
      </c>
      <c r="K43" s="176">
        <f>IF(I43=0,0,VLOOKUP(G43,'Industry Average Beta (US)'!$A$2:$S$95,7))</f>
        <v>0</v>
      </c>
    </row>
    <row r="44" spans="1:11" ht="13.2">
      <c r="A44" s="19" t="s">
        <v>205</v>
      </c>
      <c r="B44" s="19"/>
      <c r="C44" s="122">
        <f>B31-C42</f>
        <v>0</v>
      </c>
      <c r="D44" s="8"/>
      <c r="E44" s="8"/>
      <c r="F44" s="8"/>
      <c r="G44" s="230"/>
      <c r="H44" s="175"/>
      <c r="I44" s="176">
        <f>IF(G44=0,,VLOOKUP(G44,'Industry Average Beta (US)'!$A$2:$S$95,15))</f>
        <v>0</v>
      </c>
      <c r="J44" s="177">
        <f t="shared" si="4"/>
        <v>0</v>
      </c>
      <c r="K44" s="176">
        <f>IF(I44=0,0,VLOOKUP(G44,'Industry Average Beta (US)'!$A$2:$S$95,7))</f>
        <v>0</v>
      </c>
    </row>
    <row r="45" spans="1:11" ht="13.2">
      <c r="A45" s="19" t="s">
        <v>213</v>
      </c>
      <c r="B45" s="19"/>
      <c r="C45" s="128">
        <f>IF(B9="Direct Input",B10,B11*(1+(1-B26)*(C48/B48)))</f>
        <v>1.4596166574229659</v>
      </c>
      <c r="D45" s="8"/>
      <c r="E45" s="8"/>
      <c r="F45" s="8"/>
      <c r="G45" s="230"/>
      <c r="H45" s="175"/>
      <c r="I45" s="176">
        <f>IF(G45=0,,VLOOKUP(G45,'Industry Average Beta (US)'!$A$2:$S$95,15))</f>
        <v>0</v>
      </c>
      <c r="J45" s="177">
        <f t="shared" si="4"/>
        <v>0</v>
      </c>
      <c r="K45" s="176">
        <f>IF(I45=0,0,VLOOKUP(G45,'Industry Average Beta (US)'!$A$2:$S$95,7))</f>
        <v>0</v>
      </c>
    </row>
    <row r="46" spans="1:11" ht="13.2">
      <c r="A46" s="8"/>
      <c r="B46" s="8"/>
      <c r="C46" s="128"/>
      <c r="D46" s="8"/>
      <c r="E46" s="8"/>
      <c r="F46" s="8"/>
      <c r="G46" s="230"/>
      <c r="H46" s="175"/>
      <c r="I46" s="176">
        <f>IF(G46=0,,VLOOKUP(G46,'Industry Average Beta (US)'!$A$2:$S$95,15))</f>
        <v>0</v>
      </c>
      <c r="J46" s="177">
        <f t="shared" si="4"/>
        <v>0</v>
      </c>
      <c r="K46" s="176">
        <f>IF(I46=0,0,VLOOKUP(G46,'Industry Average Beta (US)'!$A$2:$S$95,7))</f>
        <v>0</v>
      </c>
    </row>
    <row r="47" spans="1:11" ht="13.2">
      <c r="A47" s="118"/>
      <c r="B47" s="119" t="s">
        <v>184</v>
      </c>
      <c r="C47" s="119" t="s">
        <v>206</v>
      </c>
      <c r="D47" s="119" t="s">
        <v>198</v>
      </c>
      <c r="E47" s="119" t="s">
        <v>207</v>
      </c>
      <c r="F47" s="118"/>
      <c r="G47" s="230"/>
      <c r="H47" s="175"/>
      <c r="I47" s="176">
        <f>IF(G47=0,,VLOOKUP(G47,'Industry Average Beta (US)'!$A$2:$S$95,15))</f>
        <v>0</v>
      </c>
      <c r="J47" s="177">
        <f t="shared" si="4"/>
        <v>0</v>
      </c>
      <c r="K47" s="176">
        <f>IF(I47=0,0,VLOOKUP(G47,'Industry Average Beta (US)'!$A$2:$S$95,7))</f>
        <v>0</v>
      </c>
    </row>
    <row r="48" spans="1:11" ht="13.2">
      <c r="A48" s="19" t="s">
        <v>208</v>
      </c>
      <c r="B48" s="122">
        <f>B6*B7</f>
        <v>33664.800000000003</v>
      </c>
      <c r="C48" s="122">
        <f>C41+C42+C43</f>
        <v>10193.876391553622</v>
      </c>
      <c r="D48" s="122">
        <f>B36*B37</f>
        <v>0</v>
      </c>
      <c r="E48" s="121">
        <f>SUM(B48:D48)</f>
        <v>43858.676391553628</v>
      </c>
      <c r="F48" s="8"/>
      <c r="G48" s="178" t="s">
        <v>241</v>
      </c>
      <c r="H48" s="179">
        <f>SUM(H36:H47)</f>
        <v>248178</v>
      </c>
      <c r="I48" s="180"/>
      <c r="J48" s="177">
        <f>SUM(J36:J47)</f>
        <v>716953.56718478864</v>
      </c>
      <c r="K48" s="180">
        <f>K36*(J36/J48)+K37*J37/J48+K38*J38/J48+K39*J39/J48+K40*J40/J48+K41*J41/J48+K42*J42/J48+K43*J43/J48+K44*J44/J48+K45*J45/J48+K46*J46/J48+K47*J47/J48</f>
        <v>1.0765605670252871</v>
      </c>
    </row>
    <row r="49" spans="1:11" ht="13.8" thickBot="1">
      <c r="A49" s="19" t="s">
        <v>209</v>
      </c>
      <c r="B49" s="123">
        <f>B48/$E$48</f>
        <v>0.76757446347567437</v>
      </c>
      <c r="C49" s="123">
        <f>C48/$E$48</f>
        <v>0.23242553652432554</v>
      </c>
      <c r="D49" s="123">
        <f>D48/$E$48</f>
        <v>0</v>
      </c>
      <c r="E49" s="124">
        <f>SUM(B49:D49)</f>
        <v>0.99999999999999989</v>
      </c>
      <c r="F49" s="8"/>
    </row>
    <row r="50" spans="1:11" ht="18.600000000000001" thickBot="1">
      <c r="A50" s="19" t="s">
        <v>210</v>
      </c>
      <c r="B50" s="125">
        <f>B12+C45*B15</f>
        <v>0.21213609801617489</v>
      </c>
      <c r="C50" s="123">
        <f>B25*(1-B26)</f>
        <v>8.8914820250847154E-2</v>
      </c>
      <c r="D50" s="126">
        <f>B38/B37</f>
        <v>7.1428571428571425E-2</v>
      </c>
      <c r="E50" s="127">
        <f>B49*B50+C49*C50+D49*D50</f>
        <v>0.18349632642035563</v>
      </c>
      <c r="F50" s="8"/>
      <c r="G50" s="240" t="s">
        <v>479</v>
      </c>
    </row>
    <row r="51" spans="1:11" ht="13.2">
      <c r="G51" s="19" t="s">
        <v>394</v>
      </c>
      <c r="H51" s="19" t="s">
        <v>11</v>
      </c>
      <c r="I51" s="19" t="s">
        <v>170</v>
      </c>
      <c r="J51" s="19" t="s">
        <v>395</v>
      </c>
      <c r="K51" s="19" t="s">
        <v>212</v>
      </c>
    </row>
    <row r="52" spans="1:11" ht="13.2">
      <c r="G52" s="230" t="s">
        <v>531</v>
      </c>
      <c r="H52" s="175">
        <f>25471+10067</f>
        <v>35538</v>
      </c>
      <c r="I52" s="176">
        <f>IF(G52=0,,VLOOKUP(G52,'Industry Average Beta (Global)'!$A$2:$O$95,15))</f>
        <v>1.2213306476925629</v>
      </c>
      <c r="J52" s="177">
        <f>H52*I52</f>
        <v>43403.648557698303</v>
      </c>
      <c r="K52" s="176">
        <f>IF(G52=0,,VLOOKUP(G52,'Industry Average Beta (Global)'!$A$2:$O$95,7))</f>
        <v>1.3484800037867355</v>
      </c>
    </row>
    <row r="53" spans="1:11" ht="13.2">
      <c r="G53" s="230"/>
      <c r="H53" s="175"/>
      <c r="I53" s="176">
        <f>IF(G53=0,,VLOOKUP(G53,'Industry Average Beta (Global)'!$A$2:$O$95,15))</f>
        <v>0</v>
      </c>
      <c r="J53" s="177">
        <f>H53*I53</f>
        <v>0</v>
      </c>
      <c r="K53" s="176">
        <f>IF(G53=0,,VLOOKUP(G53,'Industry Average Beta (Global)'!$A$2:$O$95,7))</f>
        <v>0</v>
      </c>
    </row>
    <row r="54" spans="1:11" ht="13.2">
      <c r="G54" s="230"/>
      <c r="H54" s="175"/>
      <c r="I54" s="176">
        <f>IF(G54=0,,VLOOKUP(G54,'Industry Average Beta (Global)'!$A$2:$O$95,15))</f>
        <v>0</v>
      </c>
      <c r="J54" s="177">
        <f t="shared" ref="J54:J63" si="5">H54*I54</f>
        <v>0</v>
      </c>
      <c r="K54" s="176">
        <f>IF(G54=0,,VLOOKUP(G54,'Industry Average Beta (Global)'!$A$2:$O$95,7))</f>
        <v>0</v>
      </c>
    </row>
    <row r="55" spans="1:11" ht="13.2">
      <c r="G55" s="230"/>
      <c r="H55" s="175"/>
      <c r="I55" s="176">
        <f>IF(G55=0,,VLOOKUP(G55,'Industry Average Beta (Global)'!$A$2:$O$95,15))</f>
        <v>0</v>
      </c>
      <c r="J55" s="177">
        <f t="shared" si="5"/>
        <v>0</v>
      </c>
      <c r="K55" s="176">
        <f>IF(G55=0,,VLOOKUP(G55,'Industry Average Beta (Global)'!$A$2:$O$95,7))</f>
        <v>0</v>
      </c>
    </row>
    <row r="56" spans="1:11" ht="13.2">
      <c r="G56" s="230"/>
      <c r="H56" s="175"/>
      <c r="I56" s="176">
        <f>IF(G56=0,,VLOOKUP(G56,'Industry Average Beta (Global)'!$A$2:$O$95,15))</f>
        <v>0</v>
      </c>
      <c r="J56" s="177">
        <f t="shared" si="5"/>
        <v>0</v>
      </c>
      <c r="K56" s="176">
        <f>IF(G56=0,,VLOOKUP(G56,'Industry Average Beta (Global)'!$A$2:$O$95,7))</f>
        <v>0</v>
      </c>
    </row>
    <row r="57" spans="1:11" ht="13.2">
      <c r="G57" s="230"/>
      <c r="H57" s="175"/>
      <c r="I57" s="176">
        <f>IF(G57=0,,VLOOKUP(G57,'Industry Average Beta (Global)'!$A$2:$O$95,15))</f>
        <v>0</v>
      </c>
      <c r="J57" s="177">
        <f t="shared" si="5"/>
        <v>0</v>
      </c>
      <c r="K57" s="176">
        <f>IF(G57=0,,VLOOKUP(G57,'Industry Average Beta (Global)'!$A$2:$O$95,7))</f>
        <v>0</v>
      </c>
    </row>
    <row r="58" spans="1:11" ht="13.2">
      <c r="G58" s="230"/>
      <c r="H58" s="175"/>
      <c r="I58" s="176">
        <f>IF(G58=0,,VLOOKUP(G58,'Industry Average Beta (Global)'!$A$2:$O$95,15))</f>
        <v>0</v>
      </c>
      <c r="J58" s="177">
        <f t="shared" si="5"/>
        <v>0</v>
      </c>
      <c r="K58" s="176">
        <f>IF(G58=0,,VLOOKUP(G58,'Industry Average Beta (Global)'!$A$2:$O$95,7))</f>
        <v>0</v>
      </c>
    </row>
    <row r="59" spans="1:11" ht="13.2">
      <c r="G59" s="230"/>
      <c r="H59" s="175"/>
      <c r="I59" s="176">
        <f>IF(G59=0,,VLOOKUP(G59,'Industry Average Beta (Global)'!$A$2:$O$95,15))</f>
        <v>0</v>
      </c>
      <c r="J59" s="177">
        <f t="shared" si="5"/>
        <v>0</v>
      </c>
      <c r="K59" s="176">
        <f>IF(G59=0,,VLOOKUP(G59,'Industry Average Beta (Global)'!$A$2:$O$95,7))</f>
        <v>0</v>
      </c>
    </row>
    <row r="60" spans="1:11" ht="13.2">
      <c r="G60" s="230"/>
      <c r="H60" s="175"/>
      <c r="I60" s="176">
        <f>IF(G60=0,,VLOOKUP(G60,'Industry Average Beta (Global)'!$A$2:$O$95,15))</f>
        <v>0</v>
      </c>
      <c r="J60" s="177">
        <f t="shared" si="5"/>
        <v>0</v>
      </c>
      <c r="K60" s="176">
        <f>IF(G60=0,,VLOOKUP(G60,'Industry Average Beta (Global)'!$A$2:$O$95,7))</f>
        <v>0</v>
      </c>
    </row>
    <row r="61" spans="1:11" ht="13.2">
      <c r="G61" s="230"/>
      <c r="H61" s="175"/>
      <c r="I61" s="176">
        <f>IF(G61=0,,VLOOKUP(G61,'Industry Average Beta (Global)'!$A$2:$O$95,15))</f>
        <v>0</v>
      </c>
      <c r="J61" s="177">
        <f t="shared" si="5"/>
        <v>0</v>
      </c>
      <c r="K61" s="176">
        <f>IF(G61=0,,VLOOKUP(G61,'Industry Average Beta (Global)'!$A$2:$O$95,7))</f>
        <v>0</v>
      </c>
    </row>
    <row r="62" spans="1:11" ht="13.2">
      <c r="G62" s="230"/>
      <c r="H62" s="175"/>
      <c r="I62" s="176">
        <f>IF(G62=0,,VLOOKUP(G62,'Industry Average Beta (Global)'!$A$2:$O$95,15))</f>
        <v>0</v>
      </c>
      <c r="J62" s="177">
        <f t="shared" si="5"/>
        <v>0</v>
      </c>
      <c r="K62" s="176">
        <f>IF(G62=0,,VLOOKUP(G62,'Industry Average Beta (Global)'!$A$2:$O$95,7))</f>
        <v>0</v>
      </c>
    </row>
    <row r="63" spans="1:11" ht="13.2">
      <c r="G63" s="230"/>
      <c r="H63" s="175"/>
      <c r="I63" s="176">
        <f>IF(G63=0,,VLOOKUP(G63,'Industry Average Beta (Global)'!$A$2:$O$95,15))</f>
        <v>0</v>
      </c>
      <c r="J63" s="177">
        <f t="shared" si="5"/>
        <v>0</v>
      </c>
      <c r="K63" s="176">
        <f>IF(G63=0,,VLOOKUP(G63,'Industry Average Beta (Global)'!$A$2:$O$95,7))</f>
        <v>0</v>
      </c>
    </row>
    <row r="64" spans="1:11" ht="13.2">
      <c r="G64" s="178" t="s">
        <v>241</v>
      </c>
      <c r="H64" s="179">
        <f>SUM(H52:H63)</f>
        <v>35538</v>
      </c>
      <c r="I64" s="180"/>
      <c r="J64" s="177">
        <f>SUM(J52:J63)</f>
        <v>43403.648557698303</v>
      </c>
      <c r="K64" s="180">
        <f>K52*(J52/J64)+K53*J53/J64+K54*J54/J64+K55*J55/J64+K56*J56/J64+K57*J57/J64+K58*J58/J64+K59*J59/J64+K60*J60/J64+K61*J61/J64+K62*J62/J64+K63*J63/J64</f>
        <v>1.3484800037867355</v>
      </c>
    </row>
    <row r="80" spans="3:3">
      <c r="C80" s="349"/>
    </row>
  </sheetData>
  <mergeCells count="2">
    <mergeCell ref="M5:Q19"/>
    <mergeCell ref="A1:K2"/>
  </mergeCell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'Answer keys'!$F$2:$F$6</xm:f>
          </x14:formula1>
          <xm:sqref>B9</xm:sqref>
        </x14:dataValidation>
        <x14:dataValidation type="list" allowBlank="1" showInputMessage="1" showErrorMessage="1">
          <x14:formula1>
            <xm:f>'Answer keys'!$C$2:$C$5</xm:f>
          </x14:formula1>
          <xm:sqref>B13</xm:sqref>
        </x14:dataValidation>
        <x14:dataValidation type="list" allowBlank="1" showInputMessage="1" showErrorMessage="1">
          <x14:formula1>
            <xm:f>'Answer keys'!$D$2:$D$4</xm:f>
          </x14:formula1>
          <xm:sqref>B21</xm:sqref>
        </x14:dataValidation>
        <x14:dataValidation type="list" allowBlank="1" showInputMessage="1" showErrorMessage="1">
          <x14:formula1>
            <xm:f>'Answer keys'!$E$2:$E$3</xm:f>
          </x14:formula1>
          <xm:sqref>B24</xm:sqref>
        </x14:dataValidation>
        <x14:dataValidation type="list" allowBlank="1" showInputMessage="1" showErrorMessage="1">
          <x14:formula1>
            <xm:f>'Industry Average Beta (US)'!$A$2:$A$95</xm:f>
          </x14:formula1>
          <xm:sqref>G36:G47</xm:sqref>
        </x14:dataValidation>
        <x14:dataValidation type="list" allowBlank="1" showInputMessage="1" showErrorMessage="1">
          <x14:formula1>
            <xm:f>'Industry Average Beta (Global)'!$A$2:$A$95</xm:f>
          </x14:formula1>
          <xm:sqref>G52:G63</xm:sqref>
        </x14:dataValidation>
        <x14:dataValidation type="list" allowBlank="1" showInputMessage="1" showErrorMessage="1">
          <x14:formula1>
            <xm:f>'Country equity risk premiums'!$A$5:$A$179</xm:f>
          </x14:formula1>
          <xm:sqref>G5:G15</xm:sqref>
        </x14:dataValidation>
        <x14:dataValidation type="list" allowBlank="1" showInputMessage="1" showErrorMessage="1">
          <x14:formula1>
            <xm:f>'Answer keys'!$G$2:$G$16</xm:f>
          </x14:formula1>
          <xm:sqref>B23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0"/>
  <sheetViews>
    <sheetView topLeftCell="A34" zoomScale="145" zoomScaleNormal="145" workbookViewId="0">
      <selection activeCell="E39" sqref="E39"/>
    </sheetView>
  </sheetViews>
  <sheetFormatPr defaultColWidth="11" defaultRowHeight="11.4"/>
  <sheetData>
    <row r="1" spans="1:10" s="6" customFormat="1" ht="17.399999999999999">
      <c r="A1" s="29" t="s">
        <v>405</v>
      </c>
      <c r="B1" s="29"/>
      <c r="C1" s="29"/>
      <c r="D1" s="29"/>
      <c r="E1" s="29"/>
      <c r="F1" s="29"/>
      <c r="G1" s="29"/>
      <c r="H1" s="29"/>
      <c r="I1" s="29"/>
      <c r="J1" s="29"/>
    </row>
    <row r="2" spans="1:10" s="8" customFormat="1" ht="13.2">
      <c r="A2" s="8" t="s">
        <v>406</v>
      </c>
    </row>
    <row r="3" spans="1:10" s="8" customFormat="1" ht="13.2">
      <c r="A3" s="8" t="s">
        <v>407</v>
      </c>
    </row>
    <row r="4" spans="1:10" s="8" customFormat="1" ht="13.2"/>
    <row r="5" spans="1:10" s="8" customFormat="1" ht="13.2">
      <c r="A5" s="17" t="s">
        <v>6</v>
      </c>
    </row>
    <row r="6" spans="1:10" s="8" customFormat="1" ht="13.2">
      <c r="A6" s="8" t="s">
        <v>408</v>
      </c>
      <c r="F6" s="132">
        <v>5</v>
      </c>
      <c r="G6" s="8" t="s">
        <v>409</v>
      </c>
    </row>
    <row r="7" spans="1:10" s="8" customFormat="1" ht="13.2">
      <c r="A7" s="8" t="s">
        <v>410</v>
      </c>
      <c r="F7" s="33">
        <v>222.7</v>
      </c>
      <c r="G7" s="8" t="s">
        <v>411</v>
      </c>
    </row>
    <row r="8" spans="1:10" s="8" customFormat="1" ht="13.2">
      <c r="A8" s="8" t="s">
        <v>412</v>
      </c>
    </row>
    <row r="9" spans="1:10" s="8" customFormat="1" ht="13.2">
      <c r="A9" s="8" t="s">
        <v>413</v>
      </c>
    </row>
    <row r="10" spans="1:10" s="186" customFormat="1" ht="13.2">
      <c r="A10" s="184" t="s">
        <v>120</v>
      </c>
      <c r="B10" s="184" t="s">
        <v>414</v>
      </c>
      <c r="C10" s="185"/>
      <c r="D10" s="185"/>
      <c r="E10" s="185"/>
      <c r="F10" s="185"/>
      <c r="G10" s="185"/>
      <c r="H10" s="185"/>
      <c r="I10" s="185"/>
    </row>
    <row r="11" spans="1:10" s="186" customFormat="1" ht="13.2">
      <c r="A11" s="187">
        <v>-1</v>
      </c>
      <c r="B11" s="188">
        <v>222</v>
      </c>
      <c r="C11" s="185" t="s">
        <v>415</v>
      </c>
      <c r="D11" s="185"/>
      <c r="E11" s="185"/>
      <c r="F11" s="185"/>
      <c r="G11" s="185"/>
      <c r="H11" s="185"/>
      <c r="I11" s="185"/>
    </row>
    <row r="12" spans="1:10" s="186" customFormat="1" ht="13.2">
      <c r="A12" s="187">
        <f>IF((0-A11)&lt;$F$6,IF(A11&gt;-1,,A11-1),)</f>
        <v>-2</v>
      </c>
      <c r="B12" s="188">
        <v>236</v>
      </c>
      <c r="C12" s="185" t="s">
        <v>416</v>
      </c>
      <c r="D12" s="185"/>
      <c r="E12" s="185"/>
      <c r="F12" s="185"/>
      <c r="G12" s="185"/>
      <c r="H12" s="185"/>
      <c r="I12" s="185"/>
    </row>
    <row r="13" spans="1:10" s="186" customFormat="1" ht="13.2">
      <c r="A13" s="187">
        <f t="shared" ref="A13:A20" si="0">IF((0-A12)&lt;$F$6,IF(A12&gt;-1,,A12-1),)</f>
        <v>-3</v>
      </c>
      <c r="B13" s="188">
        <v>174</v>
      </c>
      <c r="C13" s="185"/>
      <c r="D13" s="185"/>
      <c r="E13" s="185"/>
      <c r="F13" s="185"/>
      <c r="G13" s="185"/>
      <c r="H13" s="185"/>
      <c r="I13" s="185"/>
    </row>
    <row r="14" spans="1:10" s="186" customFormat="1" ht="13.2">
      <c r="A14" s="187">
        <f t="shared" si="0"/>
        <v>-4</v>
      </c>
      <c r="B14" s="188">
        <v>178</v>
      </c>
      <c r="C14" s="185"/>
      <c r="D14" s="185"/>
      <c r="E14" s="185"/>
      <c r="F14" s="185"/>
      <c r="G14" s="185"/>
      <c r="H14" s="185"/>
      <c r="I14" s="185"/>
    </row>
    <row r="15" spans="1:10" s="186" customFormat="1" ht="13.2">
      <c r="A15" s="187">
        <f t="shared" si="0"/>
        <v>-5</v>
      </c>
      <c r="B15" s="188">
        <v>147</v>
      </c>
      <c r="C15" s="185"/>
      <c r="D15" s="185"/>
      <c r="E15" s="185"/>
      <c r="F15" s="185"/>
      <c r="G15" s="185"/>
      <c r="H15" s="185"/>
      <c r="I15" s="185"/>
    </row>
    <row r="16" spans="1:10" s="186" customFormat="1" ht="13.2">
      <c r="A16" s="187">
        <f t="shared" si="0"/>
        <v>0</v>
      </c>
      <c r="B16" s="188"/>
      <c r="C16" s="185"/>
      <c r="D16" s="185"/>
      <c r="E16" s="185"/>
      <c r="F16" s="185"/>
      <c r="G16" s="185"/>
      <c r="H16" s="185"/>
      <c r="I16" s="185"/>
    </row>
    <row r="17" spans="1:9" s="186" customFormat="1" ht="13.2">
      <c r="A17" s="187">
        <f t="shared" si="0"/>
        <v>0</v>
      </c>
      <c r="B17" s="188"/>
      <c r="C17" s="185"/>
      <c r="D17" s="185"/>
      <c r="E17" s="185"/>
      <c r="F17" s="185"/>
      <c r="G17" s="185"/>
      <c r="H17" s="185"/>
      <c r="I17" s="185"/>
    </row>
    <row r="18" spans="1:9" s="186" customFormat="1" ht="13.2">
      <c r="A18" s="187">
        <f t="shared" si="0"/>
        <v>0</v>
      </c>
      <c r="B18" s="188"/>
      <c r="C18" s="185"/>
      <c r="D18" s="185"/>
      <c r="E18" s="185"/>
      <c r="F18" s="185"/>
      <c r="G18" s="185"/>
      <c r="H18" s="185"/>
      <c r="I18" s="185"/>
    </row>
    <row r="19" spans="1:9" s="186" customFormat="1" ht="13.2">
      <c r="A19" s="187">
        <f t="shared" si="0"/>
        <v>0</v>
      </c>
      <c r="B19" s="188"/>
      <c r="C19" s="185"/>
      <c r="D19" s="185"/>
      <c r="E19" s="185"/>
      <c r="F19" s="185"/>
      <c r="G19" s="185"/>
      <c r="H19" s="185"/>
      <c r="I19" s="185"/>
    </row>
    <row r="20" spans="1:9" s="186" customFormat="1" ht="13.2">
      <c r="A20" s="187">
        <f t="shared" si="0"/>
        <v>0</v>
      </c>
      <c r="B20" s="188"/>
      <c r="C20" s="185"/>
      <c r="D20" s="185"/>
      <c r="E20" s="185"/>
      <c r="F20" s="185"/>
      <c r="G20" s="185"/>
      <c r="H20" s="185"/>
      <c r="I20" s="185"/>
    </row>
    <row r="21" spans="1:9" s="186" customFormat="1" ht="13.2">
      <c r="A21" s="185"/>
      <c r="B21" s="185"/>
      <c r="C21" s="185"/>
      <c r="D21" s="185"/>
      <c r="E21" s="185"/>
      <c r="F21" s="185"/>
      <c r="G21" s="185"/>
      <c r="H21" s="185"/>
      <c r="I21" s="185"/>
    </row>
    <row r="22" spans="1:9" s="186" customFormat="1" ht="13.2">
      <c r="A22" s="189" t="s">
        <v>124</v>
      </c>
      <c r="B22" s="185"/>
      <c r="C22" s="185"/>
      <c r="D22" s="185"/>
      <c r="E22" s="185"/>
      <c r="F22" s="185"/>
      <c r="G22" s="185"/>
      <c r="H22" s="185"/>
      <c r="I22" s="185"/>
    </row>
    <row r="23" spans="1:9" s="186" customFormat="1" ht="13.2">
      <c r="A23" s="184" t="s">
        <v>120</v>
      </c>
      <c r="B23" s="184" t="s">
        <v>417</v>
      </c>
      <c r="C23" s="190" t="s">
        <v>418</v>
      </c>
      <c r="D23" s="191"/>
      <c r="E23" s="185" t="s">
        <v>419</v>
      </c>
      <c r="F23" s="185"/>
      <c r="G23" s="185"/>
      <c r="H23" s="185"/>
      <c r="I23" s="185"/>
    </row>
    <row r="24" spans="1:9" s="186" customFormat="1" ht="13.2">
      <c r="A24" s="184" t="s">
        <v>420</v>
      </c>
      <c r="B24" s="184">
        <f>F7</f>
        <v>222.7</v>
      </c>
      <c r="C24" s="184">
        <f>1</f>
        <v>1</v>
      </c>
      <c r="D24" s="184">
        <f>B24*C24</f>
        <v>222.7</v>
      </c>
      <c r="E24" s="185"/>
      <c r="F24" s="185"/>
      <c r="G24" s="185"/>
      <c r="H24" s="185"/>
      <c r="I24" s="185"/>
    </row>
    <row r="25" spans="1:9" s="186" customFormat="1" ht="13.2">
      <c r="A25" s="187">
        <f>A11</f>
        <v>-1</v>
      </c>
      <c r="B25" s="184">
        <f>B11</f>
        <v>222</v>
      </c>
      <c r="C25" s="184">
        <f>IF(A25&lt;0,($F$6+A25)/$F$6,0)</f>
        <v>0.8</v>
      </c>
      <c r="D25" s="184">
        <f>B25*C25</f>
        <v>177.60000000000002</v>
      </c>
      <c r="E25" s="192">
        <f t="shared" ref="E25:E34" si="1">IF(A25&lt;0,B25/$F$6,0)</f>
        <v>44.4</v>
      </c>
      <c r="F25" s="185"/>
      <c r="G25" s="185"/>
      <c r="H25" s="185"/>
      <c r="I25" s="185"/>
    </row>
    <row r="26" spans="1:9" s="186" customFormat="1" ht="13.2">
      <c r="A26" s="187">
        <f t="shared" ref="A26:B34" si="2">A12</f>
        <v>-2</v>
      </c>
      <c r="B26" s="184">
        <f t="shared" si="2"/>
        <v>236</v>
      </c>
      <c r="C26" s="184">
        <f>IF(A26&lt;0,($F$6+A26)/$F$6,0)</f>
        <v>0.6</v>
      </c>
      <c r="D26" s="184">
        <f t="shared" ref="D26:D34" si="3">B26*C26</f>
        <v>141.6</v>
      </c>
      <c r="E26" s="192">
        <f t="shared" si="1"/>
        <v>47.2</v>
      </c>
      <c r="F26" s="185"/>
      <c r="G26" s="185"/>
      <c r="H26" s="185"/>
      <c r="I26" s="185"/>
    </row>
    <row r="27" spans="1:9" s="186" customFormat="1" ht="13.2">
      <c r="A27" s="187">
        <f t="shared" si="2"/>
        <v>-3</v>
      </c>
      <c r="B27" s="184">
        <f t="shared" si="2"/>
        <v>174</v>
      </c>
      <c r="C27" s="184">
        <f>IF(A27&lt;0,($F$6+A27)/$F$6,0)</f>
        <v>0.4</v>
      </c>
      <c r="D27" s="184">
        <f t="shared" si="3"/>
        <v>69.600000000000009</v>
      </c>
      <c r="E27" s="192">
        <f t="shared" si="1"/>
        <v>34.799999999999997</v>
      </c>
      <c r="F27" s="185"/>
      <c r="G27" s="185"/>
      <c r="H27" s="185"/>
      <c r="I27" s="185"/>
    </row>
    <row r="28" spans="1:9" s="186" customFormat="1" ht="13.2">
      <c r="A28" s="187">
        <f t="shared" si="2"/>
        <v>-4</v>
      </c>
      <c r="B28" s="184">
        <f t="shared" si="2"/>
        <v>178</v>
      </c>
      <c r="C28" s="184">
        <f t="shared" ref="C28:C34" si="4">IF(A28&lt;0,($F$6+A28)/$F$6,0)</f>
        <v>0.2</v>
      </c>
      <c r="D28" s="184">
        <f t="shared" si="3"/>
        <v>35.6</v>
      </c>
      <c r="E28" s="192">
        <f t="shared" si="1"/>
        <v>35.6</v>
      </c>
      <c r="F28" s="185"/>
      <c r="G28" s="185"/>
      <c r="H28" s="185"/>
      <c r="I28" s="185"/>
    </row>
    <row r="29" spans="1:9" s="186" customFormat="1" ht="13.2">
      <c r="A29" s="187">
        <f t="shared" si="2"/>
        <v>-5</v>
      </c>
      <c r="B29" s="184">
        <f t="shared" si="2"/>
        <v>147</v>
      </c>
      <c r="C29" s="184">
        <f t="shared" si="4"/>
        <v>0</v>
      </c>
      <c r="D29" s="184">
        <f t="shared" si="3"/>
        <v>0</v>
      </c>
      <c r="E29" s="192">
        <f t="shared" si="1"/>
        <v>29.4</v>
      </c>
      <c r="F29" s="185"/>
      <c r="G29" s="185"/>
      <c r="H29" s="185"/>
      <c r="I29" s="185"/>
    </row>
    <row r="30" spans="1:9" s="186" customFormat="1" ht="13.2">
      <c r="A30" s="187">
        <f t="shared" si="2"/>
        <v>0</v>
      </c>
      <c r="B30" s="184">
        <f t="shared" si="2"/>
        <v>0</v>
      </c>
      <c r="C30" s="184">
        <f t="shared" si="4"/>
        <v>0</v>
      </c>
      <c r="D30" s="184">
        <f t="shared" si="3"/>
        <v>0</v>
      </c>
      <c r="E30" s="192">
        <f t="shared" si="1"/>
        <v>0</v>
      </c>
      <c r="F30" s="185"/>
      <c r="G30" s="185"/>
      <c r="H30" s="185"/>
      <c r="I30" s="185"/>
    </row>
    <row r="31" spans="1:9" s="186" customFormat="1" ht="13.2">
      <c r="A31" s="187">
        <f t="shared" si="2"/>
        <v>0</v>
      </c>
      <c r="B31" s="184">
        <f t="shared" si="2"/>
        <v>0</v>
      </c>
      <c r="C31" s="184">
        <f t="shared" si="4"/>
        <v>0</v>
      </c>
      <c r="D31" s="184">
        <f t="shared" si="3"/>
        <v>0</v>
      </c>
      <c r="E31" s="192">
        <f t="shared" si="1"/>
        <v>0</v>
      </c>
      <c r="F31" s="185"/>
      <c r="G31" s="185"/>
      <c r="H31" s="185"/>
      <c r="I31" s="185"/>
    </row>
    <row r="32" spans="1:9" s="186" customFormat="1" ht="13.2">
      <c r="A32" s="187">
        <f t="shared" si="2"/>
        <v>0</v>
      </c>
      <c r="B32" s="184">
        <f t="shared" si="2"/>
        <v>0</v>
      </c>
      <c r="C32" s="184">
        <f t="shared" si="4"/>
        <v>0</v>
      </c>
      <c r="D32" s="184">
        <f t="shared" si="3"/>
        <v>0</v>
      </c>
      <c r="E32" s="192">
        <f t="shared" si="1"/>
        <v>0</v>
      </c>
      <c r="F32" s="185"/>
      <c r="G32" s="185"/>
      <c r="H32" s="185"/>
      <c r="I32" s="185"/>
    </row>
    <row r="33" spans="1:9" s="186" customFormat="1" ht="13.2">
      <c r="A33" s="187">
        <f t="shared" si="2"/>
        <v>0</v>
      </c>
      <c r="B33" s="184">
        <f t="shared" si="2"/>
        <v>0</v>
      </c>
      <c r="C33" s="184">
        <f t="shared" si="4"/>
        <v>0</v>
      </c>
      <c r="D33" s="184">
        <f t="shared" si="3"/>
        <v>0</v>
      </c>
      <c r="E33" s="192">
        <f t="shared" si="1"/>
        <v>0</v>
      </c>
      <c r="F33" s="185"/>
      <c r="G33" s="185"/>
      <c r="H33" s="185"/>
      <c r="I33" s="185"/>
    </row>
    <row r="34" spans="1:9" s="186" customFormat="1" ht="16.05" customHeight="1" thickBot="1">
      <c r="A34" s="187">
        <f t="shared" si="2"/>
        <v>0</v>
      </c>
      <c r="B34" s="184">
        <f t="shared" si="2"/>
        <v>0</v>
      </c>
      <c r="C34" s="184">
        <f t="shared" si="4"/>
        <v>0</v>
      </c>
      <c r="D34" s="193">
        <f t="shared" si="3"/>
        <v>0</v>
      </c>
      <c r="E34" s="194">
        <f t="shared" si="1"/>
        <v>0</v>
      </c>
      <c r="F34" s="185"/>
      <c r="G34" s="185"/>
      <c r="H34" s="185"/>
      <c r="I34" s="185"/>
    </row>
    <row r="35" spans="1:9" s="8" customFormat="1" ht="13.8" thickBot="1">
      <c r="A35" s="8" t="s">
        <v>421</v>
      </c>
      <c r="D35" s="195">
        <f>SUM(D24:D34)</f>
        <v>647.1</v>
      </c>
      <c r="E35" s="25">
        <f>SUM(E25:E34)</f>
        <v>191.4</v>
      </c>
    </row>
    <row r="36" spans="1:9" ht="12" thickBot="1"/>
    <row r="37" spans="1:9" s="8" customFormat="1" ht="13.8" thickBot="1">
      <c r="A37" s="8" t="s">
        <v>422</v>
      </c>
      <c r="D37" s="195">
        <f>E35</f>
        <v>191.4</v>
      </c>
    </row>
    <row r="38" spans="1:9" s="8" customFormat="1" ht="13.8" thickBot="1"/>
    <row r="39" spans="1:9" s="8" customFormat="1" ht="13.2">
      <c r="A39" s="8" t="s">
        <v>423</v>
      </c>
      <c r="D39" s="196">
        <f>F7-D37</f>
        <v>31.299999999999983</v>
      </c>
      <c r="E39" s="8" t="s">
        <v>424</v>
      </c>
    </row>
    <row r="40" spans="1:9" ht="13.2">
      <c r="A40" t="s">
        <v>425</v>
      </c>
      <c r="D40" s="197">
        <f>D39*'Input sheet'!B21</f>
        <v>7.8249999999999957</v>
      </c>
      <c r="E40" s="8"/>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tabSelected="1" topLeftCell="A31" zoomScale="125" zoomScaleNormal="125" workbookViewId="0">
      <selection activeCell="H47" sqref="H47"/>
    </sheetView>
  </sheetViews>
  <sheetFormatPr defaultColWidth="11" defaultRowHeight="11.4"/>
  <sheetData>
    <row r="1" spans="1:11" s="6" customFormat="1" ht="17.399999999999999">
      <c r="A1" s="29" t="s">
        <v>117</v>
      </c>
      <c r="B1" s="29"/>
      <c r="C1" s="29"/>
      <c r="D1" s="29"/>
      <c r="E1" s="29"/>
      <c r="F1" s="29"/>
      <c r="G1" s="29"/>
      <c r="H1" s="29"/>
      <c r="I1" s="29"/>
      <c r="J1" s="29"/>
      <c r="K1" s="29"/>
    </row>
    <row r="2" spans="1:11" s="6" customFormat="1" ht="17.399999999999999">
      <c r="A2" s="29" t="s">
        <v>162</v>
      </c>
      <c r="B2" s="29"/>
      <c r="C2" s="29"/>
      <c r="D2" s="29"/>
      <c r="E2" s="29"/>
      <c r="F2" s="29"/>
      <c r="G2" s="29"/>
      <c r="H2" s="29"/>
      <c r="I2" s="29"/>
      <c r="J2" s="29"/>
      <c r="K2" s="29"/>
    </row>
    <row r="3" spans="1:11" s="17" customFormat="1" ht="13.2">
      <c r="A3" s="17" t="s">
        <v>6</v>
      </c>
    </row>
    <row r="4" spans="1:11" s="8" customFormat="1" ht="13.2">
      <c r="A4" s="8" t="s">
        <v>118</v>
      </c>
      <c r="E4" s="33">
        <f>107</f>
        <v>107</v>
      </c>
    </row>
    <row r="5" spans="1:11" s="15" customFormat="1" ht="13.2">
      <c r="A5" s="15" t="s">
        <v>119</v>
      </c>
    </row>
    <row r="6" spans="1:11" s="8" customFormat="1" ht="13.2">
      <c r="A6" s="30" t="s">
        <v>120</v>
      </c>
      <c r="B6" s="30" t="s">
        <v>121</v>
      </c>
      <c r="C6" s="8" t="s">
        <v>122</v>
      </c>
    </row>
    <row r="7" spans="1:11" s="8" customFormat="1" ht="13.2">
      <c r="A7" s="30">
        <v>1</v>
      </c>
      <c r="B7" s="319">
        <f>172.47</f>
        <v>172.47</v>
      </c>
    </row>
    <row r="8" spans="1:11" s="8" customFormat="1" ht="13.2">
      <c r="A8" s="30">
        <v>2</v>
      </c>
      <c r="B8" s="319">
        <f>139.4</f>
        <v>139.4</v>
      </c>
    </row>
    <row r="9" spans="1:11" s="8" customFormat="1" ht="13.2">
      <c r="A9" s="30">
        <v>3</v>
      </c>
      <c r="B9" s="319">
        <f>145.18</f>
        <v>145.18</v>
      </c>
    </row>
    <row r="10" spans="1:11" s="8" customFormat="1" ht="13.2">
      <c r="A10" s="30">
        <v>4</v>
      </c>
      <c r="B10" s="319">
        <f>156.53</f>
        <v>156.53</v>
      </c>
    </row>
    <row r="11" spans="1:11" s="8" customFormat="1" ht="13.2">
      <c r="A11" s="30">
        <v>5</v>
      </c>
      <c r="B11" s="319">
        <f>151.2</f>
        <v>151.19999999999999</v>
      </c>
    </row>
    <row r="12" spans="1:11" s="8" customFormat="1" ht="13.8">
      <c r="A12" s="30" t="s">
        <v>123</v>
      </c>
      <c r="B12" s="318">
        <f>943.63</f>
        <v>943.63</v>
      </c>
    </row>
    <row r="13" spans="1:11" s="8" customFormat="1" ht="13.2"/>
    <row r="14" spans="1:11" s="31" customFormat="1" ht="16.2" thickBot="1">
      <c r="A14" s="31" t="s">
        <v>124</v>
      </c>
    </row>
    <row r="15" spans="1:11" s="8" customFormat="1" ht="13.8" thickBot="1">
      <c r="A15" s="8" t="s">
        <v>125</v>
      </c>
      <c r="C15" s="80">
        <f>'Cost of capital worksheet'!B25</f>
        <v>0.11855309366779621</v>
      </c>
      <c r="D15" s="8" t="s">
        <v>237</v>
      </c>
    </row>
    <row r="16" spans="1:11" s="8" customFormat="1" ht="13.2"/>
    <row r="17" spans="1:7" s="8" customFormat="1" ht="13.2">
      <c r="D17" s="34"/>
    </row>
    <row r="18" spans="1:7" s="8" customFormat="1" ht="13.2">
      <c r="A18" s="8" t="s">
        <v>126</v>
      </c>
      <c r="D18" s="35">
        <f>IF(B12&gt;0,ROUND(B12/AVERAGE(B7:B11),0),0)</f>
        <v>6</v>
      </c>
      <c r="E18" s="8" t="s">
        <v>127</v>
      </c>
    </row>
    <row r="19" spans="1:7" s="17" customFormat="1" ht="13.2">
      <c r="E19" s="8" t="s">
        <v>128</v>
      </c>
    </row>
    <row r="20" spans="1:7" s="15" customFormat="1" ht="13.2">
      <c r="A20" s="15" t="s">
        <v>129</v>
      </c>
    </row>
    <row r="21" spans="1:7" s="8" customFormat="1" ht="13.2">
      <c r="A21" s="30" t="s">
        <v>120</v>
      </c>
      <c r="B21" s="30" t="s">
        <v>121</v>
      </c>
      <c r="C21" s="30" t="s">
        <v>130</v>
      </c>
    </row>
    <row r="22" spans="1:7" s="8" customFormat="1" ht="13.2">
      <c r="A22" s="19">
        <f>A7</f>
        <v>1</v>
      </c>
      <c r="B22" s="28">
        <f>B7</f>
        <v>172.47</v>
      </c>
      <c r="C22" s="9">
        <f>B22/(1+$C$15)^A22</f>
        <v>154.19026685131374</v>
      </c>
    </row>
    <row r="23" spans="1:7" s="8" customFormat="1" ht="13.2">
      <c r="A23" s="19">
        <f t="shared" ref="A23:B26" si="0">A8</f>
        <v>2</v>
      </c>
      <c r="B23" s="28">
        <f t="shared" si="0"/>
        <v>139.4</v>
      </c>
      <c r="C23" s="9">
        <f>B23/(1+$C$15)^A23</f>
        <v>111.41651425995639</v>
      </c>
    </row>
    <row r="24" spans="1:7" s="8" customFormat="1" ht="13.2">
      <c r="A24" s="19">
        <f t="shared" si="0"/>
        <v>3</v>
      </c>
      <c r="B24" s="28">
        <f t="shared" si="0"/>
        <v>145.18</v>
      </c>
      <c r="C24" s="9">
        <f>B24/(1+$C$15)^A24</f>
        <v>103.73778772299416</v>
      </c>
    </row>
    <row r="25" spans="1:7" s="8" customFormat="1" ht="13.2">
      <c r="A25" s="19">
        <f t="shared" si="0"/>
        <v>4</v>
      </c>
      <c r="B25" s="28">
        <f t="shared" si="0"/>
        <v>156.53</v>
      </c>
      <c r="C25" s="9">
        <f>B25/(1+$C$15)^A25</f>
        <v>99.993362329089663</v>
      </c>
    </row>
    <row r="26" spans="1:7" s="8" customFormat="1" ht="13.2">
      <c r="A26" s="19">
        <f t="shared" si="0"/>
        <v>5</v>
      </c>
      <c r="B26" s="28">
        <f t="shared" si="0"/>
        <v>151.19999999999999</v>
      </c>
      <c r="C26" s="9">
        <f>B26/(1+$C$15)^A26</f>
        <v>86.351279014664939</v>
      </c>
    </row>
    <row r="27" spans="1:7" s="8" customFormat="1" ht="13.8" thickBot="1">
      <c r="A27" s="36" t="str">
        <f>A12</f>
        <v>6 and beyond</v>
      </c>
      <c r="B27" s="37">
        <f>IF(B12&gt;0,IF(D18&gt;0,B12/D18,B12),0)</f>
        <v>157.27166666666668</v>
      </c>
      <c r="C27" s="38">
        <f>IF(D18&gt;0,(B27*(1-(1+C15)^(-D18))/C15)/(1+$C$15)^5,B27/(1+C15)^6)</f>
        <v>370.80011528805022</v>
      </c>
      <c r="D27" s="8" t="s">
        <v>131</v>
      </c>
    </row>
    <row r="28" spans="1:7" s="8" customFormat="1" ht="13.8" thickBot="1">
      <c r="A28" s="32" t="s">
        <v>132</v>
      </c>
      <c r="B28" s="39"/>
      <c r="C28" s="40">
        <f>SUM(C22:C27)</f>
        <v>926.4893254660692</v>
      </c>
    </row>
    <row r="29" spans="1:7" s="8" customFormat="1" ht="13.2"/>
    <row r="30" spans="1:7" s="8" customFormat="1" ht="13.2">
      <c r="A30" s="15" t="s">
        <v>133</v>
      </c>
    </row>
    <row r="31" spans="1:7" s="8" customFormat="1" ht="13.8" thickBot="1">
      <c r="A31" s="8" t="s">
        <v>134</v>
      </c>
      <c r="F31" s="38">
        <f>C28/(5+D18)</f>
        <v>84.2263023150972</v>
      </c>
      <c r="G31" s="8" t="s">
        <v>135</v>
      </c>
    </row>
    <row r="32" spans="1:7" s="8" customFormat="1" ht="13.8" thickBot="1">
      <c r="A32" s="8" t="s">
        <v>136</v>
      </c>
      <c r="F32" s="81">
        <f>E4-F31</f>
        <v>22.7736976849028</v>
      </c>
      <c r="G32" s="8" t="s">
        <v>138</v>
      </c>
    </row>
    <row r="33" spans="1:7" s="8" customFormat="1" ht="13.8" thickBot="1">
      <c r="A33" s="8" t="s">
        <v>137</v>
      </c>
      <c r="F33" s="41">
        <f>C28</f>
        <v>926.4893254660692</v>
      </c>
      <c r="G33" s="8" t="s">
        <v>139</v>
      </c>
    </row>
    <row r="34" spans="1:7" ht="13.2">
      <c r="A34" s="8" t="s">
        <v>496</v>
      </c>
      <c r="F34" s="241">
        <f>C28/(5+D18)</f>
        <v>84.2263023150972</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Input sheet</vt:lpstr>
      <vt:lpstr>Valuation output</vt:lpstr>
      <vt:lpstr>Stories to Numbers</vt:lpstr>
      <vt:lpstr>Diagnostics</vt:lpstr>
      <vt:lpstr>Summary Sheet</vt:lpstr>
      <vt:lpstr>Option value</vt:lpstr>
      <vt:lpstr>Cost of capital worksheet</vt:lpstr>
      <vt:lpstr>R&amp; D converter</vt:lpstr>
      <vt:lpstr>Operating lease converter</vt:lpstr>
      <vt:lpstr>Country equity risk premiums</vt:lpstr>
      <vt:lpstr>Synthetic rating</vt:lpstr>
      <vt:lpstr>Industry Average Beta (US)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Home</cp:lastModifiedBy>
  <cp:lastPrinted>2011-01-17T15:04:26Z</cp:lastPrinted>
  <dcterms:created xsi:type="dcterms:W3CDTF">2000-02-22T13:53:50Z</dcterms:created>
  <dcterms:modified xsi:type="dcterms:W3CDTF">2021-01-27T03:19:42Z</dcterms:modified>
</cp:coreProperties>
</file>