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60" windowWidth="20115" windowHeight="8010" activeTab="5"/>
  </bookViews>
  <sheets>
    <sheet name="Asif +EPRC" sheetId="1" r:id="rId1"/>
    <sheet name="ALL Outsourcing" sheetId="2" r:id="rId2"/>
    <sheet name="Summary" sheetId="3" r:id="rId3"/>
    <sheet name="Sheet1" sheetId="4" r:id="rId4"/>
    <sheet name="18-12-17" sheetId="5" r:id="rId5"/>
    <sheet name="27-12-17" sheetId="6" r:id="rId6"/>
  </sheets>
  <definedNames>
    <definedName name="_xlnm.Print_Area" localSheetId="1">'ALL Outsourcing'!$A$1:$O$19</definedName>
  </definedNames>
  <calcPr calcId="124519"/>
</workbook>
</file>

<file path=xl/calcChain.xml><?xml version="1.0" encoding="utf-8"?>
<calcChain xmlns="http://schemas.openxmlformats.org/spreadsheetml/2006/main">
  <c r="N34" i="6"/>
  <c r="M10"/>
  <c r="H12"/>
  <c r="G12"/>
  <c r="H7"/>
  <c r="G7"/>
  <c r="H11"/>
  <c r="G11"/>
  <c r="H6"/>
  <c r="G6"/>
  <c r="H32"/>
  <c r="G32"/>
  <c r="H31"/>
  <c r="G31"/>
  <c r="H30"/>
  <c r="G30"/>
  <c r="H29"/>
  <c r="G29"/>
  <c r="H28"/>
  <c r="G28"/>
  <c r="H27"/>
  <c r="G27"/>
  <c r="H26"/>
  <c r="G26"/>
  <c r="H25"/>
  <c r="G25"/>
  <c r="H24"/>
  <c r="G24"/>
  <c r="H23"/>
  <c r="G23"/>
  <c r="H22"/>
  <c r="G22"/>
  <c r="H21"/>
  <c r="G21"/>
  <c r="H20"/>
  <c r="G20"/>
  <c r="H19"/>
  <c r="G19"/>
  <c r="H18"/>
  <c r="G18"/>
  <c r="H17"/>
  <c r="G17"/>
  <c r="H16"/>
  <c r="G16"/>
  <c r="H15"/>
  <c r="G15"/>
  <c r="M45" i="5"/>
  <c r="M46" s="1"/>
  <c r="H52"/>
  <c r="G52"/>
  <c r="I52" s="1"/>
  <c r="K52" s="1"/>
  <c r="I48"/>
  <c r="K48" s="1"/>
  <c r="H48"/>
  <c r="G48"/>
  <c r="D41"/>
  <c r="H40"/>
  <c r="G40"/>
  <c r="D37"/>
  <c r="H36"/>
  <c r="G36"/>
  <c r="D27"/>
  <c r="H26"/>
  <c r="G26"/>
  <c r="H25"/>
  <c r="G25"/>
  <c r="H24"/>
  <c r="G24"/>
  <c r="H23"/>
  <c r="G23"/>
  <c r="H22"/>
  <c r="G22"/>
  <c r="H21"/>
  <c r="G21"/>
  <c r="H20"/>
  <c r="G20"/>
  <c r="H19"/>
  <c r="G19"/>
  <c r="H18"/>
  <c r="G18"/>
  <c r="H10"/>
  <c r="G10"/>
  <c r="H9"/>
  <c r="G9"/>
  <c r="H8"/>
  <c r="I8" s="1"/>
  <c r="K8" s="1"/>
  <c r="J8" s="1"/>
  <c r="G8"/>
  <c r="D15"/>
  <c r="H14"/>
  <c r="G14"/>
  <c r="H13"/>
  <c r="G13"/>
  <c r="H12"/>
  <c r="G12"/>
  <c r="H11"/>
  <c r="G11"/>
  <c r="H7"/>
  <c r="G7"/>
  <c r="H6"/>
  <c r="G6"/>
  <c r="I8" i="2"/>
  <c r="F16"/>
  <c r="F15"/>
  <c r="F14"/>
  <c r="F13"/>
  <c r="F12"/>
  <c r="F11"/>
  <c r="F9"/>
  <c r="F10"/>
  <c r="F8"/>
  <c r="F7"/>
  <c r="AO15"/>
  <c r="AO14"/>
  <c r="AO13"/>
  <c r="AO12"/>
  <c r="AO11"/>
  <c r="AO10"/>
  <c r="AO9"/>
  <c r="AO8"/>
  <c r="AO7"/>
  <c r="AL14"/>
  <c r="AK16"/>
  <c r="AM14" s="1"/>
  <c r="AJ16"/>
  <c r="AL8" s="1"/>
  <c r="AH15"/>
  <c r="AH14"/>
  <c r="AH13"/>
  <c r="AH12"/>
  <c r="AH11"/>
  <c r="AH10"/>
  <c r="AH9"/>
  <c r="AH8"/>
  <c r="AH7"/>
  <c r="C21" i="4"/>
  <c r="H20"/>
  <c r="I20" s="1"/>
  <c r="G20"/>
  <c r="F20"/>
  <c r="M19"/>
  <c r="J19"/>
  <c r="K19" s="1"/>
  <c r="L19" s="1"/>
  <c r="I19"/>
  <c r="H19"/>
  <c r="G19"/>
  <c r="F19"/>
  <c r="G18"/>
  <c r="F18"/>
  <c r="H18" s="1"/>
  <c r="S17"/>
  <c r="M17"/>
  <c r="I17"/>
  <c r="H17"/>
  <c r="J17" s="1"/>
  <c r="K17" s="1"/>
  <c r="L17" s="1"/>
  <c r="G17"/>
  <c r="F17"/>
  <c r="AB16"/>
  <c r="AC16" s="1"/>
  <c r="V16"/>
  <c r="W16" s="1"/>
  <c r="M16"/>
  <c r="G16"/>
  <c r="F16"/>
  <c r="H16" s="1"/>
  <c r="AB15"/>
  <c r="AC15" s="1"/>
  <c r="X15"/>
  <c r="W15"/>
  <c r="Y15" s="1"/>
  <c r="V15"/>
  <c r="G15"/>
  <c r="F15"/>
  <c r="H15" s="1"/>
  <c r="AB14"/>
  <c r="AC14" s="1"/>
  <c r="W14"/>
  <c r="X14" s="1"/>
  <c r="V14"/>
  <c r="M14"/>
  <c r="I14"/>
  <c r="H14"/>
  <c r="J14" s="1"/>
  <c r="K14" s="1"/>
  <c r="L14" s="1"/>
  <c r="G14"/>
  <c r="F14"/>
  <c r="AB13"/>
  <c r="AC13" s="1"/>
  <c r="W13"/>
  <c r="X13" s="1"/>
  <c r="Y13" s="1"/>
  <c r="V13"/>
  <c r="G13"/>
  <c r="F13"/>
  <c r="H13" s="1"/>
  <c r="AD12"/>
  <c r="AC12"/>
  <c r="AE12" s="1"/>
  <c r="AB12"/>
  <c r="W12"/>
  <c r="X12" s="1"/>
  <c r="V12"/>
  <c r="M12"/>
  <c r="G12"/>
  <c r="F12"/>
  <c r="H12" s="1"/>
  <c r="AB11"/>
  <c r="AC11" s="1"/>
  <c r="W11"/>
  <c r="X11" s="1"/>
  <c r="V11"/>
  <c r="M11"/>
  <c r="I11"/>
  <c r="H11"/>
  <c r="J11" s="1"/>
  <c r="K11" s="1"/>
  <c r="L11" s="1"/>
  <c r="G11"/>
  <c r="F11"/>
  <c r="AB10"/>
  <c r="AC10" s="1"/>
  <c r="W10"/>
  <c r="X10" s="1"/>
  <c r="Y10" s="1"/>
  <c r="V10"/>
  <c r="M10"/>
  <c r="G10"/>
  <c r="F10"/>
  <c r="H10" s="1"/>
  <c r="AD9"/>
  <c r="AC9"/>
  <c r="AE9" s="1"/>
  <c r="AB9"/>
  <c r="W9"/>
  <c r="X9" s="1"/>
  <c r="V9"/>
  <c r="M9"/>
  <c r="H9"/>
  <c r="I9" s="1"/>
  <c r="G9"/>
  <c r="F9"/>
  <c r="AC8"/>
  <c r="AD8" s="1"/>
  <c r="AE8" s="1"/>
  <c r="AB8"/>
  <c r="V8"/>
  <c r="W8" s="1"/>
  <c r="M8"/>
  <c r="G8"/>
  <c r="F8"/>
  <c r="H8" s="1"/>
  <c r="AC7"/>
  <c r="AD7" s="1"/>
  <c r="AB7"/>
  <c r="X7"/>
  <c r="W7"/>
  <c r="Y7" s="1"/>
  <c r="V7"/>
  <c r="M7"/>
  <c r="M21" s="1"/>
  <c r="I7"/>
  <c r="H7"/>
  <c r="J7" s="1"/>
  <c r="K7" s="1"/>
  <c r="L7" s="1"/>
  <c r="G7"/>
  <c r="F7"/>
  <c r="W10" i="2"/>
  <c r="H16"/>
  <c r="G16"/>
  <c r="H15"/>
  <c r="G15"/>
  <c r="H14"/>
  <c r="G14"/>
  <c r="H13"/>
  <c r="G13"/>
  <c r="H12"/>
  <c r="G12"/>
  <c r="H11"/>
  <c r="G11"/>
  <c r="H10"/>
  <c r="G10"/>
  <c r="H9"/>
  <c r="G9"/>
  <c r="H8"/>
  <c r="G8"/>
  <c r="H7"/>
  <c r="G7"/>
  <c r="AB16"/>
  <c r="AC16" s="1"/>
  <c r="V16"/>
  <c r="W16" s="1"/>
  <c r="AB15"/>
  <c r="AC15" s="1"/>
  <c r="V15"/>
  <c r="AB14"/>
  <c r="AC14" s="1"/>
  <c r="V14"/>
  <c r="W14" s="1"/>
  <c r="AB13"/>
  <c r="AC13" s="1"/>
  <c r="V13"/>
  <c r="W13" s="1"/>
  <c r="X13" s="1"/>
  <c r="Y13" s="1"/>
  <c r="AB12"/>
  <c r="AC12" s="1"/>
  <c r="V12"/>
  <c r="W12" s="1"/>
  <c r="AB11"/>
  <c r="V11"/>
  <c r="W11" s="1"/>
  <c r="AB10"/>
  <c r="V10"/>
  <c r="AB9"/>
  <c r="AC9" s="1"/>
  <c r="AD9" s="1"/>
  <c r="V9"/>
  <c r="W9" s="1"/>
  <c r="AB8"/>
  <c r="V8"/>
  <c r="W8" s="1"/>
  <c r="AB7"/>
  <c r="AC7" s="1"/>
  <c r="S17"/>
  <c r="V7"/>
  <c r="W7" s="1"/>
  <c r="I16" i="6" l="1"/>
  <c r="K16" s="1"/>
  <c r="I17"/>
  <c r="K17" s="1"/>
  <c r="L17" s="1"/>
  <c r="M17" s="1"/>
  <c r="I18"/>
  <c r="K18" s="1"/>
  <c r="L18" s="1"/>
  <c r="M18" s="1"/>
  <c r="I20"/>
  <c r="K20" s="1"/>
  <c r="L20" s="1"/>
  <c r="M20" s="1"/>
  <c r="I27"/>
  <c r="K27" s="1"/>
  <c r="L27" s="1"/>
  <c r="M27" s="1"/>
  <c r="I31"/>
  <c r="K31" s="1"/>
  <c r="J31" s="1"/>
  <c r="I12"/>
  <c r="K12" s="1"/>
  <c r="J12" s="1"/>
  <c r="I21"/>
  <c r="K21" s="1"/>
  <c r="L21" s="1"/>
  <c r="M21" s="1"/>
  <c r="I26"/>
  <c r="K26" s="1"/>
  <c r="L26" s="1"/>
  <c r="M26" s="1"/>
  <c r="I30"/>
  <c r="K30" s="1"/>
  <c r="L30" s="1"/>
  <c r="M30" s="1"/>
  <c r="I11"/>
  <c r="K11" s="1"/>
  <c r="L11" s="1"/>
  <c r="M11" s="1"/>
  <c r="I22"/>
  <c r="K22" s="1"/>
  <c r="J22" s="1"/>
  <c r="I28"/>
  <c r="K28" s="1"/>
  <c r="L28" s="1"/>
  <c r="M28" s="1"/>
  <c r="I32"/>
  <c r="K32" s="1"/>
  <c r="J32" s="1"/>
  <c r="I7"/>
  <c r="K7" s="1"/>
  <c r="L7" s="1"/>
  <c r="M7" s="1"/>
  <c r="I24"/>
  <c r="K24" s="1"/>
  <c r="J24" s="1"/>
  <c r="I23"/>
  <c r="K23" s="1"/>
  <c r="J23" s="1"/>
  <c r="I19"/>
  <c r="K19" s="1"/>
  <c r="L19" s="1"/>
  <c r="M19" s="1"/>
  <c r="I29"/>
  <c r="K29" s="1"/>
  <c r="L29" s="1"/>
  <c r="M29" s="1"/>
  <c r="I6"/>
  <c r="K6" s="1"/>
  <c r="L6" s="1"/>
  <c r="M6" s="1"/>
  <c r="I15"/>
  <c r="K15" s="1"/>
  <c r="J15" s="1"/>
  <c r="I25"/>
  <c r="K25" s="1"/>
  <c r="L25" s="1"/>
  <c r="M25" s="1"/>
  <c r="J7"/>
  <c r="J16"/>
  <c r="L16"/>
  <c r="M16" s="1"/>
  <c r="J20"/>
  <c r="J17"/>
  <c r="J52" i="5"/>
  <c r="L52"/>
  <c r="L48"/>
  <c r="M48" s="1"/>
  <c r="M49" s="1"/>
  <c r="J48"/>
  <c r="I18"/>
  <c r="K18" s="1"/>
  <c r="J18" s="1"/>
  <c r="I22"/>
  <c r="K22" s="1"/>
  <c r="J22" s="1"/>
  <c r="I36"/>
  <c r="K36" s="1"/>
  <c r="J36" s="1"/>
  <c r="I23"/>
  <c r="K23" s="1"/>
  <c r="J23" s="1"/>
  <c r="I25"/>
  <c r="K25" s="1"/>
  <c r="J25" s="1"/>
  <c r="I40"/>
  <c r="K40" s="1"/>
  <c r="L40" s="1"/>
  <c r="M40" s="1"/>
  <c r="M41" s="1"/>
  <c r="I24"/>
  <c r="K24" s="1"/>
  <c r="J24" s="1"/>
  <c r="I26"/>
  <c r="K26" s="1"/>
  <c r="J26" s="1"/>
  <c r="I19"/>
  <c r="K19" s="1"/>
  <c r="J19" s="1"/>
  <c r="I21"/>
  <c r="K21" s="1"/>
  <c r="J21" s="1"/>
  <c r="I20"/>
  <c r="I10"/>
  <c r="K10" s="1"/>
  <c r="J10" s="1"/>
  <c r="I9"/>
  <c r="K9" s="1"/>
  <c r="J9" s="1"/>
  <c r="L8"/>
  <c r="M8" s="1"/>
  <c r="I13"/>
  <c r="K13" s="1"/>
  <c r="J13" s="1"/>
  <c r="I12"/>
  <c r="K12" s="1"/>
  <c r="J12" s="1"/>
  <c r="I14"/>
  <c r="K14" s="1"/>
  <c r="J14" s="1"/>
  <c r="I6"/>
  <c r="K6" s="1"/>
  <c r="J6" s="1"/>
  <c r="I7"/>
  <c r="K7" s="1"/>
  <c r="J7" s="1"/>
  <c r="I11"/>
  <c r="K11" s="1"/>
  <c r="J11" s="1"/>
  <c r="I9" i="2"/>
  <c r="J9" s="1"/>
  <c r="K9" s="1"/>
  <c r="L9" s="1"/>
  <c r="M9" s="1"/>
  <c r="O9" s="1"/>
  <c r="I11"/>
  <c r="J11" s="1"/>
  <c r="K11" s="1"/>
  <c r="L11" s="1"/>
  <c r="M11" s="1"/>
  <c r="O11" s="1"/>
  <c r="AN14"/>
  <c r="AL7"/>
  <c r="AL15"/>
  <c r="AM13"/>
  <c r="AO16"/>
  <c r="AP9" s="1"/>
  <c r="AQ9" s="1"/>
  <c r="AL13"/>
  <c r="AL12"/>
  <c r="AM10"/>
  <c r="I16"/>
  <c r="J16" s="1"/>
  <c r="AL11"/>
  <c r="AM9"/>
  <c r="AM12"/>
  <c r="AM11"/>
  <c r="AM8"/>
  <c r="AN8" s="1"/>
  <c r="AL9"/>
  <c r="AM7"/>
  <c r="AM15"/>
  <c r="AL10"/>
  <c r="J8"/>
  <c r="K8" s="1"/>
  <c r="L8" s="1"/>
  <c r="M8" s="1"/>
  <c r="O8" s="1"/>
  <c r="I12"/>
  <c r="J12" s="1"/>
  <c r="W15"/>
  <c r="X15" s="1"/>
  <c r="Y15" s="1"/>
  <c r="X10"/>
  <c r="Y10" s="1"/>
  <c r="AC8"/>
  <c r="AD8" s="1"/>
  <c r="AE8" s="1"/>
  <c r="AC11"/>
  <c r="AD11" s="1"/>
  <c r="AE11" s="1"/>
  <c r="AD16"/>
  <c r="AE16" s="1"/>
  <c r="X9"/>
  <c r="Y9" s="1"/>
  <c r="AC10"/>
  <c r="AD10" s="1"/>
  <c r="AE10" s="1"/>
  <c r="J12" i="4"/>
  <c r="K12" s="1"/>
  <c r="L12" s="1"/>
  <c r="I12"/>
  <c r="I13"/>
  <c r="J13"/>
  <c r="K13" s="1"/>
  <c r="L13" s="1"/>
  <c r="O13" s="1"/>
  <c r="AE10"/>
  <c r="AF10" s="1"/>
  <c r="N14" s="1"/>
  <c r="O14" s="1"/>
  <c r="AD10"/>
  <c r="AD11"/>
  <c r="AE11" s="1"/>
  <c r="AF11" s="1"/>
  <c r="N15" s="1"/>
  <c r="AD16"/>
  <c r="AE16" s="1"/>
  <c r="AF16" s="1"/>
  <c r="N20" s="1"/>
  <c r="AF8"/>
  <c r="N12" s="1"/>
  <c r="AF9"/>
  <c r="N13" s="1"/>
  <c r="X16"/>
  <c r="Y16" s="1"/>
  <c r="J15"/>
  <c r="K15" s="1"/>
  <c r="L15" s="1"/>
  <c r="I15"/>
  <c r="AD13"/>
  <c r="AE13" s="1"/>
  <c r="AF13" s="1"/>
  <c r="N17" s="1"/>
  <c r="O17" s="1"/>
  <c r="AD14"/>
  <c r="AE14" s="1"/>
  <c r="AF14" s="1"/>
  <c r="N18" s="1"/>
  <c r="O7"/>
  <c r="I8"/>
  <c r="J8" s="1"/>
  <c r="K8" s="1"/>
  <c r="L8" s="1"/>
  <c r="I16"/>
  <c r="J16" s="1"/>
  <c r="K16" s="1"/>
  <c r="L16" s="1"/>
  <c r="Y8"/>
  <c r="X8"/>
  <c r="J18"/>
  <c r="K18" s="1"/>
  <c r="L18" s="1"/>
  <c r="I18"/>
  <c r="I10"/>
  <c r="J10"/>
  <c r="K10" s="1"/>
  <c r="L10" s="1"/>
  <c r="O10" s="1"/>
  <c r="AD15"/>
  <c r="AE15" s="1"/>
  <c r="AF15" s="1"/>
  <c r="N19" s="1"/>
  <c r="O19" s="1"/>
  <c r="Y11"/>
  <c r="Y14"/>
  <c r="J20"/>
  <c r="K20" s="1"/>
  <c r="L20" s="1"/>
  <c r="AE7"/>
  <c r="J9"/>
  <c r="K9" s="1"/>
  <c r="L9" s="1"/>
  <c r="O9" s="1"/>
  <c r="Y9"/>
  <c r="Y17" s="1"/>
  <c r="Y12"/>
  <c r="AF12" s="1"/>
  <c r="N16" s="1"/>
  <c r="AD13" i="2"/>
  <c r="AE13" s="1"/>
  <c r="AF13" s="1"/>
  <c r="AD14"/>
  <c r="AE14" s="1"/>
  <c r="I15"/>
  <c r="J15" s="1"/>
  <c r="I7"/>
  <c r="J7" s="1"/>
  <c r="I14"/>
  <c r="J14" s="1"/>
  <c r="K14" s="1"/>
  <c r="L14" s="1"/>
  <c r="M14" s="1"/>
  <c r="O14" s="1"/>
  <c r="I13"/>
  <c r="J13" s="1"/>
  <c r="I10"/>
  <c r="J10" s="1"/>
  <c r="K10" s="1"/>
  <c r="L10" s="1"/>
  <c r="M10" s="1"/>
  <c r="O10" s="1"/>
  <c r="X14"/>
  <c r="Y14" s="1"/>
  <c r="AE9"/>
  <c r="X12"/>
  <c r="Y12" s="1"/>
  <c r="X8"/>
  <c r="Y8" s="1"/>
  <c r="X16"/>
  <c r="Y16" s="1"/>
  <c r="AD12"/>
  <c r="AE12" s="1"/>
  <c r="AD15"/>
  <c r="AE15" s="1"/>
  <c r="X11"/>
  <c r="Y11" s="1"/>
  <c r="X7"/>
  <c r="Y7" s="1"/>
  <c r="L24" i="6" l="1"/>
  <c r="M24" s="1"/>
  <c r="J29"/>
  <c r="J18"/>
  <c r="J30"/>
  <c r="J26"/>
  <c r="J27"/>
  <c r="L12"/>
  <c r="M12" s="1"/>
  <c r="J11"/>
  <c r="L31"/>
  <c r="M31" s="1"/>
  <c r="J21"/>
  <c r="J19"/>
  <c r="J6"/>
  <c r="L15"/>
  <c r="M15" s="1"/>
  <c r="M33" s="1"/>
  <c r="L22"/>
  <c r="M22" s="1"/>
  <c r="J28"/>
  <c r="J25"/>
  <c r="L32"/>
  <c r="M32" s="1"/>
  <c r="M8"/>
  <c r="O8" s="1"/>
  <c r="L23"/>
  <c r="M23" s="1"/>
  <c r="L22" i="5"/>
  <c r="M22" s="1"/>
  <c r="M53"/>
  <c r="M54" s="1"/>
  <c r="O54" s="1"/>
  <c r="M52"/>
  <c r="L23"/>
  <c r="M23" s="1"/>
  <c r="L18"/>
  <c r="M18" s="1"/>
  <c r="L36"/>
  <c r="M36" s="1"/>
  <c r="M37" s="1"/>
  <c r="K20"/>
  <c r="J20" s="1"/>
  <c r="J40"/>
  <c r="M42"/>
  <c r="O42" s="1"/>
  <c r="L25"/>
  <c r="M25" s="1"/>
  <c r="L26"/>
  <c r="M26" s="1"/>
  <c r="L24"/>
  <c r="L21"/>
  <c r="L19"/>
  <c r="L10"/>
  <c r="M10" s="1"/>
  <c r="L9"/>
  <c r="M9" s="1"/>
  <c r="L13"/>
  <c r="L14"/>
  <c r="L7"/>
  <c r="L12"/>
  <c r="L6"/>
  <c r="L11"/>
  <c r="K16" i="2"/>
  <c r="L16" s="1"/>
  <c r="M16" s="1"/>
  <c r="O16" s="1"/>
  <c r="K15"/>
  <c r="L15" s="1"/>
  <c r="M15" s="1"/>
  <c r="O15" s="1"/>
  <c r="AP15"/>
  <c r="AQ15" s="1"/>
  <c r="AP7"/>
  <c r="AQ7" s="1"/>
  <c r="AP8"/>
  <c r="AQ8" s="1"/>
  <c r="AF8"/>
  <c r="AN15"/>
  <c r="AP10"/>
  <c r="AQ10" s="1"/>
  <c r="AP11"/>
  <c r="AQ11" s="1"/>
  <c r="AP13"/>
  <c r="AQ13" s="1"/>
  <c r="AP14"/>
  <c r="AQ14" s="1"/>
  <c r="AN13"/>
  <c r="AN9"/>
  <c r="AN12"/>
  <c r="AP12"/>
  <c r="AQ12" s="1"/>
  <c r="AL16"/>
  <c r="AN7"/>
  <c r="AN16" s="1"/>
  <c r="AF16"/>
  <c r="AM16"/>
  <c r="K12"/>
  <c r="L12" s="1"/>
  <c r="M12" s="1"/>
  <c r="O12" s="1"/>
  <c r="AN10"/>
  <c r="AN11"/>
  <c r="K7"/>
  <c r="L7" s="1"/>
  <c r="M7" s="1"/>
  <c r="O7" s="1"/>
  <c r="AF9"/>
  <c r="AF10"/>
  <c r="K13"/>
  <c r="L13" s="1"/>
  <c r="M13" s="1"/>
  <c r="O13" s="1"/>
  <c r="O8" i="4"/>
  <c r="L21"/>
  <c r="O16"/>
  <c r="AF7"/>
  <c r="AE17"/>
  <c r="O18"/>
  <c r="O12"/>
  <c r="O15"/>
  <c r="O20"/>
  <c r="AF14" i="2"/>
  <c r="AF15"/>
  <c r="AF12"/>
  <c r="AF11"/>
  <c r="AD7"/>
  <c r="G18" i="3"/>
  <c r="G7"/>
  <c r="G8"/>
  <c r="G9"/>
  <c r="G10"/>
  <c r="G11"/>
  <c r="G12"/>
  <c r="G13"/>
  <c r="G14"/>
  <c r="G15"/>
  <c r="G16"/>
  <c r="G17"/>
  <c r="G6"/>
  <c r="E18"/>
  <c r="F18"/>
  <c r="F17"/>
  <c r="F16"/>
  <c r="F15"/>
  <c r="F14"/>
  <c r="F13"/>
  <c r="F12"/>
  <c r="F11"/>
  <c r="F10"/>
  <c r="F9"/>
  <c r="F8"/>
  <c r="F7"/>
  <c r="F6"/>
  <c r="D16"/>
  <c r="D14"/>
  <c r="D13"/>
  <c r="D11"/>
  <c r="D9"/>
  <c r="D8"/>
  <c r="D7"/>
  <c r="D6"/>
  <c r="D17" i="2"/>
  <c r="O13" i="6" l="1"/>
  <c r="M13"/>
  <c r="M34" s="1"/>
  <c r="O33"/>
  <c r="O34" s="1"/>
  <c r="L20" i="5"/>
  <c r="M20" s="1"/>
  <c r="M24"/>
  <c r="M21"/>
  <c r="M19"/>
  <c r="M14"/>
  <c r="M7"/>
  <c r="M12"/>
  <c r="M6"/>
  <c r="M11"/>
  <c r="M13"/>
  <c r="AP16" i="2"/>
  <c r="AQ16"/>
  <c r="N11" i="4"/>
  <c r="AF17"/>
  <c r="AE7" i="2"/>
  <c r="Y17"/>
  <c r="N17"/>
  <c r="J5" i="1"/>
  <c r="J4"/>
  <c r="L4" s="1"/>
  <c r="K21"/>
  <c r="K15"/>
  <c r="K14"/>
  <c r="K13"/>
  <c r="K12"/>
  <c r="K6"/>
  <c r="K5"/>
  <c r="K4"/>
  <c r="K3"/>
  <c r="K11"/>
  <c r="H21"/>
  <c r="I21" s="1"/>
  <c r="L21" s="1"/>
  <c r="J21"/>
  <c r="J15"/>
  <c r="J14"/>
  <c r="J13"/>
  <c r="J12"/>
  <c r="J11"/>
  <c r="I15"/>
  <c r="H15"/>
  <c r="H14"/>
  <c r="I14" s="1"/>
  <c r="L14" s="1"/>
  <c r="H13"/>
  <c r="I13" s="1"/>
  <c r="H12"/>
  <c r="I12" s="1"/>
  <c r="H11"/>
  <c r="I11" s="1"/>
  <c r="H6"/>
  <c r="H5"/>
  <c r="I5" s="1"/>
  <c r="H4"/>
  <c r="I4" s="1"/>
  <c r="H3"/>
  <c r="I3" s="1"/>
  <c r="I6"/>
  <c r="J6"/>
  <c r="L6" s="1"/>
  <c r="J3"/>
  <c r="L3" s="1"/>
  <c r="M27" i="5" l="1"/>
  <c r="M15"/>
  <c r="N21" i="4"/>
  <c r="O11"/>
  <c r="O21" s="1"/>
  <c r="AE17" i="2"/>
  <c r="AF7"/>
  <c r="L15" i="1"/>
  <c r="L13"/>
  <c r="L12"/>
  <c r="L11"/>
  <c r="L5"/>
  <c r="L16"/>
  <c r="L22"/>
  <c r="L7"/>
  <c r="M28" i="5" l="1"/>
  <c r="O28" s="1"/>
  <c r="O56" s="1"/>
  <c r="AF17" i="2"/>
  <c r="H18" i="1"/>
  <c r="D24" s="1"/>
  <c r="I24" s="1"/>
  <c r="O17" i="2" l="1"/>
  <c r="M17"/>
</calcChain>
</file>

<file path=xl/sharedStrings.xml><?xml version="1.0" encoding="utf-8"?>
<sst xmlns="http://schemas.openxmlformats.org/spreadsheetml/2006/main" count="357" uniqueCount="129">
  <si>
    <t>Outsourcing Staff (DEO,Driver,Speed Boat Driver,MLSS,Sweeper</t>
  </si>
  <si>
    <t>Sl no</t>
  </si>
  <si>
    <t>Name Of Post</t>
  </si>
  <si>
    <t>Nos OF post As per DPP</t>
  </si>
  <si>
    <t>Grade position in NSS-2015</t>
  </si>
  <si>
    <t>Scale Range</t>
  </si>
  <si>
    <t>Total</t>
  </si>
  <si>
    <t>Remarks</t>
  </si>
  <si>
    <t>Data Entry Operator</t>
  </si>
  <si>
    <t>Driver</t>
  </si>
  <si>
    <t>Speed Boat Driver</t>
  </si>
  <si>
    <t>MLSS</t>
  </si>
  <si>
    <t>Sweeper</t>
  </si>
  <si>
    <t>9300-22490</t>
  </si>
  <si>
    <t>8250-20010</t>
  </si>
  <si>
    <t>Amount Per Month</t>
  </si>
  <si>
    <t>Amount Per Year</t>
  </si>
  <si>
    <t>Festval Amount per year</t>
  </si>
  <si>
    <t>PMO Office</t>
  </si>
  <si>
    <t>PIU Office</t>
  </si>
  <si>
    <t>Basic</t>
  </si>
  <si>
    <t>Total Per Month</t>
  </si>
  <si>
    <t>Total=</t>
  </si>
  <si>
    <t>Extension Overseer</t>
  </si>
  <si>
    <t>Grand Total per year=</t>
  </si>
  <si>
    <t>Grand Total (06 yrs)=</t>
  </si>
  <si>
    <t>Novoborho Allowance</t>
  </si>
  <si>
    <t>11300-27300</t>
  </si>
  <si>
    <t>10260/=(Basic) +6785/= (Allowance)</t>
  </si>
  <si>
    <t>9110/=(Basic) +7560/= (Allowance)</t>
  </si>
  <si>
    <t>10260/=(Basic) +5390/= (Allowance)</t>
  </si>
  <si>
    <t>9110/=(Basic) +5340/= (Allowance)</t>
  </si>
  <si>
    <t>11300/=(Basic) +6785/= (Allowance)</t>
  </si>
  <si>
    <t>Name of Post</t>
  </si>
  <si>
    <t>Nos of Post</t>
  </si>
  <si>
    <t>Monthly Salary Per Post</t>
  </si>
  <si>
    <t>Sl No</t>
  </si>
  <si>
    <t>Co-Ordinator</t>
  </si>
  <si>
    <t>Asstt. Co-Ordinator</t>
  </si>
  <si>
    <t>Data Entry Operator (Dhaka)</t>
  </si>
  <si>
    <t>Data Entry Operator (PIU Office)</t>
  </si>
  <si>
    <t>Driver (Dhaka)</t>
  </si>
  <si>
    <t>Driver (PIU Office)</t>
  </si>
  <si>
    <t>MLSS (Dhaka)</t>
  </si>
  <si>
    <t>MLSS (PIU Office)</t>
  </si>
  <si>
    <t>Sweeper (Dhaka)</t>
  </si>
  <si>
    <t>Sweeper  (PIU Office)</t>
  </si>
  <si>
    <t>Contractor Profit (15%)</t>
  </si>
  <si>
    <t>Expenditure upto Feb'2017</t>
  </si>
  <si>
    <t>Code : 4899</t>
  </si>
  <si>
    <t>(Salary of Manpower throuth  Outsourcing )</t>
  </si>
  <si>
    <t>Post Type</t>
  </si>
  <si>
    <t>Post Nos</t>
  </si>
  <si>
    <t>Expenditure for Next 4.5 Years (54 Month) (Mar'17 to July'2021</t>
  </si>
  <si>
    <t>Monthly Rate</t>
  </si>
  <si>
    <t>Total Amount</t>
  </si>
  <si>
    <t>Expenditure upto Feb'17</t>
  </si>
  <si>
    <t>Arear of salary for July'16 to Feb'17                               (8 Month)</t>
  </si>
  <si>
    <t>Basic *</t>
  </si>
  <si>
    <t>Festival Bonous Per Post 
(02 nos)</t>
  </si>
  <si>
    <t>Arear amount</t>
  </si>
  <si>
    <t>Festival Bonous (02 nos) Per Post</t>
  </si>
  <si>
    <t>Bangla Noboborso Allowance (20%)
Per Post</t>
  </si>
  <si>
    <t>Total Yearly Salary, Festival &amp; Noboborso Bonous 
Per Post</t>
  </si>
  <si>
    <t>Total Yearly
Per Post</t>
  </si>
  <si>
    <t>Monthly average salary  
Per Post</t>
  </si>
  <si>
    <t xml:space="preserve">Total cost required for Salary of Out Sourcing staff </t>
  </si>
  <si>
    <t>Salary &amp; other allowances as per approved DPP</t>
  </si>
  <si>
    <t>Salary &amp; other allowances as per prposed 1st RDPP</t>
  </si>
  <si>
    <t>Contractor's Overhead (15%)</t>
  </si>
  <si>
    <t>Code No. 4899 : Other Expenses: Salary of Manpower through Outsourcing</t>
  </si>
  <si>
    <t>Project : Haor Flood Management and Livelihood Improvement Project (BWDB Part)</t>
  </si>
  <si>
    <t>Data Entry Operator (PMO)</t>
  </si>
  <si>
    <t>Driver (PMO)</t>
  </si>
  <si>
    <t>MLSS (PMO)</t>
  </si>
  <si>
    <t>Sweeper (PMO)</t>
  </si>
  <si>
    <t>Calculation of Arear Cost of OutSourcing Staff Under HFMLIP for July'16 to February'17</t>
  </si>
  <si>
    <t>Speed Boat Driver 
(PIU Office)</t>
  </si>
  <si>
    <r>
      <t xml:space="preserve">* As per National Pay Scale 2015 (NPS-2015) and </t>
    </r>
    <r>
      <rPr>
        <sz val="11"/>
        <color theme="1"/>
        <rFont val="SutonnyMJ"/>
      </rPr>
      <t>A_© gš¿Yvjq, A_© wefvM, ev‡RU kvLv-11 Gi cwicÎ bs-07.111.031.01.00.005.2010-260 ZvwiL-26/05/2016 wLªªt †gvZv‡eK|</t>
    </r>
  </si>
  <si>
    <t>Asstt. Engineer</t>
  </si>
  <si>
    <t>Sub-Asstt. Engineer</t>
  </si>
  <si>
    <t xml:space="preserve">Total Expenditure for July '17 to December '21
(54 months i.e. 4.5 years)                                </t>
  </si>
  <si>
    <t xml:space="preserve">Total Salary, &amp; Festival  Bonous from
July'16 to June'17
</t>
  </si>
  <si>
    <t>Total cost utilised for 8 months 
(July'16 to June'17)</t>
  </si>
  <si>
    <t>Total cost  required for 8 months 
(July'16 to June'17)</t>
  </si>
  <si>
    <t>Co-Ordinator (Agri.)</t>
  </si>
  <si>
    <t>Co-Ordinator (Inst.)</t>
  </si>
  <si>
    <t>Expenditure upto June '2017</t>
  </si>
  <si>
    <t>Grade</t>
  </si>
  <si>
    <t xml:space="preserve">Total Expenditure for specific contract duration                    </t>
  </si>
  <si>
    <t>Contractor's Overhead (20%)</t>
  </si>
  <si>
    <t>Expenditure upto December 2017</t>
  </si>
  <si>
    <t>Speed Boat Driver (PIU Office)</t>
  </si>
  <si>
    <t>65 nos. Extension Overseer: Duration January 2020 to June 2022 = Two &amp; half years = 30 months</t>
  </si>
  <si>
    <t>Grand Total</t>
  </si>
  <si>
    <t>11 nos. Extension Overseer: Duration June 2018 to May 2020 = Two years = 24 months</t>
  </si>
  <si>
    <t>11 nos. Extension Overseer: Duration January 2018 to May 2018 = 5 month as per previous contract</t>
  </si>
  <si>
    <t>Total Expenditure for Outsourcing staff</t>
  </si>
  <si>
    <t>Others Staff: Duration January 2018 to December 2018 = 0ne year = 12 months</t>
  </si>
  <si>
    <t>Others Staff: Duration January 2019 to June 2022 = Three &amp; half years = 42 months</t>
  </si>
  <si>
    <t>65 nos. Extension Overseer: Duration January 2018 to December 2019 = Two years = 24 months</t>
  </si>
  <si>
    <t>11 nos. Extension Overseer: Duration June 2020 to June 2022 = Two years and one month  = 25 months</t>
  </si>
  <si>
    <t>Extension Overseer (24 months)</t>
  </si>
  <si>
    <t>Extension Overseer(30 months)</t>
  </si>
  <si>
    <t>Extension Overseer (5 months)</t>
  </si>
  <si>
    <t>Extension Overseer(25 months)</t>
  </si>
  <si>
    <t>Data Entry Operator (PMO) (12 months)</t>
  </si>
  <si>
    <t>Data Entry Operator (PIU)(12 months)</t>
  </si>
  <si>
    <t>Driver (PMO)(12 months)</t>
  </si>
  <si>
    <t>Driver (PIU Office)(12 months)</t>
  </si>
  <si>
    <t>Speed Boat Driver (PIU Office)(12 months)</t>
  </si>
  <si>
    <t>MLSS (PMO)(12 months)</t>
  </si>
  <si>
    <t>MLSS (PIU Office)(12 months)</t>
  </si>
  <si>
    <t>Sweeper (PMO)(12 months)</t>
  </si>
  <si>
    <t>Sweeper  (PIU Office)(12 months)</t>
  </si>
  <si>
    <t>Data Entry Operator (PMO) (42 months)</t>
  </si>
  <si>
    <t>Data Entry Operator (PIU)(42 months)</t>
  </si>
  <si>
    <t>Driver (PMO)(42 months)</t>
  </si>
  <si>
    <t>Driver (PIU Office)(42 months)</t>
  </si>
  <si>
    <t>Speed Boat Driver (PIU Office)(42 months)</t>
  </si>
  <si>
    <t>MLSS (PMO)(42 months)</t>
  </si>
  <si>
    <t>MLSS (PIU Office)(42 months)</t>
  </si>
  <si>
    <t>Sweeper (PMO)(42 months)</t>
  </si>
  <si>
    <t>Sweeper  (PIU Office)(42 months)</t>
  </si>
  <si>
    <t>65 nos. Extension Overseer (EO): Duration 01-01-2018 to 31-12-2019 =24 months and 01-01-2020 to 30-06-2022 =30 months.</t>
  </si>
  <si>
    <t xml:space="preserve">Sub-Total 65 nos. EO for 54 months </t>
  </si>
  <si>
    <t>11 nos. Extension Overseer: Duration 01-01-2018 to 31-05-2018 =5 months(previous contract), 01-06-2018 to 31-05-2020 =24 months and 01-06-20 to 30-06-2022 =25 months.</t>
  </si>
  <si>
    <t xml:space="preserve">Sub-Total of 30 nos. others staff for 54 months </t>
  </si>
  <si>
    <t xml:space="preserve">Sub-Total 11 nos. EO for 54 months 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</si>
</sst>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0.0"/>
  </numFmts>
  <fonts count="19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SutonnyMJ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Times New Roman"/>
      <family val="1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101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164" fontId="1" fillId="0" borderId="0" xfId="0" applyNumberFormat="1" applyFont="1" applyBorder="1" applyAlignment="1">
      <alignment vertical="center" wrapText="1"/>
    </xf>
    <xf numFmtId="2" fontId="1" fillId="0" borderId="0" xfId="0" applyNumberFormat="1" applyFont="1" applyBorder="1" applyAlignment="1">
      <alignment vertical="center" wrapText="1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wrapText="1"/>
    </xf>
    <xf numFmtId="0" fontId="0" fillId="0" borderId="0" xfId="0" applyFill="1"/>
    <xf numFmtId="0" fontId="0" fillId="0" borderId="1" xfId="0" applyFill="1" applyBorder="1"/>
    <xf numFmtId="0" fontId="0" fillId="0" borderId="0" xfId="0" applyAlignment="1">
      <alignment vertical="top"/>
    </xf>
    <xf numFmtId="0" fontId="6" fillId="0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1" xfId="0" applyFill="1" applyBorder="1" applyAlignment="1">
      <alignment vertical="top"/>
    </xf>
    <xf numFmtId="0" fontId="7" fillId="0" borderId="1" xfId="0" applyFont="1" applyBorder="1" applyAlignment="1">
      <alignment horizontal="right" vertical="top"/>
    </xf>
    <xf numFmtId="0" fontId="7" fillId="0" borderId="1" xfId="0" applyFont="1" applyBorder="1" applyAlignment="1">
      <alignment vertical="top"/>
    </xf>
    <xf numFmtId="0" fontId="0" fillId="0" borderId="0" xfId="0" applyFill="1" applyAlignment="1">
      <alignment vertical="top"/>
    </xf>
    <xf numFmtId="0" fontId="9" fillId="0" borderId="1" xfId="0" applyFont="1" applyBorder="1" applyAlignment="1">
      <alignment horizontal="center" vertical="top" wrapText="1"/>
    </xf>
    <xf numFmtId="0" fontId="8" fillId="0" borderId="0" xfId="0" applyFont="1" applyAlignment="1">
      <alignment vertical="top"/>
    </xf>
    <xf numFmtId="0" fontId="0" fillId="0" borderId="0" xfId="0" applyFill="1" applyBorder="1" applyAlignment="1">
      <alignment vertical="top"/>
    </xf>
    <xf numFmtId="0" fontId="7" fillId="0" borderId="0" xfId="0" applyFont="1" applyBorder="1" applyAlignment="1">
      <alignment horizontal="right" vertical="top"/>
    </xf>
    <xf numFmtId="0" fontId="7" fillId="0" borderId="0" xfId="0" applyFont="1" applyBorder="1" applyAlignment="1">
      <alignment vertical="top"/>
    </xf>
    <xf numFmtId="165" fontId="7" fillId="0" borderId="1" xfId="1" applyNumberFormat="1" applyFont="1" applyBorder="1" applyAlignment="1">
      <alignment vertical="top"/>
    </xf>
    <xf numFmtId="0" fontId="12" fillId="0" borderId="0" xfId="0" applyFont="1" applyBorder="1" applyAlignment="1" applyProtection="1">
      <alignment vertical="center" wrapText="1"/>
      <protection locked="0"/>
    </xf>
    <xf numFmtId="0" fontId="9" fillId="0" borderId="1" xfId="0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0" fillId="0" borderId="0" xfId="0" applyFill="1" applyBorder="1" applyAlignment="1">
      <alignment horizontal="center" vertical="top"/>
    </xf>
    <xf numFmtId="166" fontId="0" fillId="0" borderId="1" xfId="0" applyNumberFormat="1" applyBorder="1" applyAlignment="1">
      <alignment vertical="top"/>
    </xf>
    <xf numFmtId="0" fontId="0" fillId="0" borderId="1" xfId="0" applyBorder="1" applyAlignment="1">
      <alignment horizontal="center" vertical="top"/>
    </xf>
    <xf numFmtId="0" fontId="9" fillId="0" borderId="1" xfId="0" applyFont="1" applyBorder="1" applyAlignment="1">
      <alignment horizontal="center" vertical="top" wrapText="1"/>
    </xf>
    <xf numFmtId="43" fontId="7" fillId="0" borderId="1" xfId="1" applyFont="1" applyBorder="1" applyAlignment="1">
      <alignment vertical="top"/>
    </xf>
    <xf numFmtId="43" fontId="0" fillId="0" borderId="1" xfId="1" applyFont="1" applyBorder="1" applyAlignment="1">
      <alignment vertical="top"/>
    </xf>
    <xf numFmtId="43" fontId="16" fillId="0" borderId="5" xfId="1" applyFont="1" applyBorder="1" applyAlignment="1">
      <alignment vertical="top"/>
    </xf>
    <xf numFmtId="43" fontId="15" fillId="0" borderId="5" xfId="1" applyFont="1" applyBorder="1" applyAlignment="1">
      <alignment vertical="top"/>
    </xf>
    <xf numFmtId="0" fontId="0" fillId="0" borderId="1" xfId="0" applyBorder="1" applyAlignment="1">
      <alignment horizontal="center" vertical="center"/>
    </xf>
    <xf numFmtId="0" fontId="17" fillId="0" borderId="1" xfId="0" applyFont="1" applyBorder="1" applyAlignment="1">
      <alignment horizontal="center" vertical="center" textRotation="90"/>
    </xf>
    <xf numFmtId="0" fontId="17" fillId="0" borderId="1" xfId="0" applyFont="1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vertical="top"/>
    </xf>
    <xf numFmtId="43" fontId="7" fillId="0" borderId="0" xfId="1" applyFont="1" applyBorder="1" applyAlignment="1">
      <alignment vertical="top"/>
    </xf>
    <xf numFmtId="0" fontId="0" fillId="0" borderId="3" xfId="0" applyFill="1" applyBorder="1" applyAlignment="1">
      <alignment horizontal="center" vertical="top"/>
    </xf>
    <xf numFmtId="0" fontId="7" fillId="0" borderId="7" xfId="0" applyFont="1" applyBorder="1" applyAlignment="1">
      <alignment vertical="top"/>
    </xf>
    <xf numFmtId="43" fontId="7" fillId="0" borderId="7" xfId="1" applyFont="1" applyBorder="1" applyAlignment="1">
      <alignment vertical="top"/>
    </xf>
    <xf numFmtId="43" fontId="7" fillId="0" borderId="4" xfId="1" applyFont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3" fillId="0" borderId="0" xfId="0" applyFont="1" applyBorder="1" applyAlignment="1" applyProtection="1">
      <alignment horizontal="left" vertical="center" wrapText="1"/>
      <protection locked="0"/>
    </xf>
    <xf numFmtId="0" fontId="14" fillId="0" borderId="0" xfId="0" applyFont="1" applyAlignment="1">
      <alignment horizontal="left" vertical="top"/>
    </xf>
    <xf numFmtId="0" fontId="0" fillId="0" borderId="5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9" fillId="0" borderId="1" xfId="0" applyFont="1" applyFill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 wrapText="1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7" fillId="0" borderId="7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18" fillId="0" borderId="3" xfId="0" applyFont="1" applyBorder="1" applyAlignment="1">
      <alignment horizontal="left" vertical="top" wrapText="1"/>
    </xf>
    <xf numFmtId="0" fontId="18" fillId="0" borderId="4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right" vertical="top" wrapText="1"/>
    </xf>
    <xf numFmtId="0" fontId="7" fillId="0" borderId="4" xfId="0" applyFont="1" applyBorder="1" applyAlignment="1">
      <alignment horizontal="righ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5"/>
  <sheetViews>
    <sheetView workbookViewId="0">
      <selection activeCell="B27" sqref="B27"/>
    </sheetView>
  </sheetViews>
  <sheetFormatPr defaultRowHeight="15"/>
  <cols>
    <col min="1" max="1" width="5.28515625" customWidth="1"/>
    <col min="2" max="2" width="18.7109375" customWidth="1"/>
    <col min="3" max="3" width="11.5703125" customWidth="1"/>
    <col min="4" max="4" width="12.42578125" customWidth="1"/>
    <col min="5" max="5" width="11.28515625" customWidth="1"/>
    <col min="6" max="6" width="9.28515625" customWidth="1"/>
    <col min="7" max="7" width="9.5703125" customWidth="1"/>
    <col min="8" max="8" width="10.140625" customWidth="1"/>
    <col min="9" max="9" width="9.28515625" customWidth="1"/>
    <col min="10" max="11" width="8.5703125" customWidth="1"/>
    <col min="12" max="12" width="9.85546875" customWidth="1"/>
    <col min="13" max="13" width="33" customWidth="1"/>
  </cols>
  <sheetData>
    <row r="1" spans="1:14" ht="32.25" customHeight="1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8" t="s">
        <v>18</v>
      </c>
      <c r="L1" s="68"/>
      <c r="M1" s="15"/>
      <c r="N1" s="10"/>
    </row>
    <row r="2" spans="1:14" ht="45">
      <c r="A2" s="9" t="s">
        <v>1</v>
      </c>
      <c r="B2" s="9" t="s">
        <v>2</v>
      </c>
      <c r="C2" s="8" t="s">
        <v>3</v>
      </c>
      <c r="D2" s="8" t="s">
        <v>4</v>
      </c>
      <c r="E2" s="8" t="s">
        <v>5</v>
      </c>
      <c r="F2" s="8" t="s">
        <v>20</v>
      </c>
      <c r="G2" s="8" t="s">
        <v>15</v>
      </c>
      <c r="H2" s="8" t="s">
        <v>21</v>
      </c>
      <c r="I2" s="8" t="s">
        <v>16</v>
      </c>
      <c r="J2" s="12" t="s">
        <v>17</v>
      </c>
      <c r="K2" s="14" t="s">
        <v>26</v>
      </c>
      <c r="L2" s="9" t="s">
        <v>6</v>
      </c>
      <c r="M2" s="9" t="s">
        <v>7</v>
      </c>
    </row>
    <row r="3" spans="1:14">
      <c r="A3" s="6">
        <v>1</v>
      </c>
      <c r="B3" s="6" t="s">
        <v>8</v>
      </c>
      <c r="C3" s="9">
        <v>1</v>
      </c>
      <c r="D3" s="9">
        <v>16</v>
      </c>
      <c r="E3" s="18" t="s">
        <v>13</v>
      </c>
      <c r="F3" s="18">
        <v>10260</v>
      </c>
      <c r="G3" s="18">
        <v>17045</v>
      </c>
      <c r="H3" s="18">
        <f>G3*C3</f>
        <v>17045</v>
      </c>
      <c r="I3" s="18">
        <f>H3*12</f>
        <v>204540</v>
      </c>
      <c r="J3" s="18">
        <f>F3*2</f>
        <v>20520</v>
      </c>
      <c r="K3" s="18">
        <f>0.2*F3*C3</f>
        <v>2052</v>
      </c>
      <c r="L3" s="18">
        <f>I3+J3+K3</f>
        <v>227112</v>
      </c>
      <c r="M3" s="6" t="s">
        <v>28</v>
      </c>
    </row>
    <row r="4" spans="1:14">
      <c r="A4" s="6">
        <v>2</v>
      </c>
      <c r="B4" s="6" t="s">
        <v>9</v>
      </c>
      <c r="C4" s="9">
        <v>1</v>
      </c>
      <c r="D4" s="9">
        <v>16</v>
      </c>
      <c r="E4" s="18" t="s">
        <v>13</v>
      </c>
      <c r="F4" s="18">
        <v>10260</v>
      </c>
      <c r="G4" s="18">
        <v>17045</v>
      </c>
      <c r="H4" s="18">
        <f t="shared" ref="H4:H6" si="0">G4*C4</f>
        <v>17045</v>
      </c>
      <c r="I4" s="18">
        <f t="shared" ref="I4:I6" si="1">H4*12</f>
        <v>204540</v>
      </c>
      <c r="J4" s="18">
        <f>F4*2</f>
        <v>20520</v>
      </c>
      <c r="K4" s="18">
        <f t="shared" ref="K4:K6" si="2">0.2*F4*C4</f>
        <v>2052</v>
      </c>
      <c r="L4" s="18">
        <f t="shared" ref="L4:L6" si="3">I4+J4+K4</f>
        <v>227112</v>
      </c>
      <c r="M4" s="6" t="s">
        <v>28</v>
      </c>
    </row>
    <row r="5" spans="1:14" ht="15.75">
      <c r="A5" s="6">
        <v>3</v>
      </c>
      <c r="B5" s="6" t="s">
        <v>11</v>
      </c>
      <c r="C5" s="7">
        <v>2</v>
      </c>
      <c r="D5" s="7">
        <v>20</v>
      </c>
      <c r="E5" s="18" t="s">
        <v>14</v>
      </c>
      <c r="F5" s="18">
        <v>9110</v>
      </c>
      <c r="G5" s="18">
        <v>15550</v>
      </c>
      <c r="H5" s="18">
        <f t="shared" si="0"/>
        <v>31100</v>
      </c>
      <c r="I5" s="18">
        <f t="shared" si="1"/>
        <v>373200</v>
      </c>
      <c r="J5" s="18">
        <f>F5*2*C5</f>
        <v>36440</v>
      </c>
      <c r="K5" s="18">
        <f t="shared" si="2"/>
        <v>3644</v>
      </c>
      <c r="L5" s="18">
        <f t="shared" si="3"/>
        <v>413284</v>
      </c>
      <c r="M5" s="6" t="s">
        <v>29</v>
      </c>
    </row>
    <row r="6" spans="1:14" ht="15.75">
      <c r="A6" s="6">
        <v>4</v>
      </c>
      <c r="B6" s="6" t="s">
        <v>12</v>
      </c>
      <c r="C6" s="7">
        <v>1</v>
      </c>
      <c r="D6" s="7">
        <v>20</v>
      </c>
      <c r="E6" s="18" t="s">
        <v>14</v>
      </c>
      <c r="F6" s="18">
        <v>9110</v>
      </c>
      <c r="G6" s="18">
        <v>15550</v>
      </c>
      <c r="H6" s="18">
        <f t="shared" si="0"/>
        <v>15550</v>
      </c>
      <c r="I6" s="18">
        <f t="shared" si="1"/>
        <v>186600</v>
      </c>
      <c r="J6" s="18">
        <f t="shared" ref="J6" si="4">F6*2</f>
        <v>18220</v>
      </c>
      <c r="K6" s="18">
        <f t="shared" si="2"/>
        <v>1822</v>
      </c>
      <c r="L6" s="18">
        <f t="shared" si="3"/>
        <v>206642</v>
      </c>
      <c r="M6" s="6" t="s">
        <v>29</v>
      </c>
    </row>
    <row r="7" spans="1:14" ht="15.75">
      <c r="A7" s="6"/>
      <c r="B7" s="6"/>
      <c r="C7" s="7"/>
      <c r="D7" s="7"/>
      <c r="E7" s="7"/>
      <c r="F7" s="7"/>
      <c r="G7" s="7"/>
      <c r="H7" s="7"/>
      <c r="I7" s="7"/>
      <c r="J7" s="7"/>
      <c r="K7" s="7"/>
      <c r="L7" s="18">
        <f>SUM(L3:L6)</f>
        <v>1074150</v>
      </c>
      <c r="M7" s="6"/>
    </row>
    <row r="8" spans="1:14" ht="15.75">
      <c r="A8" s="1"/>
      <c r="B8" s="1"/>
      <c r="C8" s="2"/>
      <c r="D8" s="3"/>
      <c r="E8" s="3"/>
      <c r="F8" s="3"/>
      <c r="G8" s="3"/>
      <c r="H8" s="3"/>
      <c r="I8" s="3"/>
      <c r="J8" s="3"/>
      <c r="K8" s="3"/>
      <c r="L8" s="1"/>
      <c r="M8" s="1"/>
    </row>
    <row r="9" spans="1:14" ht="21">
      <c r="A9" s="67" t="s">
        <v>0</v>
      </c>
      <c r="B9" s="67"/>
      <c r="C9" s="67"/>
      <c r="D9" s="67"/>
      <c r="E9" s="67"/>
      <c r="F9" s="67"/>
      <c r="G9" s="67"/>
      <c r="H9" s="67"/>
      <c r="I9" s="67"/>
      <c r="J9" s="67"/>
      <c r="K9" s="68" t="s">
        <v>19</v>
      </c>
      <c r="L9" s="68"/>
      <c r="M9" s="15"/>
    </row>
    <row r="10" spans="1:14" ht="45">
      <c r="A10" s="9" t="s">
        <v>1</v>
      </c>
      <c r="B10" s="9" t="s">
        <v>2</v>
      </c>
      <c r="C10" s="8" t="s">
        <v>3</v>
      </c>
      <c r="D10" s="8" t="s">
        <v>4</v>
      </c>
      <c r="E10" s="8" t="s">
        <v>5</v>
      </c>
      <c r="F10" s="8" t="s">
        <v>20</v>
      </c>
      <c r="G10" s="8" t="s">
        <v>15</v>
      </c>
      <c r="H10" s="8" t="s">
        <v>21</v>
      </c>
      <c r="I10" s="8" t="s">
        <v>16</v>
      </c>
      <c r="J10" s="12" t="s">
        <v>17</v>
      </c>
      <c r="K10" s="14" t="s">
        <v>26</v>
      </c>
      <c r="L10" s="9" t="s">
        <v>6</v>
      </c>
      <c r="M10" s="9" t="s">
        <v>7</v>
      </c>
    </row>
    <row r="11" spans="1:14">
      <c r="A11" s="6">
        <v>1</v>
      </c>
      <c r="B11" s="6" t="s">
        <v>8</v>
      </c>
      <c r="C11" s="16">
        <v>5</v>
      </c>
      <c r="D11" s="16">
        <v>16</v>
      </c>
      <c r="E11" s="16" t="s">
        <v>13</v>
      </c>
      <c r="F11" s="16">
        <v>10260</v>
      </c>
      <c r="G11" s="16">
        <v>15650</v>
      </c>
      <c r="H11" s="16">
        <f>G11*C11</f>
        <v>78250</v>
      </c>
      <c r="I11" s="16">
        <f>H11*12</f>
        <v>939000</v>
      </c>
      <c r="J11" s="16">
        <f>F11*C11*2</f>
        <v>102600</v>
      </c>
      <c r="K11" s="16">
        <f>0.2*F11*C11</f>
        <v>10260</v>
      </c>
      <c r="L11" s="16">
        <f>I11+J11+K11</f>
        <v>1051860</v>
      </c>
      <c r="M11" s="6" t="s">
        <v>30</v>
      </c>
    </row>
    <row r="12" spans="1:14">
      <c r="A12" s="6">
        <v>2</v>
      </c>
      <c r="B12" s="6" t="s">
        <v>9</v>
      </c>
      <c r="C12" s="16">
        <v>5</v>
      </c>
      <c r="D12" s="16">
        <v>16</v>
      </c>
      <c r="E12" s="16" t="s">
        <v>13</v>
      </c>
      <c r="F12" s="16">
        <v>10260</v>
      </c>
      <c r="G12" s="16">
        <v>15650</v>
      </c>
      <c r="H12" s="16">
        <f t="shared" ref="H12:H15" si="5">G12*C12</f>
        <v>78250</v>
      </c>
      <c r="I12" s="16">
        <f t="shared" ref="I12:I15" si="6">H12*12</f>
        <v>939000</v>
      </c>
      <c r="J12" s="16">
        <f t="shared" ref="J12:J15" si="7">F12*C12*2</f>
        <v>102600</v>
      </c>
      <c r="K12" s="16">
        <f t="shared" ref="K12:K15" si="8">0.2*F12*C12</f>
        <v>10260</v>
      </c>
      <c r="L12" s="16">
        <f t="shared" ref="L12:L15" si="9">I12+J12+K12</f>
        <v>1051860</v>
      </c>
      <c r="M12" s="6" t="s">
        <v>30</v>
      </c>
    </row>
    <row r="13" spans="1:14">
      <c r="A13" s="6">
        <v>3</v>
      </c>
      <c r="B13" s="6" t="s">
        <v>10</v>
      </c>
      <c r="C13" s="16">
        <v>5</v>
      </c>
      <c r="D13" s="16">
        <v>16</v>
      </c>
      <c r="E13" s="16" t="s">
        <v>13</v>
      </c>
      <c r="F13" s="16">
        <v>10260</v>
      </c>
      <c r="G13" s="16">
        <v>15650</v>
      </c>
      <c r="H13" s="16">
        <f t="shared" si="5"/>
        <v>78250</v>
      </c>
      <c r="I13" s="16">
        <f t="shared" si="6"/>
        <v>939000</v>
      </c>
      <c r="J13" s="16">
        <f t="shared" si="7"/>
        <v>102600</v>
      </c>
      <c r="K13" s="16">
        <f t="shared" si="8"/>
        <v>10260</v>
      </c>
      <c r="L13" s="16">
        <f t="shared" si="9"/>
        <v>1051860</v>
      </c>
      <c r="M13" s="6" t="s">
        <v>30</v>
      </c>
    </row>
    <row r="14" spans="1:14">
      <c r="A14" s="6">
        <v>4</v>
      </c>
      <c r="B14" s="6" t="s">
        <v>11</v>
      </c>
      <c r="C14" s="17">
        <v>5</v>
      </c>
      <c r="D14" s="17">
        <v>20</v>
      </c>
      <c r="E14" s="16" t="s">
        <v>14</v>
      </c>
      <c r="F14" s="17">
        <v>9110</v>
      </c>
      <c r="G14" s="17">
        <v>14450</v>
      </c>
      <c r="H14" s="16">
        <f t="shared" si="5"/>
        <v>72250</v>
      </c>
      <c r="I14" s="16">
        <f t="shared" si="6"/>
        <v>867000</v>
      </c>
      <c r="J14" s="16">
        <f t="shared" si="7"/>
        <v>91100</v>
      </c>
      <c r="K14" s="16">
        <f t="shared" si="8"/>
        <v>9110</v>
      </c>
      <c r="L14" s="16">
        <f t="shared" si="9"/>
        <v>967210</v>
      </c>
      <c r="M14" s="6" t="s">
        <v>31</v>
      </c>
    </row>
    <row r="15" spans="1:14">
      <c r="A15" s="6">
        <v>5</v>
      </c>
      <c r="B15" s="6" t="s">
        <v>12</v>
      </c>
      <c r="C15" s="17">
        <v>5</v>
      </c>
      <c r="D15" s="17">
        <v>20</v>
      </c>
      <c r="E15" s="16" t="s">
        <v>14</v>
      </c>
      <c r="F15" s="17">
        <v>9110</v>
      </c>
      <c r="G15" s="17">
        <v>14450</v>
      </c>
      <c r="H15" s="16">
        <f t="shared" si="5"/>
        <v>72250</v>
      </c>
      <c r="I15" s="16">
        <f t="shared" si="6"/>
        <v>867000</v>
      </c>
      <c r="J15" s="16">
        <f t="shared" si="7"/>
        <v>91100</v>
      </c>
      <c r="K15" s="16">
        <f t="shared" si="8"/>
        <v>9110</v>
      </c>
      <c r="L15" s="16">
        <f t="shared" si="9"/>
        <v>967210</v>
      </c>
      <c r="M15" s="6" t="s">
        <v>31</v>
      </c>
    </row>
    <row r="16" spans="1:14">
      <c r="A16" s="6"/>
      <c r="B16" s="6"/>
      <c r="C16" s="17"/>
      <c r="D16" s="17"/>
      <c r="E16" s="17"/>
      <c r="F16" s="17"/>
      <c r="G16" s="17"/>
      <c r="H16" s="17"/>
      <c r="I16" s="17"/>
      <c r="J16" s="17"/>
      <c r="K16" s="17"/>
      <c r="L16" s="16">
        <f>SUM(L11:L15)</f>
        <v>5090000</v>
      </c>
      <c r="M16" s="6"/>
    </row>
    <row r="17" spans="1:13" ht="9.75" customHeight="1">
      <c r="A17" s="1"/>
      <c r="B17" s="3"/>
      <c r="C17" s="2"/>
      <c r="D17" s="4"/>
      <c r="E17" s="3"/>
      <c r="F17" s="3"/>
      <c r="G17" s="3"/>
      <c r="H17" s="5"/>
      <c r="I17" s="5"/>
      <c r="J17" s="5"/>
      <c r="K17" s="5"/>
      <c r="L17" s="1"/>
    </row>
    <row r="18" spans="1:13" ht="24" customHeight="1">
      <c r="A18" s="1"/>
      <c r="B18" s="3"/>
      <c r="C18" s="2"/>
      <c r="D18" s="4"/>
      <c r="E18" s="3"/>
      <c r="F18" s="3"/>
      <c r="G18" s="3" t="s">
        <v>22</v>
      </c>
      <c r="H18" s="69">
        <f>L7+L16</f>
        <v>6164150</v>
      </c>
      <c r="I18" s="69"/>
      <c r="J18" s="5"/>
      <c r="K18" s="5"/>
      <c r="L18" s="1"/>
    </row>
    <row r="19" spans="1:13" ht="21">
      <c r="A19" s="67" t="s">
        <v>23</v>
      </c>
      <c r="B19" s="67"/>
      <c r="C19" s="67"/>
      <c r="D19" s="67"/>
      <c r="E19" s="67"/>
      <c r="F19" s="67"/>
      <c r="G19" s="67"/>
      <c r="H19" s="67"/>
      <c r="I19" s="67"/>
      <c r="J19" s="67"/>
      <c r="K19" s="68" t="s">
        <v>19</v>
      </c>
      <c r="L19" s="68"/>
      <c r="M19" s="15"/>
    </row>
    <row r="20" spans="1:13" ht="45">
      <c r="A20" s="9" t="s">
        <v>1</v>
      </c>
      <c r="B20" s="9" t="s">
        <v>2</v>
      </c>
      <c r="C20" s="8" t="s">
        <v>3</v>
      </c>
      <c r="D20" s="8" t="s">
        <v>4</v>
      </c>
      <c r="E20" s="8" t="s">
        <v>5</v>
      </c>
      <c r="F20" s="8" t="s">
        <v>20</v>
      </c>
      <c r="G20" s="8" t="s">
        <v>15</v>
      </c>
      <c r="H20" s="8" t="s">
        <v>21</v>
      </c>
      <c r="I20" s="8" t="s">
        <v>16</v>
      </c>
      <c r="J20" s="12" t="s">
        <v>17</v>
      </c>
      <c r="K20" s="14" t="s">
        <v>26</v>
      </c>
      <c r="L20" s="9" t="s">
        <v>6</v>
      </c>
      <c r="M20" s="9" t="s">
        <v>7</v>
      </c>
    </row>
    <row r="21" spans="1:13">
      <c r="A21" s="6">
        <v>1</v>
      </c>
      <c r="B21" s="6" t="s">
        <v>23</v>
      </c>
      <c r="C21" s="9">
        <v>76</v>
      </c>
      <c r="D21" s="9">
        <v>12</v>
      </c>
      <c r="E21" s="18" t="s">
        <v>27</v>
      </c>
      <c r="F21" s="18">
        <v>11300</v>
      </c>
      <c r="G21" s="18">
        <v>18085</v>
      </c>
      <c r="H21" s="18">
        <f>G21*C21</f>
        <v>1374460</v>
      </c>
      <c r="I21" s="18">
        <f>H21*12</f>
        <v>16493520</v>
      </c>
      <c r="J21" s="18">
        <f>F21*C21*2</f>
        <v>1717600</v>
      </c>
      <c r="K21" s="18">
        <f>0.2*F21*C21</f>
        <v>171760</v>
      </c>
      <c r="L21" s="18">
        <f>I21+J21+K21</f>
        <v>18382880</v>
      </c>
      <c r="M21" s="6" t="s">
        <v>32</v>
      </c>
    </row>
    <row r="22" spans="1:13">
      <c r="A22" s="6"/>
      <c r="B22" s="6"/>
      <c r="C22" s="9"/>
      <c r="D22" s="9"/>
      <c r="E22" s="6"/>
      <c r="F22" s="6"/>
      <c r="G22" s="6"/>
      <c r="H22" s="6"/>
      <c r="I22" s="6"/>
      <c r="J22" s="6" t="s">
        <v>6</v>
      </c>
      <c r="K22" s="6"/>
      <c r="L22" s="6">
        <f>L21</f>
        <v>18382880</v>
      </c>
      <c r="M22" s="6"/>
    </row>
    <row r="23" spans="1:13" s="1" customFormat="1">
      <c r="C23" s="11"/>
      <c r="D23" s="11"/>
    </row>
    <row r="24" spans="1:13" ht="15" customHeight="1">
      <c r="A24" s="1"/>
      <c r="B24" s="70" t="s">
        <v>24</v>
      </c>
      <c r="C24" s="71"/>
      <c r="D24" s="72">
        <f>H18+L22</f>
        <v>24547030</v>
      </c>
      <c r="E24" s="73"/>
      <c r="G24" s="74" t="s">
        <v>25</v>
      </c>
      <c r="H24" s="75"/>
      <c r="I24" s="72">
        <f>D24*6</f>
        <v>147282180</v>
      </c>
      <c r="J24" s="73"/>
      <c r="K24" s="13"/>
      <c r="L24" s="1"/>
      <c r="M24" s="1"/>
    </row>
    <row r="25" spans="1:13" ht="15.75">
      <c r="A25" s="1"/>
      <c r="B25" s="1"/>
      <c r="C25" s="2"/>
      <c r="D25" s="3"/>
      <c r="E25" s="3"/>
      <c r="F25" s="3"/>
      <c r="G25" s="3"/>
      <c r="H25" s="3"/>
      <c r="I25" s="3"/>
      <c r="J25" s="3"/>
      <c r="K25" s="3"/>
      <c r="L25" s="1"/>
      <c r="M25" s="1"/>
    </row>
  </sheetData>
  <mergeCells count="11">
    <mergeCell ref="K19:L19"/>
    <mergeCell ref="A19:J19"/>
    <mergeCell ref="B24:C24"/>
    <mergeCell ref="D24:E24"/>
    <mergeCell ref="G24:H24"/>
    <mergeCell ref="I24:J24"/>
    <mergeCell ref="A1:J1"/>
    <mergeCell ref="A9:J9"/>
    <mergeCell ref="K1:L1"/>
    <mergeCell ref="H18:I18"/>
    <mergeCell ref="K9:L9"/>
  </mergeCells>
  <pageMargins left="0.7" right="0.45" top="0.75" bottom="0.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AQ19"/>
  <sheetViews>
    <sheetView zoomScale="106" zoomScaleNormal="106" workbookViewId="0">
      <selection activeCell="A7" sqref="A7:XFD7"/>
    </sheetView>
  </sheetViews>
  <sheetFormatPr defaultRowHeight="15"/>
  <cols>
    <col min="1" max="1" width="3.140625" style="36" customWidth="1"/>
    <col min="2" max="2" width="19.140625" style="23" customWidth="1"/>
    <col min="3" max="3" width="4" style="23" customWidth="1"/>
    <col min="4" max="4" width="4.28515625" style="23" customWidth="1"/>
    <col min="5" max="5" width="7.28515625" style="23" customWidth="1"/>
    <col min="6" max="6" width="7.5703125" style="23" customWidth="1"/>
    <col min="7" max="7" width="8.7109375" style="23" customWidth="1"/>
    <col min="8" max="8" width="9.7109375" style="23" customWidth="1"/>
    <col min="9" max="9" width="10.5703125" style="23" customWidth="1"/>
    <col min="10" max="10" width="9.28515625" style="23" customWidth="1"/>
    <col min="11" max="12" width="9.140625" style="23"/>
    <col min="13" max="13" width="16.28515625" style="23" customWidth="1"/>
    <col min="14" max="14" width="15" style="23" customWidth="1"/>
    <col min="15" max="15" width="16.28515625" style="23" customWidth="1"/>
    <col min="16" max="16" width="2.5703125" style="23" customWidth="1"/>
    <col min="17" max="17" width="3.140625" style="36" customWidth="1"/>
    <col min="18" max="18" width="18.7109375" style="23" customWidth="1"/>
    <col min="19" max="19" width="5.7109375" style="23" customWidth="1"/>
    <col min="20" max="20" width="7.28515625" style="23" customWidth="1"/>
    <col min="21" max="21" width="7.5703125" style="23" customWidth="1"/>
    <col min="22" max="22" width="8.7109375" style="23" customWidth="1"/>
    <col min="23" max="23" width="10.5703125" style="23" customWidth="1"/>
    <col min="24" max="24" width="9.140625" style="23"/>
    <col min="25" max="25" width="10" style="23" customWidth="1"/>
    <col min="26" max="26" width="7.28515625" style="23" customWidth="1"/>
    <col min="27" max="27" width="7.5703125" style="23" customWidth="1"/>
    <col min="28" max="28" width="8.7109375" style="23" customWidth="1"/>
    <col min="29" max="29" width="10.5703125" style="23" customWidth="1"/>
    <col min="30" max="30" width="9.140625" style="23"/>
    <col min="31" max="31" width="10.140625" style="23" customWidth="1"/>
    <col min="32" max="32" width="10.7109375" style="23" customWidth="1"/>
    <col min="33" max="33" width="9.140625" style="23"/>
    <col min="34" max="34" width="12.7109375" style="23" customWidth="1"/>
    <col min="35" max="35" width="19.28515625" style="23" customWidth="1"/>
    <col min="36" max="36" width="6" style="23" customWidth="1"/>
    <col min="37" max="37" width="11" style="23" customWidth="1"/>
    <col min="38" max="39" width="9.140625" style="23"/>
    <col min="40" max="40" width="10.85546875" style="23" customWidth="1"/>
    <col min="41" max="16384" width="9.140625" style="23"/>
  </cols>
  <sheetData>
    <row r="2" spans="1:43" ht="18.75" customHeight="1">
      <c r="A2" s="76" t="s">
        <v>70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43"/>
    </row>
    <row r="3" spans="1:43" ht="18.75">
      <c r="A3" s="77" t="s">
        <v>71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Q3" s="38" t="s">
        <v>76</v>
      </c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</row>
    <row r="4" spans="1:43">
      <c r="Q4" s="81" t="s">
        <v>36</v>
      </c>
      <c r="R4" s="82" t="s">
        <v>33</v>
      </c>
      <c r="S4" s="83" t="s">
        <v>34</v>
      </c>
      <c r="T4" s="80" t="s">
        <v>67</v>
      </c>
      <c r="U4" s="80"/>
      <c r="V4" s="80"/>
      <c r="W4" s="80"/>
      <c r="X4" s="80"/>
      <c r="Y4" s="80"/>
      <c r="Z4" s="80" t="s">
        <v>68</v>
      </c>
      <c r="AA4" s="80"/>
      <c r="AB4" s="80"/>
      <c r="AC4" s="80"/>
      <c r="AD4" s="80"/>
      <c r="AE4" s="80"/>
      <c r="AF4" s="78" t="s">
        <v>60</v>
      </c>
    </row>
    <row r="5" spans="1:43" ht="79.5" customHeight="1">
      <c r="A5" s="24" t="s">
        <v>36</v>
      </c>
      <c r="B5" s="25" t="s">
        <v>33</v>
      </c>
      <c r="C5" s="55" t="s">
        <v>88</v>
      </c>
      <c r="D5" s="56" t="s">
        <v>34</v>
      </c>
      <c r="E5" s="26" t="s">
        <v>58</v>
      </c>
      <c r="F5" s="26" t="s">
        <v>35</v>
      </c>
      <c r="G5" s="26" t="s">
        <v>61</v>
      </c>
      <c r="H5" s="26" t="s">
        <v>62</v>
      </c>
      <c r="I5" s="26" t="s">
        <v>63</v>
      </c>
      <c r="J5" s="26" t="s">
        <v>69</v>
      </c>
      <c r="K5" s="26" t="s">
        <v>64</v>
      </c>
      <c r="L5" s="26" t="s">
        <v>65</v>
      </c>
      <c r="M5" s="27" t="s">
        <v>81</v>
      </c>
      <c r="N5" s="27" t="s">
        <v>87</v>
      </c>
      <c r="O5" s="24" t="s">
        <v>66</v>
      </c>
      <c r="Q5" s="81"/>
      <c r="R5" s="82"/>
      <c r="S5" s="83"/>
      <c r="T5" s="37" t="s">
        <v>58</v>
      </c>
      <c r="U5" s="37" t="s">
        <v>35</v>
      </c>
      <c r="V5" s="37" t="s">
        <v>59</v>
      </c>
      <c r="W5" s="44" t="s">
        <v>82</v>
      </c>
      <c r="X5" s="37" t="s">
        <v>47</v>
      </c>
      <c r="Y5" s="44" t="s">
        <v>83</v>
      </c>
      <c r="Z5" s="37" t="s">
        <v>58</v>
      </c>
      <c r="AA5" s="37" t="s">
        <v>35</v>
      </c>
      <c r="AB5" s="37" t="s">
        <v>59</v>
      </c>
      <c r="AC5" s="44" t="s">
        <v>82</v>
      </c>
      <c r="AD5" s="37" t="s">
        <v>47</v>
      </c>
      <c r="AE5" s="44" t="s">
        <v>84</v>
      </c>
      <c r="AF5" s="79"/>
    </row>
    <row r="6" spans="1:43" ht="15.75" customHeight="1">
      <c r="A6" s="24">
        <v>1</v>
      </c>
      <c r="B6" s="25">
        <v>2</v>
      </c>
      <c r="C6" s="26">
        <v>3</v>
      </c>
      <c r="D6" s="26">
        <v>4</v>
      </c>
      <c r="E6" s="26">
        <v>5</v>
      </c>
      <c r="F6" s="26">
        <v>6</v>
      </c>
      <c r="G6" s="26">
        <v>7</v>
      </c>
      <c r="H6" s="26">
        <v>8</v>
      </c>
      <c r="I6" s="26">
        <v>9</v>
      </c>
      <c r="J6" s="26">
        <v>10</v>
      </c>
      <c r="K6" s="26">
        <v>11</v>
      </c>
      <c r="L6" s="24">
        <v>12</v>
      </c>
      <c r="M6" s="27">
        <v>13</v>
      </c>
      <c r="N6" s="24">
        <v>15</v>
      </c>
      <c r="O6" s="24">
        <v>16</v>
      </c>
      <c r="Q6" s="24">
        <v>1</v>
      </c>
      <c r="R6" s="25">
        <v>2</v>
      </c>
      <c r="S6" s="26">
        <v>3</v>
      </c>
      <c r="T6" s="26">
        <v>4</v>
      </c>
      <c r="U6" s="26">
        <v>5</v>
      </c>
      <c r="V6" s="26">
        <v>6</v>
      </c>
      <c r="W6" s="26">
        <v>7</v>
      </c>
      <c r="X6" s="26">
        <v>8</v>
      </c>
      <c r="Y6" s="26">
        <v>9</v>
      </c>
      <c r="Z6" s="26">
        <v>10</v>
      </c>
      <c r="AA6" s="26">
        <v>11</v>
      </c>
      <c r="AB6" s="26">
        <v>12</v>
      </c>
      <c r="AC6" s="27">
        <v>13</v>
      </c>
      <c r="AD6" s="24">
        <v>14</v>
      </c>
      <c r="AE6" s="24">
        <v>15</v>
      </c>
      <c r="AF6" s="24">
        <v>16</v>
      </c>
    </row>
    <row r="7" spans="1:43" ht="18" customHeight="1">
      <c r="A7" s="28">
        <v>1</v>
      </c>
      <c r="B7" s="29" t="s">
        <v>23</v>
      </c>
      <c r="C7" s="54">
        <v>14</v>
      </c>
      <c r="D7" s="29">
        <v>76</v>
      </c>
      <c r="E7" s="29">
        <v>10200</v>
      </c>
      <c r="F7" s="29">
        <f>10200+6500</f>
        <v>16700</v>
      </c>
      <c r="G7" s="29">
        <f t="shared" ref="G7:G16" si="0">E7*2</f>
        <v>20400</v>
      </c>
      <c r="H7" s="29">
        <f t="shared" ref="H7:H16" si="1">0.2*E7</f>
        <v>2040</v>
      </c>
      <c r="I7" s="29">
        <f t="shared" ref="I7:I16" si="2">F7*12+G7+H7</f>
        <v>222840</v>
      </c>
      <c r="J7" s="29">
        <f t="shared" ref="J7:J16" si="3">0.15*I7</f>
        <v>33426</v>
      </c>
      <c r="K7" s="29">
        <f t="shared" ref="K7:K16" si="4">I7+J7</f>
        <v>256266</v>
      </c>
      <c r="L7" s="29">
        <f t="shared" ref="L7:L16" si="5">K7/12</f>
        <v>21355.5</v>
      </c>
      <c r="M7" s="51">
        <f t="shared" ref="M7:M16" si="6">L7*D7*54</f>
        <v>87642972</v>
      </c>
      <c r="N7" s="51">
        <v>24675350</v>
      </c>
      <c r="O7" s="51">
        <f t="shared" ref="O7:O16" si="7">M7+N7</f>
        <v>112318322</v>
      </c>
      <c r="Q7" s="28">
        <v>1</v>
      </c>
      <c r="R7" s="29" t="s">
        <v>23</v>
      </c>
      <c r="S7" s="29">
        <v>76</v>
      </c>
      <c r="T7" s="29">
        <v>10000</v>
      </c>
      <c r="U7" s="29">
        <v>15000</v>
      </c>
      <c r="V7" s="29">
        <f>T7*2</f>
        <v>20000</v>
      </c>
      <c r="W7" s="29">
        <f>((U7*12)+V7)*S7</f>
        <v>15200000</v>
      </c>
      <c r="X7" s="29">
        <f>0.15*W7</f>
        <v>2280000</v>
      </c>
      <c r="Y7" s="29">
        <f>W7+X7</f>
        <v>17480000</v>
      </c>
      <c r="Z7" s="29">
        <v>11300</v>
      </c>
      <c r="AA7" s="29">
        <v>18085</v>
      </c>
      <c r="AB7" s="29">
        <f>Z7*2</f>
        <v>22600</v>
      </c>
      <c r="AC7" s="29">
        <f>((AA7*12)+AB7)*S7</f>
        <v>18211120</v>
      </c>
      <c r="AD7" s="29">
        <f>0.15*AC7</f>
        <v>2731668</v>
      </c>
      <c r="AE7" s="29">
        <f>AC7+AD7</f>
        <v>20942788</v>
      </c>
      <c r="AF7" s="29">
        <f>AE7-Y7</f>
        <v>3462788</v>
      </c>
      <c r="AH7" s="53">
        <f>6224147*1/30*8/37</f>
        <v>44858.717117117121</v>
      </c>
      <c r="AI7" s="30" t="s">
        <v>39</v>
      </c>
      <c r="AJ7" s="29">
        <v>1</v>
      </c>
      <c r="AK7" s="23">
        <v>8000</v>
      </c>
      <c r="AL7" s="23">
        <f>AJ7/AJ16</f>
        <v>3.3333333333333333E-2</v>
      </c>
      <c r="AM7" s="23">
        <f>AK7/AK16</f>
        <v>0.12213740458015267</v>
      </c>
      <c r="AN7" s="23">
        <f>AL7*AM7</f>
        <v>4.0712468193384223E-3</v>
      </c>
      <c r="AO7" s="23">
        <f>AJ7*AK7</f>
        <v>8000</v>
      </c>
      <c r="AP7" s="23">
        <f>AO7/AO16</f>
        <v>3.6529680365296802E-2</v>
      </c>
      <c r="AQ7" s="23">
        <f>AP7*6224147</f>
        <v>227366.100456621</v>
      </c>
    </row>
    <row r="8" spans="1:43" ht="18" customHeight="1">
      <c r="A8" s="28">
        <v>2</v>
      </c>
      <c r="B8" s="30" t="s">
        <v>72</v>
      </c>
      <c r="C8" s="54">
        <v>16</v>
      </c>
      <c r="D8" s="29">
        <v>1</v>
      </c>
      <c r="E8" s="29">
        <v>9300</v>
      </c>
      <c r="F8" s="29">
        <f>9300+7745</f>
        <v>17045</v>
      </c>
      <c r="G8" s="29">
        <f t="shared" si="0"/>
        <v>18600</v>
      </c>
      <c r="H8" s="29">
        <f t="shared" si="1"/>
        <v>1860</v>
      </c>
      <c r="I8" s="29">
        <f>F8*12+G8+H8</f>
        <v>225000</v>
      </c>
      <c r="J8" s="29">
        <f t="shared" si="3"/>
        <v>33750</v>
      </c>
      <c r="K8" s="29">
        <f t="shared" si="4"/>
        <v>258750</v>
      </c>
      <c r="L8" s="29">
        <f t="shared" si="5"/>
        <v>21562.5</v>
      </c>
      <c r="M8" s="51">
        <f t="shared" si="6"/>
        <v>1164375</v>
      </c>
      <c r="N8" s="52">
        <v>227366.100456621</v>
      </c>
      <c r="O8" s="51">
        <f t="shared" si="7"/>
        <v>1391741.100456621</v>
      </c>
      <c r="Q8" s="28">
        <v>2</v>
      </c>
      <c r="R8" s="30" t="s">
        <v>39</v>
      </c>
      <c r="S8" s="29">
        <v>1</v>
      </c>
      <c r="T8" s="29">
        <v>8000</v>
      </c>
      <c r="U8" s="29">
        <v>12000</v>
      </c>
      <c r="V8" s="29">
        <f t="shared" ref="V8" si="8">T8*2</f>
        <v>16000</v>
      </c>
      <c r="W8" s="29">
        <f t="shared" ref="W8:W16" si="9">((U8*12)+V8)*S8</f>
        <v>160000</v>
      </c>
      <c r="X8" s="29">
        <f t="shared" ref="X8" si="10">0.15*W8</f>
        <v>24000</v>
      </c>
      <c r="Y8" s="29">
        <f t="shared" ref="Y8" si="11">W8+X8</f>
        <v>184000</v>
      </c>
      <c r="Z8" s="29">
        <v>10260</v>
      </c>
      <c r="AA8" s="29">
        <v>17045</v>
      </c>
      <c r="AB8" s="29">
        <f t="shared" ref="AB8" si="12">Z8*2</f>
        <v>20520</v>
      </c>
      <c r="AC8" s="29">
        <f t="shared" ref="AC8:AC16" si="13">((AA8*12)+AB8)*S8</f>
        <v>225060</v>
      </c>
      <c r="AD8" s="29">
        <f t="shared" ref="AD8" si="14">0.15*AC8</f>
        <v>33759</v>
      </c>
      <c r="AE8" s="29">
        <f t="shared" ref="AE8" si="15">AC8+AD8</f>
        <v>258819</v>
      </c>
      <c r="AF8" s="29">
        <f t="shared" ref="AF8" si="16">AE8-Y8</f>
        <v>74819</v>
      </c>
      <c r="AH8" s="53">
        <f>6224147*5/30*8/37</f>
        <v>224293.58558558559</v>
      </c>
      <c r="AI8" s="30" t="s">
        <v>40</v>
      </c>
      <c r="AJ8" s="29">
        <v>5</v>
      </c>
      <c r="AK8" s="23">
        <v>8000</v>
      </c>
      <c r="AL8" s="23">
        <f>AJ8/AJ16</f>
        <v>0.16666666666666666</v>
      </c>
      <c r="AM8" s="23">
        <f>AK8/AK16</f>
        <v>0.12213740458015267</v>
      </c>
      <c r="AN8" s="23">
        <f t="shared" ref="AN8:AN15" si="17">AL8*AM8</f>
        <v>2.035623409669211E-2</v>
      </c>
      <c r="AO8" s="23">
        <f t="shared" ref="AO8:AO15" si="18">AJ8*AK8</f>
        <v>40000</v>
      </c>
      <c r="AP8" s="23">
        <f>AO8/AO16</f>
        <v>0.18264840182648401</v>
      </c>
      <c r="AQ8" s="23">
        <f t="shared" ref="AQ8:AQ15" si="19">AP8*6224147</f>
        <v>1136830.5022831049</v>
      </c>
    </row>
    <row r="9" spans="1:43" ht="18" customHeight="1">
      <c r="A9" s="28">
        <v>3</v>
      </c>
      <c r="B9" s="30" t="s">
        <v>40</v>
      </c>
      <c r="C9" s="54">
        <v>16</v>
      </c>
      <c r="D9" s="29">
        <v>5</v>
      </c>
      <c r="E9" s="29">
        <v>9300</v>
      </c>
      <c r="F9" s="29">
        <f>9300+6350</f>
        <v>15650</v>
      </c>
      <c r="G9" s="29">
        <f t="shared" si="0"/>
        <v>18600</v>
      </c>
      <c r="H9" s="29">
        <f t="shared" si="1"/>
        <v>1860</v>
      </c>
      <c r="I9" s="29">
        <f>F9*12+G9+H9</f>
        <v>208260</v>
      </c>
      <c r="J9" s="29">
        <f t="shared" si="3"/>
        <v>31239</v>
      </c>
      <c r="K9" s="29">
        <f t="shared" si="4"/>
        <v>239499</v>
      </c>
      <c r="L9" s="29">
        <f t="shared" si="5"/>
        <v>19958.25</v>
      </c>
      <c r="M9" s="51">
        <f t="shared" si="6"/>
        <v>5388727.5</v>
      </c>
      <c r="N9" s="52">
        <v>1136830.5022831049</v>
      </c>
      <c r="O9" s="51">
        <f t="shared" si="7"/>
        <v>6525558.0022831047</v>
      </c>
      <c r="Q9" s="28">
        <v>3</v>
      </c>
      <c r="R9" s="30" t="s">
        <v>40</v>
      </c>
      <c r="S9" s="29">
        <v>5</v>
      </c>
      <c r="T9" s="29">
        <v>8000</v>
      </c>
      <c r="U9" s="29">
        <v>12000</v>
      </c>
      <c r="V9" s="29">
        <f t="shared" ref="V9:V16" si="20">T9*2</f>
        <v>16000</v>
      </c>
      <c r="W9" s="29">
        <f t="shared" si="9"/>
        <v>800000</v>
      </c>
      <c r="X9" s="29">
        <f t="shared" ref="X9:X16" si="21">0.15*W9</f>
        <v>120000</v>
      </c>
      <c r="Y9" s="29">
        <f t="shared" ref="Y9:Y16" si="22">W9+X9</f>
        <v>920000</v>
      </c>
      <c r="Z9" s="29">
        <v>10260</v>
      </c>
      <c r="AA9" s="29">
        <v>15650</v>
      </c>
      <c r="AB9" s="29">
        <f t="shared" ref="AB9:AB16" si="23">Z9*2</f>
        <v>20520</v>
      </c>
      <c r="AC9" s="29">
        <f t="shared" si="13"/>
        <v>1041600</v>
      </c>
      <c r="AD9" s="29">
        <f t="shared" ref="AD9:AD16" si="24">0.15*AC9</f>
        <v>156240</v>
      </c>
      <c r="AE9" s="29">
        <f t="shared" ref="AE9:AE16" si="25">AC9+AD9</f>
        <v>1197840</v>
      </c>
      <c r="AF9" s="29">
        <f t="shared" ref="AF9:AF16" si="26">AE9-Y9</f>
        <v>277840</v>
      </c>
      <c r="AH9" s="53">
        <f>6224147*1/30*9.5/37</f>
        <v>53269.726576576584</v>
      </c>
      <c r="AI9" s="29" t="s">
        <v>41</v>
      </c>
      <c r="AJ9" s="29">
        <v>1</v>
      </c>
      <c r="AK9" s="23">
        <v>9500</v>
      </c>
      <c r="AL9" s="23">
        <f>AJ9/AJ16</f>
        <v>3.3333333333333333E-2</v>
      </c>
      <c r="AM9" s="23">
        <f>AK9/AK16</f>
        <v>0.14503816793893129</v>
      </c>
      <c r="AN9" s="23">
        <f t="shared" si="17"/>
        <v>4.8346055979643764E-3</v>
      </c>
      <c r="AO9" s="23">
        <f t="shared" si="18"/>
        <v>9500</v>
      </c>
      <c r="AP9" s="23">
        <f>AO9/AO16</f>
        <v>4.3378995433789952E-2</v>
      </c>
      <c r="AQ9" s="23">
        <f t="shared" si="19"/>
        <v>269997.24429223745</v>
      </c>
    </row>
    <row r="10" spans="1:43" ht="18" customHeight="1">
      <c r="A10" s="28">
        <v>4</v>
      </c>
      <c r="B10" s="29" t="s">
        <v>73</v>
      </c>
      <c r="C10" s="54">
        <v>16</v>
      </c>
      <c r="D10" s="29">
        <v>1</v>
      </c>
      <c r="E10" s="29">
        <v>9300</v>
      </c>
      <c r="F10" s="29">
        <f>9300+7745</f>
        <v>17045</v>
      </c>
      <c r="G10" s="29">
        <f t="shared" si="0"/>
        <v>18600</v>
      </c>
      <c r="H10" s="29">
        <f t="shared" si="1"/>
        <v>1860</v>
      </c>
      <c r="I10" s="29">
        <f t="shared" si="2"/>
        <v>225000</v>
      </c>
      <c r="J10" s="29">
        <f t="shared" si="3"/>
        <v>33750</v>
      </c>
      <c r="K10" s="29">
        <f t="shared" si="4"/>
        <v>258750</v>
      </c>
      <c r="L10" s="29">
        <f t="shared" si="5"/>
        <v>21562.5</v>
      </c>
      <c r="M10" s="51">
        <f t="shared" si="6"/>
        <v>1164375</v>
      </c>
      <c r="N10" s="52">
        <v>269997.24429223745</v>
      </c>
      <c r="O10" s="51">
        <f t="shared" si="7"/>
        <v>1434372.2442922373</v>
      </c>
      <c r="Q10" s="28">
        <v>4</v>
      </c>
      <c r="R10" s="29" t="s">
        <v>41</v>
      </c>
      <c r="S10" s="29">
        <v>1</v>
      </c>
      <c r="T10" s="29">
        <v>9500</v>
      </c>
      <c r="U10" s="29">
        <v>14000</v>
      </c>
      <c r="V10" s="29">
        <f t="shared" si="20"/>
        <v>19000</v>
      </c>
      <c r="W10" s="29">
        <f t="shared" si="9"/>
        <v>187000</v>
      </c>
      <c r="X10" s="29">
        <f t="shared" si="21"/>
        <v>28050</v>
      </c>
      <c r="Y10" s="29">
        <f t="shared" si="22"/>
        <v>215050</v>
      </c>
      <c r="Z10" s="29">
        <v>10260</v>
      </c>
      <c r="AA10" s="29">
        <v>17045</v>
      </c>
      <c r="AB10" s="29">
        <f t="shared" si="23"/>
        <v>20520</v>
      </c>
      <c r="AC10" s="29">
        <f t="shared" si="13"/>
        <v>225060</v>
      </c>
      <c r="AD10" s="29">
        <f t="shared" si="24"/>
        <v>33759</v>
      </c>
      <c r="AE10" s="29">
        <f t="shared" si="25"/>
        <v>258819</v>
      </c>
      <c r="AF10" s="29">
        <f t="shared" si="26"/>
        <v>43769</v>
      </c>
      <c r="AH10" s="53">
        <f>6224147*5/30*9.5/37</f>
        <v>266348.6328828829</v>
      </c>
      <c r="AI10" s="29" t="s">
        <v>42</v>
      </c>
      <c r="AJ10" s="29">
        <v>5</v>
      </c>
      <c r="AK10" s="23">
        <v>9500</v>
      </c>
      <c r="AL10" s="23">
        <f>AJ10/AJ16</f>
        <v>0.16666666666666666</v>
      </c>
      <c r="AM10" s="23">
        <f>AK10/AK16</f>
        <v>0.14503816793893129</v>
      </c>
      <c r="AN10" s="23">
        <f t="shared" si="17"/>
        <v>2.417302798982188E-2</v>
      </c>
      <c r="AO10" s="23">
        <f t="shared" si="18"/>
        <v>47500</v>
      </c>
      <c r="AP10" s="23">
        <f>AO10/AO16</f>
        <v>0.21689497716894976</v>
      </c>
      <c r="AQ10" s="23">
        <f t="shared" si="19"/>
        <v>1349986.2214611871</v>
      </c>
    </row>
    <row r="11" spans="1:43" ht="18" customHeight="1">
      <c r="A11" s="28">
        <v>5</v>
      </c>
      <c r="B11" s="29" t="s">
        <v>42</v>
      </c>
      <c r="C11" s="54">
        <v>16</v>
      </c>
      <c r="D11" s="29">
        <v>5</v>
      </c>
      <c r="E11" s="29">
        <v>9300</v>
      </c>
      <c r="F11" s="29">
        <f>9300+6350</f>
        <v>15650</v>
      </c>
      <c r="G11" s="29">
        <f t="shared" si="0"/>
        <v>18600</v>
      </c>
      <c r="H11" s="29">
        <f t="shared" si="1"/>
        <v>1860</v>
      </c>
      <c r="I11" s="29">
        <f>F11*12+G11+H11</f>
        <v>208260</v>
      </c>
      <c r="J11" s="29">
        <f t="shared" si="3"/>
        <v>31239</v>
      </c>
      <c r="K11" s="29">
        <f t="shared" si="4"/>
        <v>239499</v>
      </c>
      <c r="L11" s="29">
        <f t="shared" si="5"/>
        <v>19958.25</v>
      </c>
      <c r="M11" s="51">
        <f t="shared" si="6"/>
        <v>5388727.5</v>
      </c>
      <c r="N11" s="52">
        <v>1349986.2214611871</v>
      </c>
      <c r="O11" s="51">
        <f t="shared" si="7"/>
        <v>6738713.7214611871</v>
      </c>
      <c r="Q11" s="28">
        <v>5</v>
      </c>
      <c r="R11" s="29" t="s">
        <v>42</v>
      </c>
      <c r="S11" s="29">
        <v>5</v>
      </c>
      <c r="T11" s="29">
        <v>9500</v>
      </c>
      <c r="U11" s="29">
        <v>14000</v>
      </c>
      <c r="V11" s="29">
        <f t="shared" si="20"/>
        <v>19000</v>
      </c>
      <c r="W11" s="29">
        <f t="shared" si="9"/>
        <v>935000</v>
      </c>
      <c r="X11" s="29">
        <f t="shared" si="21"/>
        <v>140250</v>
      </c>
      <c r="Y11" s="29">
        <f t="shared" si="22"/>
        <v>1075250</v>
      </c>
      <c r="Z11" s="29">
        <v>10260</v>
      </c>
      <c r="AA11" s="29">
        <v>15650</v>
      </c>
      <c r="AB11" s="29">
        <f t="shared" si="23"/>
        <v>20520</v>
      </c>
      <c r="AC11" s="29">
        <f t="shared" si="13"/>
        <v>1041600</v>
      </c>
      <c r="AD11" s="29">
        <f t="shared" si="24"/>
        <v>156240</v>
      </c>
      <c r="AE11" s="29">
        <f t="shared" si="25"/>
        <v>1197840</v>
      </c>
      <c r="AF11" s="29">
        <f t="shared" si="26"/>
        <v>122590</v>
      </c>
      <c r="AH11" s="53">
        <f>6224147*1/30*8.5/37</f>
        <v>47662.386936936942</v>
      </c>
      <c r="AI11" s="29" t="s">
        <v>10</v>
      </c>
      <c r="AJ11" s="29">
        <v>5</v>
      </c>
      <c r="AK11" s="23">
        <v>8500</v>
      </c>
      <c r="AL11" s="23">
        <f>AJ11/AJ16</f>
        <v>0.16666666666666666</v>
      </c>
      <c r="AM11" s="23">
        <f>AK11/AK16</f>
        <v>0.12977099236641221</v>
      </c>
      <c r="AN11" s="23">
        <f t="shared" si="17"/>
        <v>2.1628498727735368E-2</v>
      </c>
      <c r="AO11" s="23">
        <f t="shared" si="18"/>
        <v>42500</v>
      </c>
      <c r="AP11" s="23">
        <f>AO11/AO16</f>
        <v>0.19406392694063926</v>
      </c>
      <c r="AQ11" s="23">
        <f t="shared" si="19"/>
        <v>1207882.4086757989</v>
      </c>
    </row>
    <row r="12" spans="1:43" ht="30">
      <c r="A12" s="28">
        <v>6</v>
      </c>
      <c r="B12" s="30" t="s">
        <v>77</v>
      </c>
      <c r="C12" s="54">
        <v>16</v>
      </c>
      <c r="D12" s="29">
        <v>5</v>
      </c>
      <c r="E12" s="29">
        <v>9300</v>
      </c>
      <c r="F12" s="29">
        <f>9300+6350</f>
        <v>15650</v>
      </c>
      <c r="G12" s="29">
        <f t="shared" si="0"/>
        <v>18600</v>
      </c>
      <c r="H12" s="29">
        <f t="shared" si="1"/>
        <v>1860</v>
      </c>
      <c r="I12" s="29">
        <f t="shared" si="2"/>
        <v>208260</v>
      </c>
      <c r="J12" s="29">
        <f t="shared" si="3"/>
        <v>31239</v>
      </c>
      <c r="K12" s="29">
        <f t="shared" si="4"/>
        <v>239499</v>
      </c>
      <c r="L12" s="29">
        <f t="shared" si="5"/>
        <v>19958.25</v>
      </c>
      <c r="M12" s="51">
        <f t="shared" si="6"/>
        <v>5388727.5</v>
      </c>
      <c r="N12" s="52">
        <v>1207882.4086757989</v>
      </c>
      <c r="O12" s="51">
        <f t="shared" si="7"/>
        <v>6596609.9086757991</v>
      </c>
      <c r="Q12" s="28">
        <v>6</v>
      </c>
      <c r="R12" s="29" t="s">
        <v>10</v>
      </c>
      <c r="S12" s="29">
        <v>5</v>
      </c>
      <c r="T12" s="29">
        <v>8500</v>
      </c>
      <c r="U12" s="29">
        <v>13000</v>
      </c>
      <c r="V12" s="29">
        <f t="shared" si="20"/>
        <v>17000</v>
      </c>
      <c r="W12" s="29">
        <f t="shared" si="9"/>
        <v>865000</v>
      </c>
      <c r="X12" s="29">
        <f t="shared" si="21"/>
        <v>129750</v>
      </c>
      <c r="Y12" s="29">
        <f t="shared" si="22"/>
        <v>994750</v>
      </c>
      <c r="Z12" s="29">
        <v>10260</v>
      </c>
      <c r="AA12" s="29">
        <v>15650</v>
      </c>
      <c r="AB12" s="29">
        <f t="shared" si="23"/>
        <v>20520</v>
      </c>
      <c r="AC12" s="29">
        <f t="shared" si="13"/>
        <v>1041600</v>
      </c>
      <c r="AD12" s="29">
        <f t="shared" si="24"/>
        <v>156240</v>
      </c>
      <c r="AE12" s="29">
        <f t="shared" si="25"/>
        <v>1197840</v>
      </c>
      <c r="AF12" s="29">
        <f t="shared" si="26"/>
        <v>203090</v>
      </c>
      <c r="AH12" s="53">
        <f>6224147*2/30*5.5/37</f>
        <v>61680.73603603604</v>
      </c>
      <c r="AI12" s="29" t="s">
        <v>43</v>
      </c>
      <c r="AJ12" s="29">
        <v>2</v>
      </c>
      <c r="AK12" s="23">
        <v>5500</v>
      </c>
      <c r="AL12" s="23">
        <f>AJ12/AJ16</f>
        <v>6.6666666666666666E-2</v>
      </c>
      <c r="AM12" s="23">
        <f>AK12/AK16</f>
        <v>8.3969465648854963E-2</v>
      </c>
      <c r="AN12" s="23">
        <f t="shared" si="17"/>
        <v>5.5979643765903305E-3</v>
      </c>
      <c r="AO12" s="23">
        <f t="shared" si="18"/>
        <v>11000</v>
      </c>
      <c r="AP12" s="23">
        <f>AO12/AO16</f>
        <v>5.0228310502283102E-2</v>
      </c>
      <c r="AQ12" s="23">
        <f t="shared" si="19"/>
        <v>312628.38812785386</v>
      </c>
    </row>
    <row r="13" spans="1:43">
      <c r="A13" s="28">
        <v>7</v>
      </c>
      <c r="B13" s="29" t="s">
        <v>74</v>
      </c>
      <c r="C13" s="54">
        <v>20</v>
      </c>
      <c r="D13" s="29">
        <v>2</v>
      </c>
      <c r="E13" s="29">
        <v>8250</v>
      </c>
      <c r="F13" s="29">
        <f>8250+7300</f>
        <v>15550</v>
      </c>
      <c r="G13" s="29">
        <f t="shared" si="0"/>
        <v>16500</v>
      </c>
      <c r="H13" s="29">
        <f t="shared" si="1"/>
        <v>1650</v>
      </c>
      <c r="I13" s="29">
        <f t="shared" si="2"/>
        <v>204750</v>
      </c>
      <c r="J13" s="29">
        <f t="shared" si="3"/>
        <v>30712.5</v>
      </c>
      <c r="K13" s="29">
        <f t="shared" si="4"/>
        <v>235462.5</v>
      </c>
      <c r="L13" s="29">
        <f t="shared" si="5"/>
        <v>19621.875</v>
      </c>
      <c r="M13" s="51">
        <f t="shared" si="6"/>
        <v>2119162.5</v>
      </c>
      <c r="N13" s="52">
        <v>312628.38812785386</v>
      </c>
      <c r="O13" s="51">
        <f t="shared" si="7"/>
        <v>2431790.8881278541</v>
      </c>
      <c r="Q13" s="28">
        <v>7</v>
      </c>
      <c r="R13" s="29" t="s">
        <v>43</v>
      </c>
      <c r="S13" s="29">
        <v>2</v>
      </c>
      <c r="T13" s="29">
        <v>5500</v>
      </c>
      <c r="U13" s="29">
        <v>8000</v>
      </c>
      <c r="V13" s="29">
        <f t="shared" si="20"/>
        <v>11000</v>
      </c>
      <c r="W13" s="29">
        <f t="shared" si="9"/>
        <v>214000</v>
      </c>
      <c r="X13" s="29">
        <f t="shared" si="21"/>
        <v>32100</v>
      </c>
      <c r="Y13" s="29">
        <f t="shared" si="22"/>
        <v>246100</v>
      </c>
      <c r="Z13" s="29">
        <v>9110</v>
      </c>
      <c r="AA13" s="29">
        <v>15550</v>
      </c>
      <c r="AB13" s="29">
        <f t="shared" si="23"/>
        <v>18220</v>
      </c>
      <c r="AC13" s="29">
        <f t="shared" si="13"/>
        <v>409640</v>
      </c>
      <c r="AD13" s="29">
        <f t="shared" si="24"/>
        <v>61446</v>
      </c>
      <c r="AE13" s="29">
        <f t="shared" si="25"/>
        <v>471086</v>
      </c>
      <c r="AF13" s="29">
        <f t="shared" si="26"/>
        <v>224986</v>
      </c>
      <c r="AH13" s="53">
        <f>6224147*5/30*5.5/37</f>
        <v>154201.84009009012</v>
      </c>
      <c r="AI13" s="29" t="s">
        <v>44</v>
      </c>
      <c r="AJ13" s="29">
        <v>5</v>
      </c>
      <c r="AK13" s="23">
        <v>5500</v>
      </c>
      <c r="AL13" s="23">
        <f>AJ13/AJ16</f>
        <v>0.16666666666666666</v>
      </c>
      <c r="AM13" s="23">
        <f>AK13/AK16</f>
        <v>8.3969465648854963E-2</v>
      </c>
      <c r="AN13" s="23">
        <f t="shared" si="17"/>
        <v>1.3994910941475827E-2</v>
      </c>
      <c r="AO13" s="23">
        <f t="shared" si="18"/>
        <v>27500</v>
      </c>
      <c r="AP13" s="23">
        <f>AO13/AO16</f>
        <v>0.12557077625570776</v>
      </c>
      <c r="AQ13" s="23">
        <f t="shared" si="19"/>
        <v>781570.97031963465</v>
      </c>
    </row>
    <row r="14" spans="1:43" ht="18" customHeight="1">
      <c r="A14" s="28">
        <v>8</v>
      </c>
      <c r="B14" s="29" t="s">
        <v>44</v>
      </c>
      <c r="C14" s="54">
        <v>20</v>
      </c>
      <c r="D14" s="29">
        <v>5</v>
      </c>
      <c r="E14" s="29">
        <v>8250</v>
      </c>
      <c r="F14" s="29">
        <f>8250+6200</f>
        <v>14450</v>
      </c>
      <c r="G14" s="29">
        <f t="shared" si="0"/>
        <v>16500</v>
      </c>
      <c r="H14" s="29">
        <f t="shared" si="1"/>
        <v>1650</v>
      </c>
      <c r="I14" s="29">
        <f t="shared" si="2"/>
        <v>191550</v>
      </c>
      <c r="J14" s="29">
        <f t="shared" si="3"/>
        <v>28732.5</v>
      </c>
      <c r="K14" s="29">
        <f t="shared" si="4"/>
        <v>220282.5</v>
      </c>
      <c r="L14" s="29">
        <f t="shared" si="5"/>
        <v>18356.875</v>
      </c>
      <c r="M14" s="51">
        <f t="shared" si="6"/>
        <v>4956356.25</v>
      </c>
      <c r="N14" s="52">
        <v>781570.97031963465</v>
      </c>
      <c r="O14" s="51">
        <f t="shared" si="7"/>
        <v>5737927.2203196343</v>
      </c>
      <c r="Q14" s="28">
        <v>8</v>
      </c>
      <c r="R14" s="29" t="s">
        <v>44</v>
      </c>
      <c r="S14" s="29">
        <v>5</v>
      </c>
      <c r="T14" s="29">
        <v>5500</v>
      </c>
      <c r="U14" s="29">
        <v>8000</v>
      </c>
      <c r="V14" s="29">
        <f t="shared" si="20"/>
        <v>11000</v>
      </c>
      <c r="W14" s="29">
        <f t="shared" si="9"/>
        <v>535000</v>
      </c>
      <c r="X14" s="29">
        <f t="shared" si="21"/>
        <v>80250</v>
      </c>
      <c r="Y14" s="29">
        <f t="shared" si="22"/>
        <v>615250</v>
      </c>
      <c r="Z14" s="29">
        <v>9110</v>
      </c>
      <c r="AA14" s="29">
        <v>14450</v>
      </c>
      <c r="AB14" s="29">
        <f t="shared" si="23"/>
        <v>18220</v>
      </c>
      <c r="AC14" s="29">
        <f t="shared" si="13"/>
        <v>958100</v>
      </c>
      <c r="AD14" s="29">
        <f t="shared" si="24"/>
        <v>143715</v>
      </c>
      <c r="AE14" s="29">
        <f t="shared" si="25"/>
        <v>1101815</v>
      </c>
      <c r="AF14" s="29">
        <f t="shared" si="26"/>
        <v>486565</v>
      </c>
      <c r="AH14" s="53">
        <f>6224147*1/30*5.5/37</f>
        <v>30840.36801801802</v>
      </c>
      <c r="AI14" s="29" t="s">
        <v>45</v>
      </c>
      <c r="AJ14" s="29">
        <v>1</v>
      </c>
      <c r="AK14" s="23">
        <v>5500</v>
      </c>
      <c r="AL14" s="23">
        <f>AJ14/AJ16</f>
        <v>3.3333333333333333E-2</v>
      </c>
      <c r="AM14" s="23">
        <f>AK14/AK16</f>
        <v>8.3969465648854963E-2</v>
      </c>
      <c r="AN14" s="23">
        <f t="shared" si="17"/>
        <v>2.7989821882951653E-3</v>
      </c>
      <c r="AO14" s="23">
        <f t="shared" si="18"/>
        <v>5500</v>
      </c>
      <c r="AP14" s="23">
        <f>AO14/AO16</f>
        <v>2.5114155251141551E-2</v>
      </c>
      <c r="AQ14" s="23">
        <f t="shared" si="19"/>
        <v>156314.19406392693</v>
      </c>
    </row>
    <row r="15" spans="1:43" ht="18" customHeight="1">
      <c r="A15" s="28">
        <v>9</v>
      </c>
      <c r="B15" s="29" t="s">
        <v>75</v>
      </c>
      <c r="C15" s="54">
        <v>20</v>
      </c>
      <c r="D15" s="29">
        <v>1</v>
      </c>
      <c r="E15" s="29">
        <v>8250</v>
      </c>
      <c r="F15" s="29">
        <f>8250+7300</f>
        <v>15550</v>
      </c>
      <c r="G15" s="29">
        <f t="shared" si="0"/>
        <v>16500</v>
      </c>
      <c r="H15" s="29">
        <f t="shared" si="1"/>
        <v>1650</v>
      </c>
      <c r="I15" s="29">
        <f t="shared" si="2"/>
        <v>204750</v>
      </c>
      <c r="J15" s="29">
        <f t="shared" si="3"/>
        <v>30712.5</v>
      </c>
      <c r="K15" s="29">
        <f t="shared" si="4"/>
        <v>235462.5</v>
      </c>
      <c r="L15" s="29">
        <f t="shared" si="5"/>
        <v>19621.875</v>
      </c>
      <c r="M15" s="51">
        <f t="shared" si="6"/>
        <v>1059581.25</v>
      </c>
      <c r="N15" s="52">
        <v>156314.19406392693</v>
      </c>
      <c r="O15" s="51">
        <f t="shared" si="7"/>
        <v>1215895.444063927</v>
      </c>
      <c r="Q15" s="28">
        <v>9</v>
      </c>
      <c r="R15" s="29" t="s">
        <v>45</v>
      </c>
      <c r="S15" s="29">
        <v>1</v>
      </c>
      <c r="T15" s="29">
        <v>5500</v>
      </c>
      <c r="U15" s="29">
        <v>8000</v>
      </c>
      <c r="V15" s="29">
        <f t="shared" si="20"/>
        <v>11000</v>
      </c>
      <c r="W15" s="29">
        <f t="shared" si="9"/>
        <v>107000</v>
      </c>
      <c r="X15" s="29">
        <f t="shared" si="21"/>
        <v>16050</v>
      </c>
      <c r="Y15" s="29">
        <f t="shared" si="22"/>
        <v>123050</v>
      </c>
      <c r="Z15" s="29">
        <v>9110</v>
      </c>
      <c r="AA15" s="29">
        <v>15550</v>
      </c>
      <c r="AB15" s="29">
        <f t="shared" si="23"/>
        <v>18220</v>
      </c>
      <c r="AC15" s="29">
        <f t="shared" si="13"/>
        <v>204820</v>
      </c>
      <c r="AD15" s="29">
        <f t="shared" si="24"/>
        <v>30723</v>
      </c>
      <c r="AE15" s="29">
        <f t="shared" si="25"/>
        <v>235543</v>
      </c>
      <c r="AF15" s="29">
        <f t="shared" si="26"/>
        <v>112493</v>
      </c>
      <c r="AH15" s="53">
        <f>6224147*5/30*5.5/37</f>
        <v>154201.84009009012</v>
      </c>
      <c r="AI15" s="29" t="s">
        <v>46</v>
      </c>
      <c r="AJ15" s="29">
        <v>5</v>
      </c>
      <c r="AK15" s="23">
        <v>5500</v>
      </c>
      <c r="AL15" s="23">
        <f>AJ15/AJ16</f>
        <v>0.16666666666666666</v>
      </c>
      <c r="AM15" s="23">
        <f>AK15/AK16</f>
        <v>8.3969465648854963E-2</v>
      </c>
      <c r="AN15" s="23">
        <f t="shared" si="17"/>
        <v>1.3994910941475827E-2</v>
      </c>
      <c r="AO15" s="23">
        <f t="shared" si="18"/>
        <v>27500</v>
      </c>
      <c r="AP15" s="23">
        <f>AO15/AO16</f>
        <v>0.12557077625570776</v>
      </c>
      <c r="AQ15" s="23">
        <f t="shared" si="19"/>
        <v>781570.97031963465</v>
      </c>
    </row>
    <row r="16" spans="1:43">
      <c r="A16" s="28">
        <v>10</v>
      </c>
      <c r="B16" s="29" t="s">
        <v>46</v>
      </c>
      <c r="C16" s="54">
        <v>20</v>
      </c>
      <c r="D16" s="29">
        <v>5</v>
      </c>
      <c r="E16" s="29">
        <v>8250</v>
      </c>
      <c r="F16" s="29">
        <f>8250+6200</f>
        <v>14450</v>
      </c>
      <c r="G16" s="29">
        <f t="shared" si="0"/>
        <v>16500</v>
      </c>
      <c r="H16" s="29">
        <f t="shared" si="1"/>
        <v>1650</v>
      </c>
      <c r="I16" s="29">
        <f t="shared" si="2"/>
        <v>191550</v>
      </c>
      <c r="J16" s="29">
        <f t="shared" si="3"/>
        <v>28732.5</v>
      </c>
      <c r="K16" s="29">
        <f t="shared" si="4"/>
        <v>220282.5</v>
      </c>
      <c r="L16" s="29">
        <f t="shared" si="5"/>
        <v>18356.875</v>
      </c>
      <c r="M16" s="51">
        <f t="shared" si="6"/>
        <v>4956356.25</v>
      </c>
      <c r="N16" s="52">
        <v>781570.97031963465</v>
      </c>
      <c r="O16" s="51">
        <f t="shared" si="7"/>
        <v>5737927.2203196343</v>
      </c>
      <c r="Q16" s="28">
        <v>10</v>
      </c>
      <c r="R16" s="29" t="s">
        <v>46</v>
      </c>
      <c r="S16" s="29">
        <v>5</v>
      </c>
      <c r="T16" s="29">
        <v>5500</v>
      </c>
      <c r="U16" s="29">
        <v>8000</v>
      </c>
      <c r="V16" s="29">
        <f t="shared" si="20"/>
        <v>11000</v>
      </c>
      <c r="W16" s="29">
        <f t="shared" si="9"/>
        <v>535000</v>
      </c>
      <c r="X16" s="29">
        <f t="shared" si="21"/>
        <v>80250</v>
      </c>
      <c r="Y16" s="29">
        <f t="shared" si="22"/>
        <v>615250</v>
      </c>
      <c r="Z16" s="29">
        <v>9110</v>
      </c>
      <c r="AA16" s="29">
        <v>14450</v>
      </c>
      <c r="AB16" s="29">
        <f t="shared" si="23"/>
        <v>18220</v>
      </c>
      <c r="AC16" s="29">
        <f t="shared" si="13"/>
        <v>958100</v>
      </c>
      <c r="AD16" s="29">
        <f t="shared" si="24"/>
        <v>143715</v>
      </c>
      <c r="AE16" s="29">
        <f t="shared" si="25"/>
        <v>1101815</v>
      </c>
      <c r="AF16" s="29">
        <f t="shared" si="26"/>
        <v>486565</v>
      </c>
      <c r="AJ16" s="23">
        <f t="shared" ref="AJ16:AQ16" si="27">SUM(AJ7:AJ15)</f>
        <v>30</v>
      </c>
      <c r="AK16" s="23">
        <f t="shared" si="27"/>
        <v>65500</v>
      </c>
      <c r="AL16" s="23">
        <f t="shared" si="27"/>
        <v>0.99999999999999989</v>
      </c>
      <c r="AM16" s="23">
        <f t="shared" si="27"/>
        <v>1</v>
      </c>
      <c r="AN16" s="23">
        <f t="shared" si="27"/>
        <v>0.1114503816793893</v>
      </c>
      <c r="AO16" s="23">
        <f t="shared" si="27"/>
        <v>219000</v>
      </c>
      <c r="AP16" s="23">
        <f t="shared" si="27"/>
        <v>1</v>
      </c>
      <c r="AQ16" s="23">
        <f t="shared" si="27"/>
        <v>6224146.9999999991</v>
      </c>
    </row>
    <row r="17" spans="1:32" ht="18" customHeight="1">
      <c r="A17" s="28">
        <v>11</v>
      </c>
      <c r="B17" s="34" t="s">
        <v>6</v>
      </c>
      <c r="C17" s="34"/>
      <c r="D17" s="35">
        <f>SUM(D7:D16)</f>
        <v>106</v>
      </c>
      <c r="E17" s="35"/>
      <c r="F17" s="35"/>
      <c r="G17" s="35"/>
      <c r="H17" s="35"/>
      <c r="I17" s="35"/>
      <c r="J17" s="35"/>
      <c r="K17" s="35"/>
      <c r="L17" s="35"/>
      <c r="M17" s="50">
        <f>SUM(M7:M16)</f>
        <v>119229360.75</v>
      </c>
      <c r="N17" s="50">
        <f>SUM(N7:N16)</f>
        <v>30899497</v>
      </c>
      <c r="O17" s="50">
        <f>SUM(O7:O16)</f>
        <v>150128857.75000003</v>
      </c>
      <c r="Q17" s="28"/>
      <c r="R17" s="34" t="s">
        <v>6</v>
      </c>
      <c r="S17" s="35">
        <f>SUM(S7:S16)</f>
        <v>106</v>
      </c>
      <c r="T17" s="35"/>
      <c r="U17" s="35"/>
      <c r="V17" s="35"/>
      <c r="W17" s="35"/>
      <c r="X17" s="35"/>
      <c r="Y17" s="35">
        <f>SUM(Y7:Y16)</f>
        <v>22468700</v>
      </c>
      <c r="Z17" s="35"/>
      <c r="AA17" s="35"/>
      <c r="AB17" s="35"/>
      <c r="AC17" s="35"/>
      <c r="AD17" s="35"/>
      <c r="AE17" s="35">
        <f>SUM(AE7:AE16)</f>
        <v>27964205</v>
      </c>
      <c r="AF17" s="42">
        <f>SUM(AF7:AF16)</f>
        <v>5495505</v>
      </c>
    </row>
    <row r="18" spans="1:32">
      <c r="Q18" s="23"/>
    </row>
    <row r="19" spans="1:32" ht="15.75">
      <c r="A19" s="36" t="s">
        <v>78</v>
      </c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</row>
  </sheetData>
  <mergeCells count="8">
    <mergeCell ref="A2:O2"/>
    <mergeCell ref="A3:O3"/>
    <mergeCell ref="AF4:AF5"/>
    <mergeCell ref="T4:Y4"/>
    <mergeCell ref="Z4:AE4"/>
    <mergeCell ref="Q4:Q5"/>
    <mergeCell ref="R4:R5"/>
    <mergeCell ref="S4:S5"/>
  </mergeCells>
  <printOptions horizontalCentered="1"/>
  <pageMargins left="0.27" right="0.25" top="0.75" bottom="0.25" header="0.3" footer="0.3"/>
  <pageSetup paperSize="9" scale="95" orientation="landscape" r:id="rId1"/>
  <headerFooter>
    <oddFooter>&amp;C&amp;"Times New Roman,Regular"&amp;12P - 58</oddFooter>
  </headerFooter>
  <rowBreaks count="1" manualBreakCount="1">
    <brk id="20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2:M18"/>
  <sheetViews>
    <sheetView workbookViewId="0">
      <selection activeCell="D16" sqref="D16:D17"/>
    </sheetView>
  </sheetViews>
  <sheetFormatPr defaultRowHeight="15"/>
  <cols>
    <col min="1" max="1" width="6.7109375" style="21" customWidth="1"/>
    <col min="2" max="2" width="29" customWidth="1"/>
    <col min="3" max="3" width="8.140625" customWidth="1"/>
    <col min="4" max="4" width="22.5703125" customWidth="1"/>
    <col min="5" max="5" width="18" customWidth="1"/>
    <col min="6" max="6" width="20.7109375" customWidth="1"/>
    <col min="7" max="7" width="16.42578125" customWidth="1"/>
  </cols>
  <sheetData>
    <row r="2" spans="1:13" ht="18.75">
      <c r="A2" s="86" t="s">
        <v>49</v>
      </c>
      <c r="B2" s="86"/>
      <c r="C2" s="87" t="s">
        <v>50</v>
      </c>
      <c r="D2" s="87"/>
      <c r="E2" s="87"/>
      <c r="F2" s="87"/>
      <c r="G2" s="87"/>
      <c r="H2" s="87"/>
      <c r="I2" s="87"/>
      <c r="J2" s="87"/>
      <c r="K2" s="87"/>
      <c r="L2" s="87"/>
      <c r="M2" s="87"/>
    </row>
    <row r="4" spans="1:13" ht="30" customHeight="1">
      <c r="A4" s="90" t="s">
        <v>36</v>
      </c>
      <c r="B4" s="89" t="s">
        <v>51</v>
      </c>
      <c r="C4" s="89" t="s">
        <v>52</v>
      </c>
      <c r="D4" s="89" t="s">
        <v>56</v>
      </c>
      <c r="E4" s="88" t="s">
        <v>53</v>
      </c>
      <c r="F4" s="88"/>
      <c r="G4" s="89" t="s">
        <v>55</v>
      </c>
    </row>
    <row r="5" spans="1:13">
      <c r="A5" s="90"/>
      <c r="B5" s="89"/>
      <c r="C5" s="89"/>
      <c r="D5" s="89"/>
      <c r="E5" s="9" t="s">
        <v>54</v>
      </c>
      <c r="F5" s="9" t="s">
        <v>55</v>
      </c>
      <c r="G5" s="89"/>
    </row>
    <row r="6" spans="1:13">
      <c r="A6" s="22">
        <v>1</v>
      </c>
      <c r="B6" s="6" t="s">
        <v>37</v>
      </c>
      <c r="C6" s="6">
        <v>1</v>
      </c>
      <c r="D6" s="19">
        <f>0</f>
        <v>0</v>
      </c>
      <c r="E6" s="6">
        <v>77163.850000000006</v>
      </c>
      <c r="F6" s="6">
        <f t="shared" ref="F6:F15" si="0">E6*54*C6</f>
        <v>4166847.9000000004</v>
      </c>
      <c r="G6" s="6">
        <f>D6+F6</f>
        <v>4166847.9000000004</v>
      </c>
    </row>
    <row r="7" spans="1:13">
      <c r="A7" s="22">
        <v>2</v>
      </c>
      <c r="B7" s="6" t="s">
        <v>38</v>
      </c>
      <c r="C7" s="6">
        <v>4</v>
      </c>
      <c r="D7" s="19">
        <f>0</f>
        <v>0</v>
      </c>
      <c r="E7" s="6">
        <v>66739.87</v>
      </c>
      <c r="F7" s="6">
        <f t="shared" si="0"/>
        <v>14415811.919999998</v>
      </c>
      <c r="G7" s="6">
        <f t="shared" ref="G7:G17" si="1">D7+F7</f>
        <v>14415811.919999998</v>
      </c>
    </row>
    <row r="8" spans="1:13">
      <c r="A8" s="22">
        <v>3</v>
      </c>
      <c r="B8" s="6" t="s">
        <v>23</v>
      </c>
      <c r="C8" s="6">
        <v>76</v>
      </c>
      <c r="D8" s="19">
        <f>(20593932.23*0.8)+(2521421.72*0.8)</f>
        <v>18492283.160000004</v>
      </c>
      <c r="E8" s="6">
        <v>23180.17</v>
      </c>
      <c r="F8" s="6">
        <f t="shared" si="0"/>
        <v>95131417.679999992</v>
      </c>
      <c r="G8" s="6">
        <f t="shared" si="1"/>
        <v>113623700.84</v>
      </c>
    </row>
    <row r="9" spans="1:13">
      <c r="A9" s="22">
        <v>4</v>
      </c>
      <c r="B9" s="20" t="s">
        <v>39</v>
      </c>
      <c r="C9" s="6">
        <v>1</v>
      </c>
      <c r="D9" s="84">
        <f>0.8*1402743.77</f>
        <v>1122195.0160000001</v>
      </c>
      <c r="E9" s="6">
        <v>21764.9</v>
      </c>
      <c r="F9" s="6">
        <f t="shared" si="0"/>
        <v>1175304.6000000001</v>
      </c>
      <c r="G9" s="6">
        <f t="shared" si="1"/>
        <v>2297499.6160000004</v>
      </c>
    </row>
    <row r="10" spans="1:13" ht="15" customHeight="1">
      <c r="A10" s="22">
        <v>5</v>
      </c>
      <c r="B10" s="20" t="s">
        <v>40</v>
      </c>
      <c r="C10" s="6">
        <v>5</v>
      </c>
      <c r="D10" s="85"/>
      <c r="E10" s="6">
        <v>20160.650000000001</v>
      </c>
      <c r="F10" s="6">
        <f t="shared" si="0"/>
        <v>5443375.5</v>
      </c>
      <c r="G10" s="6">
        <f t="shared" si="1"/>
        <v>5443375.5</v>
      </c>
    </row>
    <row r="11" spans="1:13">
      <c r="A11" s="22">
        <v>6</v>
      </c>
      <c r="B11" s="6" t="s">
        <v>41</v>
      </c>
      <c r="C11" s="6">
        <v>3</v>
      </c>
      <c r="D11" s="84">
        <f>0.8*1507802.86</f>
        <v>1206242.2880000002</v>
      </c>
      <c r="E11" s="6">
        <v>21764.9</v>
      </c>
      <c r="F11" s="6">
        <f t="shared" si="0"/>
        <v>3525913.8000000003</v>
      </c>
      <c r="G11" s="6">
        <f t="shared" si="1"/>
        <v>4732156.0880000005</v>
      </c>
    </row>
    <row r="12" spans="1:13">
      <c r="A12" s="22">
        <v>7</v>
      </c>
      <c r="B12" s="6" t="s">
        <v>42</v>
      </c>
      <c r="C12" s="6">
        <v>5</v>
      </c>
      <c r="D12" s="85"/>
      <c r="E12" s="6">
        <v>20160.650000000001</v>
      </c>
      <c r="F12" s="6">
        <f t="shared" si="0"/>
        <v>5443375.5</v>
      </c>
      <c r="G12" s="6">
        <f t="shared" si="1"/>
        <v>5443375.5</v>
      </c>
    </row>
    <row r="13" spans="1:13">
      <c r="A13" s="22">
        <v>8</v>
      </c>
      <c r="B13" s="6" t="s">
        <v>10</v>
      </c>
      <c r="C13" s="6">
        <v>5</v>
      </c>
      <c r="D13" s="19">
        <f>0.8*267050.47</f>
        <v>213640.37599999999</v>
      </c>
      <c r="E13" s="6">
        <v>20160.650000000001</v>
      </c>
      <c r="F13" s="6">
        <f t="shared" si="0"/>
        <v>5443375.5</v>
      </c>
      <c r="G13" s="6">
        <f t="shared" si="1"/>
        <v>5657015.8760000002</v>
      </c>
    </row>
    <row r="14" spans="1:13">
      <c r="A14" s="22">
        <v>9</v>
      </c>
      <c r="B14" s="6" t="s">
        <v>43</v>
      </c>
      <c r="C14" s="6">
        <v>2</v>
      </c>
      <c r="D14" s="84">
        <f>1008723.47*0.8</f>
        <v>806978.77600000007</v>
      </c>
      <c r="E14" s="6">
        <v>19803.189999999999</v>
      </c>
      <c r="F14" s="6">
        <f t="shared" si="0"/>
        <v>2138744.52</v>
      </c>
      <c r="G14" s="6">
        <f t="shared" si="1"/>
        <v>2945723.2960000001</v>
      </c>
    </row>
    <row r="15" spans="1:13">
      <c r="A15" s="22">
        <v>10</v>
      </c>
      <c r="B15" s="6" t="s">
        <v>44</v>
      </c>
      <c r="C15" s="6">
        <v>5</v>
      </c>
      <c r="D15" s="85"/>
      <c r="E15" s="6">
        <v>18538.189999999999</v>
      </c>
      <c r="F15" s="6">
        <f t="shared" si="0"/>
        <v>5005311.3</v>
      </c>
      <c r="G15" s="6">
        <f t="shared" si="1"/>
        <v>5005311.3</v>
      </c>
    </row>
    <row r="16" spans="1:13">
      <c r="A16" s="22">
        <v>11</v>
      </c>
      <c r="B16" s="6" t="s">
        <v>45</v>
      </c>
      <c r="C16" s="6">
        <v>1</v>
      </c>
      <c r="D16" s="84">
        <f>0.8*782562.82</f>
        <v>626050.25599999994</v>
      </c>
      <c r="E16" s="6">
        <v>19803.189999999999</v>
      </c>
      <c r="F16" s="6">
        <f>E16*C16*54</f>
        <v>1069372.26</v>
      </c>
      <c r="G16" s="6">
        <f t="shared" si="1"/>
        <v>1695422.5159999998</v>
      </c>
    </row>
    <row r="17" spans="1:7">
      <c r="A17" s="22">
        <v>12</v>
      </c>
      <c r="B17" s="6" t="s">
        <v>46</v>
      </c>
      <c r="C17" s="6">
        <v>5</v>
      </c>
      <c r="D17" s="85"/>
      <c r="E17" s="6">
        <v>18538.189999999999</v>
      </c>
      <c r="F17" s="6">
        <f>E17*54*C17</f>
        <v>5005311.3</v>
      </c>
      <c r="G17" s="6">
        <f t="shared" si="1"/>
        <v>5005311.3</v>
      </c>
    </row>
    <row r="18" spans="1:7">
      <c r="A18" s="22"/>
      <c r="B18" s="6"/>
      <c r="C18" s="6"/>
      <c r="D18" s="6"/>
      <c r="E18" s="6">
        <f>SUM(E6:E17)</f>
        <v>347778.4</v>
      </c>
      <c r="F18" s="6">
        <f>SUM(F6:F17)</f>
        <v>147964161.78</v>
      </c>
      <c r="G18" s="6">
        <f>SUM(G6:G17)</f>
        <v>170431551.65200001</v>
      </c>
    </row>
  </sheetData>
  <mergeCells count="12">
    <mergeCell ref="D9:D10"/>
    <mergeCell ref="D11:D12"/>
    <mergeCell ref="D14:D15"/>
    <mergeCell ref="D16:D17"/>
    <mergeCell ref="A2:B2"/>
    <mergeCell ref="C2:M2"/>
    <mergeCell ref="E4:F4"/>
    <mergeCell ref="D4:D5"/>
    <mergeCell ref="C4:C5"/>
    <mergeCell ref="B4:B5"/>
    <mergeCell ref="A4:A5"/>
    <mergeCell ref="G4:G5"/>
  </mergeCells>
  <pageMargins left="0.45" right="0.45" top="0.75" bottom="0.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AF23"/>
  <sheetViews>
    <sheetView workbookViewId="0">
      <selection sqref="A1:XFD1048576"/>
    </sheetView>
  </sheetViews>
  <sheetFormatPr defaultRowHeight="15"/>
  <cols>
    <col min="1" max="1" width="3.140625" style="36" customWidth="1"/>
    <col min="2" max="2" width="19.140625" style="23" customWidth="1"/>
    <col min="3" max="3" width="5.7109375" style="23" customWidth="1"/>
    <col min="4" max="4" width="7.28515625" style="23" customWidth="1"/>
    <col min="5" max="5" width="7.5703125" style="23" customWidth="1"/>
    <col min="6" max="6" width="8.7109375" style="23" customWidth="1"/>
    <col min="7" max="7" width="9.7109375" style="23" customWidth="1"/>
    <col min="8" max="8" width="10.5703125" style="23" customWidth="1"/>
    <col min="9" max="9" width="10.140625" style="23" customWidth="1"/>
    <col min="10" max="11" width="9.140625" style="23"/>
    <col min="12" max="12" width="11.28515625" style="23" customWidth="1"/>
    <col min="13" max="13" width="9.28515625" style="23" customWidth="1"/>
    <col min="14" max="14" width="10.7109375" style="23" customWidth="1"/>
    <col min="15" max="15" width="10.85546875" style="23" customWidth="1"/>
    <col min="16" max="16" width="2.5703125" style="23" customWidth="1"/>
    <col min="17" max="17" width="3.140625" style="36" customWidth="1"/>
    <col min="18" max="18" width="18.7109375" style="23" customWidth="1"/>
    <col min="19" max="19" width="5.7109375" style="23" customWidth="1"/>
    <col min="20" max="20" width="7.28515625" style="23" customWidth="1"/>
    <col min="21" max="21" width="7.5703125" style="23" customWidth="1"/>
    <col min="22" max="22" width="8.7109375" style="23" customWidth="1"/>
    <col min="23" max="23" width="10.5703125" style="23" customWidth="1"/>
    <col min="24" max="24" width="9.140625" style="23"/>
    <col min="25" max="25" width="10" style="23" customWidth="1"/>
    <col min="26" max="26" width="7.28515625" style="23" customWidth="1"/>
    <col min="27" max="27" width="7.5703125" style="23" customWidth="1"/>
    <col min="28" max="28" width="8.7109375" style="23" customWidth="1"/>
    <col min="29" max="29" width="10.5703125" style="23" customWidth="1"/>
    <col min="30" max="30" width="9.140625" style="23"/>
    <col min="31" max="31" width="10.140625" style="23" customWidth="1"/>
    <col min="32" max="32" width="10.7109375" style="23" customWidth="1"/>
    <col min="33" max="16384" width="9.140625" style="23"/>
  </cols>
  <sheetData>
    <row r="2" spans="1:32" ht="18.75" customHeight="1">
      <c r="A2" s="76" t="s">
        <v>70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43"/>
    </row>
    <row r="3" spans="1:32" ht="18.75">
      <c r="A3" s="77" t="s">
        <v>71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Q3" s="38" t="s">
        <v>76</v>
      </c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</row>
    <row r="4" spans="1:32">
      <c r="Q4" s="81" t="s">
        <v>36</v>
      </c>
      <c r="R4" s="82" t="s">
        <v>33</v>
      </c>
      <c r="S4" s="83" t="s">
        <v>34</v>
      </c>
      <c r="T4" s="80" t="s">
        <v>67</v>
      </c>
      <c r="U4" s="80"/>
      <c r="V4" s="80"/>
      <c r="W4" s="80"/>
      <c r="X4" s="80"/>
      <c r="Y4" s="80"/>
      <c r="Z4" s="80" t="s">
        <v>68</v>
      </c>
      <c r="AA4" s="80"/>
      <c r="AB4" s="80"/>
      <c r="AC4" s="80"/>
      <c r="AD4" s="80"/>
      <c r="AE4" s="80"/>
      <c r="AF4" s="78" t="s">
        <v>60</v>
      </c>
    </row>
    <row r="5" spans="1:32" ht="79.5" customHeight="1">
      <c r="A5" s="24" t="s">
        <v>36</v>
      </c>
      <c r="B5" s="25" t="s">
        <v>33</v>
      </c>
      <c r="C5" s="26" t="s">
        <v>34</v>
      </c>
      <c r="D5" s="26" t="s">
        <v>58</v>
      </c>
      <c r="E5" s="26" t="s">
        <v>35</v>
      </c>
      <c r="F5" s="26" t="s">
        <v>61</v>
      </c>
      <c r="G5" s="26" t="s">
        <v>62</v>
      </c>
      <c r="H5" s="26" t="s">
        <v>63</v>
      </c>
      <c r="I5" s="26" t="s">
        <v>69</v>
      </c>
      <c r="J5" s="26" t="s">
        <v>64</v>
      </c>
      <c r="K5" s="26" t="s">
        <v>65</v>
      </c>
      <c r="L5" s="27" t="s">
        <v>81</v>
      </c>
      <c r="M5" s="27" t="s">
        <v>48</v>
      </c>
      <c r="N5" s="24" t="s">
        <v>57</v>
      </c>
      <c r="O5" s="24" t="s">
        <v>66</v>
      </c>
      <c r="Q5" s="81"/>
      <c r="R5" s="82"/>
      <c r="S5" s="83"/>
      <c r="T5" s="49" t="s">
        <v>58</v>
      </c>
      <c r="U5" s="49" t="s">
        <v>35</v>
      </c>
      <c r="V5" s="49" t="s">
        <v>59</v>
      </c>
      <c r="W5" s="49" t="s">
        <v>82</v>
      </c>
      <c r="X5" s="49" t="s">
        <v>47</v>
      </c>
      <c r="Y5" s="49" t="s">
        <v>83</v>
      </c>
      <c r="Z5" s="49" t="s">
        <v>58</v>
      </c>
      <c r="AA5" s="49" t="s">
        <v>35</v>
      </c>
      <c r="AB5" s="49" t="s">
        <v>59</v>
      </c>
      <c r="AC5" s="49" t="s">
        <v>82</v>
      </c>
      <c r="AD5" s="49" t="s">
        <v>47</v>
      </c>
      <c r="AE5" s="49" t="s">
        <v>84</v>
      </c>
      <c r="AF5" s="79"/>
    </row>
    <row r="6" spans="1:32" ht="15.75" customHeight="1">
      <c r="A6" s="24">
        <v>1</v>
      </c>
      <c r="B6" s="25">
        <v>2</v>
      </c>
      <c r="C6" s="26">
        <v>3</v>
      </c>
      <c r="D6" s="26">
        <v>4</v>
      </c>
      <c r="E6" s="26">
        <v>5</v>
      </c>
      <c r="F6" s="26">
        <v>6</v>
      </c>
      <c r="G6" s="26">
        <v>7</v>
      </c>
      <c r="H6" s="26">
        <v>8</v>
      </c>
      <c r="I6" s="26">
        <v>9</v>
      </c>
      <c r="J6" s="26">
        <v>10</v>
      </c>
      <c r="K6" s="26">
        <v>11</v>
      </c>
      <c r="L6" s="24">
        <v>12</v>
      </c>
      <c r="M6" s="27">
        <v>13</v>
      </c>
      <c r="N6" s="24">
        <v>14</v>
      </c>
      <c r="O6" s="24">
        <v>15</v>
      </c>
      <c r="Q6" s="24">
        <v>1</v>
      </c>
      <c r="R6" s="25">
        <v>2</v>
      </c>
      <c r="S6" s="26">
        <v>3</v>
      </c>
      <c r="T6" s="26">
        <v>4</v>
      </c>
      <c r="U6" s="26">
        <v>5</v>
      </c>
      <c r="V6" s="26">
        <v>6</v>
      </c>
      <c r="W6" s="26">
        <v>7</v>
      </c>
      <c r="X6" s="26">
        <v>8</v>
      </c>
      <c r="Y6" s="26">
        <v>9</v>
      </c>
      <c r="Z6" s="26">
        <v>10</v>
      </c>
      <c r="AA6" s="26">
        <v>11</v>
      </c>
      <c r="AB6" s="26">
        <v>12</v>
      </c>
      <c r="AC6" s="27">
        <v>13</v>
      </c>
      <c r="AD6" s="24">
        <v>14</v>
      </c>
      <c r="AE6" s="24">
        <v>15</v>
      </c>
      <c r="AF6" s="24">
        <v>16</v>
      </c>
    </row>
    <row r="7" spans="1:32" ht="18" customHeight="1">
      <c r="A7" s="28">
        <v>1</v>
      </c>
      <c r="B7" s="29" t="s">
        <v>85</v>
      </c>
      <c r="C7" s="29">
        <v>3</v>
      </c>
      <c r="D7" s="29">
        <v>37280</v>
      </c>
      <c r="E7" s="29">
        <v>51200</v>
      </c>
      <c r="F7" s="29">
        <f>D7*2</f>
        <v>74560</v>
      </c>
      <c r="G7" s="29">
        <f>0.2*D7</f>
        <v>7456</v>
      </c>
      <c r="H7" s="29">
        <f>E7*12+F7+G7</f>
        <v>696416</v>
      </c>
      <c r="I7" s="29">
        <f t="shared" ref="I7:I20" si="0">0.15*H7</f>
        <v>104462.39999999999</v>
      </c>
      <c r="J7" s="29">
        <f t="shared" ref="J7:J20" si="1">H7+I7</f>
        <v>800878.4</v>
      </c>
      <c r="K7" s="29">
        <f t="shared" ref="K7:K20" si="2">J7/12</f>
        <v>66739.866666666669</v>
      </c>
      <c r="L7" s="47">
        <f>K7*C7*54</f>
        <v>10811858.4</v>
      </c>
      <c r="M7" s="29">
        <f>0</f>
        <v>0</v>
      </c>
      <c r="N7" s="29"/>
      <c r="O7" s="29">
        <f t="shared" ref="O7:O20" si="3">L7+M7+N7</f>
        <v>10811858.4</v>
      </c>
      <c r="Q7" s="28">
        <v>1</v>
      </c>
      <c r="R7" s="29" t="s">
        <v>23</v>
      </c>
      <c r="S7" s="29">
        <v>76</v>
      </c>
      <c r="T7" s="29">
        <v>10000</v>
      </c>
      <c r="U7" s="29">
        <v>15000</v>
      </c>
      <c r="V7" s="29">
        <f>T7*2</f>
        <v>20000</v>
      </c>
      <c r="W7" s="29">
        <f>((U7*12)+V7)*S7</f>
        <v>15200000</v>
      </c>
      <c r="X7" s="29">
        <f>0.15*W7</f>
        <v>2280000</v>
      </c>
      <c r="Y7" s="29">
        <f>W7+X7</f>
        <v>17480000</v>
      </c>
      <c r="Z7" s="29">
        <v>11300</v>
      </c>
      <c r="AA7" s="29">
        <v>18085</v>
      </c>
      <c r="AB7" s="29">
        <f>Z7*2</f>
        <v>22600</v>
      </c>
      <c r="AC7" s="29">
        <f>((AA7*12)+AB7)*S7</f>
        <v>18211120</v>
      </c>
      <c r="AD7" s="29">
        <f>0.15*AC7</f>
        <v>2731668</v>
      </c>
      <c r="AE7" s="29">
        <f>AC7+AD7</f>
        <v>20942788</v>
      </c>
      <c r="AF7" s="29">
        <f>AE7-Y7</f>
        <v>3462788</v>
      </c>
    </row>
    <row r="8" spans="1:32" ht="18" customHeight="1">
      <c r="A8" s="28">
        <v>2</v>
      </c>
      <c r="B8" s="29" t="s">
        <v>86</v>
      </c>
      <c r="C8" s="29">
        <v>3</v>
      </c>
      <c r="D8" s="29">
        <v>37280</v>
      </c>
      <c r="E8" s="29">
        <v>51200</v>
      </c>
      <c r="F8" s="29">
        <f>D8*2</f>
        <v>74560</v>
      </c>
      <c r="G8" s="29">
        <f>0.2*D8</f>
        <v>7456</v>
      </c>
      <c r="H8" s="29">
        <f>E8*12+F8+G8</f>
        <v>696416</v>
      </c>
      <c r="I8" s="29">
        <f t="shared" si="0"/>
        <v>104462.39999999999</v>
      </c>
      <c r="J8" s="29">
        <f t="shared" si="1"/>
        <v>800878.4</v>
      </c>
      <c r="K8" s="29">
        <f t="shared" si="2"/>
        <v>66739.866666666669</v>
      </c>
      <c r="L8" s="47">
        <f>K8*C8*54</f>
        <v>10811858.4</v>
      </c>
      <c r="M8" s="29">
        <f>0</f>
        <v>0</v>
      </c>
      <c r="N8" s="29"/>
      <c r="O8" s="29">
        <f t="shared" si="3"/>
        <v>10811858.4</v>
      </c>
      <c r="Q8" s="28">
        <v>2</v>
      </c>
      <c r="R8" s="30" t="s">
        <v>39</v>
      </c>
      <c r="S8" s="29">
        <v>1</v>
      </c>
      <c r="T8" s="29">
        <v>8000</v>
      </c>
      <c r="U8" s="29">
        <v>12000</v>
      </c>
      <c r="V8" s="29">
        <f t="shared" ref="V8:V16" si="4">T8*2</f>
        <v>16000</v>
      </c>
      <c r="W8" s="29">
        <f t="shared" ref="W8:W16" si="5">((U8*12)+V8)*S8</f>
        <v>160000</v>
      </c>
      <c r="X8" s="29">
        <f t="shared" ref="X8:X16" si="6">0.15*W8</f>
        <v>24000</v>
      </c>
      <c r="Y8" s="29">
        <f t="shared" ref="Y8:Y16" si="7">W8+X8</f>
        <v>184000</v>
      </c>
      <c r="Z8" s="29">
        <v>10260</v>
      </c>
      <c r="AA8" s="29">
        <v>17045</v>
      </c>
      <c r="AB8" s="29">
        <f t="shared" ref="AB8:AB16" si="8">Z8*2</f>
        <v>20520</v>
      </c>
      <c r="AC8" s="29">
        <f t="shared" ref="AC8:AC16" si="9">((AA8*12)+AB8)*S8</f>
        <v>225060</v>
      </c>
      <c r="AD8" s="29">
        <f t="shared" ref="AD8:AD16" si="10">0.15*AC8</f>
        <v>33759</v>
      </c>
      <c r="AE8" s="29">
        <f t="shared" ref="AE8:AE16" si="11">AC8+AD8</f>
        <v>258819</v>
      </c>
      <c r="AF8" s="29">
        <f t="shared" ref="AF8:AF16" si="12">AE8-Y8</f>
        <v>74819</v>
      </c>
    </row>
    <row r="9" spans="1:32" ht="18" customHeight="1">
      <c r="A9" s="28">
        <v>3</v>
      </c>
      <c r="B9" s="29" t="s">
        <v>79</v>
      </c>
      <c r="C9" s="29">
        <v>3</v>
      </c>
      <c r="D9" s="29">
        <v>26760</v>
      </c>
      <c r="E9" s="29">
        <v>41640</v>
      </c>
      <c r="F9" s="29">
        <f t="shared" ref="F9:F20" si="13">D9*2</f>
        <v>53520</v>
      </c>
      <c r="G9" s="29">
        <f t="shared" ref="G9:G20" si="14">0.2*D9</f>
        <v>5352</v>
      </c>
      <c r="H9" s="29">
        <f t="shared" ref="H9:H20" si="15">E9*12+F9+G9</f>
        <v>558552</v>
      </c>
      <c r="I9" s="29">
        <f t="shared" si="0"/>
        <v>83782.8</v>
      </c>
      <c r="J9" s="29">
        <f t="shared" si="1"/>
        <v>642334.80000000005</v>
      </c>
      <c r="K9" s="29">
        <f t="shared" si="2"/>
        <v>53527.9</v>
      </c>
      <c r="L9" s="29">
        <f t="shared" ref="L9:L20" si="16">K9*C9*54</f>
        <v>8671519.8000000007</v>
      </c>
      <c r="M9" s="29">
        <f>0</f>
        <v>0</v>
      </c>
      <c r="N9" s="29"/>
      <c r="O9" s="29">
        <f t="shared" si="3"/>
        <v>8671519.8000000007</v>
      </c>
      <c r="Q9" s="28">
        <v>3</v>
      </c>
      <c r="R9" s="30" t="s">
        <v>40</v>
      </c>
      <c r="S9" s="29">
        <v>5</v>
      </c>
      <c r="T9" s="29">
        <v>8000</v>
      </c>
      <c r="U9" s="29">
        <v>12000</v>
      </c>
      <c r="V9" s="29">
        <f t="shared" si="4"/>
        <v>16000</v>
      </c>
      <c r="W9" s="29">
        <f t="shared" si="5"/>
        <v>800000</v>
      </c>
      <c r="X9" s="29">
        <f t="shared" si="6"/>
        <v>120000</v>
      </c>
      <c r="Y9" s="29">
        <f t="shared" si="7"/>
        <v>920000</v>
      </c>
      <c r="Z9" s="29">
        <v>10260</v>
      </c>
      <c r="AA9" s="29">
        <v>15650</v>
      </c>
      <c r="AB9" s="29">
        <f t="shared" si="8"/>
        <v>20520</v>
      </c>
      <c r="AC9" s="29">
        <f t="shared" si="9"/>
        <v>1041600</v>
      </c>
      <c r="AD9" s="29">
        <f t="shared" si="10"/>
        <v>156240</v>
      </c>
      <c r="AE9" s="29">
        <f t="shared" si="11"/>
        <v>1197840</v>
      </c>
      <c r="AF9" s="29">
        <f t="shared" si="12"/>
        <v>277840</v>
      </c>
    </row>
    <row r="10" spans="1:32" ht="18" customHeight="1">
      <c r="A10" s="28">
        <v>4</v>
      </c>
      <c r="B10" s="29" t="s">
        <v>80</v>
      </c>
      <c r="C10" s="29">
        <v>3</v>
      </c>
      <c r="D10" s="29">
        <v>19460</v>
      </c>
      <c r="E10" s="29">
        <v>30690</v>
      </c>
      <c r="F10" s="29">
        <f t="shared" si="13"/>
        <v>38920</v>
      </c>
      <c r="G10" s="29">
        <f t="shared" si="14"/>
        <v>3892</v>
      </c>
      <c r="H10" s="29">
        <f t="shared" si="15"/>
        <v>411092</v>
      </c>
      <c r="I10" s="29">
        <f t="shared" si="0"/>
        <v>61663.799999999996</v>
      </c>
      <c r="J10" s="29">
        <f t="shared" si="1"/>
        <v>472755.8</v>
      </c>
      <c r="K10" s="29">
        <f t="shared" si="2"/>
        <v>39396.316666666666</v>
      </c>
      <c r="L10" s="29">
        <f t="shared" si="16"/>
        <v>6382203.2999999998</v>
      </c>
      <c r="M10" s="29">
        <f>0</f>
        <v>0</v>
      </c>
      <c r="N10" s="29"/>
      <c r="O10" s="29">
        <f t="shared" si="3"/>
        <v>6382203.2999999998</v>
      </c>
      <c r="Q10" s="28">
        <v>4</v>
      </c>
      <c r="R10" s="29" t="s">
        <v>41</v>
      </c>
      <c r="S10" s="29">
        <v>1</v>
      </c>
      <c r="T10" s="29">
        <v>9500</v>
      </c>
      <c r="U10" s="29">
        <v>14000</v>
      </c>
      <c r="V10" s="29">
        <f t="shared" si="4"/>
        <v>19000</v>
      </c>
      <c r="W10" s="29">
        <f t="shared" si="5"/>
        <v>187000</v>
      </c>
      <c r="X10" s="29">
        <f t="shared" si="6"/>
        <v>28050</v>
      </c>
      <c r="Y10" s="29">
        <f t="shared" si="7"/>
        <v>215050</v>
      </c>
      <c r="Z10" s="29">
        <v>10260</v>
      </c>
      <c r="AA10" s="29">
        <v>17045</v>
      </c>
      <c r="AB10" s="29">
        <f t="shared" si="8"/>
        <v>20520</v>
      </c>
      <c r="AC10" s="29">
        <f t="shared" si="9"/>
        <v>225060</v>
      </c>
      <c r="AD10" s="29">
        <f t="shared" si="10"/>
        <v>33759</v>
      </c>
      <c r="AE10" s="29">
        <f t="shared" si="11"/>
        <v>258819</v>
      </c>
      <c r="AF10" s="29">
        <f t="shared" si="12"/>
        <v>43769</v>
      </c>
    </row>
    <row r="11" spans="1:32" ht="18" customHeight="1">
      <c r="A11" s="28">
        <v>5</v>
      </c>
      <c r="B11" s="29" t="s">
        <v>23</v>
      </c>
      <c r="C11" s="29">
        <v>76</v>
      </c>
      <c r="D11" s="29">
        <v>11300</v>
      </c>
      <c r="E11" s="29">
        <v>18085</v>
      </c>
      <c r="F11" s="29">
        <f t="shared" si="13"/>
        <v>22600</v>
      </c>
      <c r="G11" s="29">
        <f t="shared" si="14"/>
        <v>2260</v>
      </c>
      <c r="H11" s="29">
        <f t="shared" si="15"/>
        <v>241880</v>
      </c>
      <c r="I11" s="29">
        <f t="shared" si="0"/>
        <v>36282</v>
      </c>
      <c r="J11" s="29">
        <f t="shared" si="1"/>
        <v>278162</v>
      </c>
      <c r="K11" s="29">
        <f t="shared" si="2"/>
        <v>23180.166666666668</v>
      </c>
      <c r="L11" s="29">
        <f t="shared" si="16"/>
        <v>95131404</v>
      </c>
      <c r="M11" s="29">
        <f>(20593932.23*0.8)+(2521421.72*0.8)</f>
        <v>18492283.160000004</v>
      </c>
      <c r="N11" s="48">
        <f t="shared" ref="N11:N20" si="17">AF7</f>
        <v>3462788</v>
      </c>
      <c r="O11" s="29">
        <f t="shared" si="3"/>
        <v>117086475.16</v>
      </c>
      <c r="Q11" s="28">
        <v>5</v>
      </c>
      <c r="R11" s="29" t="s">
        <v>42</v>
      </c>
      <c r="S11" s="29">
        <v>5</v>
      </c>
      <c r="T11" s="29">
        <v>9500</v>
      </c>
      <c r="U11" s="29">
        <v>14000</v>
      </c>
      <c r="V11" s="29">
        <f t="shared" si="4"/>
        <v>19000</v>
      </c>
      <c r="W11" s="29">
        <f t="shared" si="5"/>
        <v>935000</v>
      </c>
      <c r="X11" s="29">
        <f t="shared" si="6"/>
        <v>140250</v>
      </c>
      <c r="Y11" s="29">
        <f t="shared" si="7"/>
        <v>1075250</v>
      </c>
      <c r="Z11" s="29">
        <v>10260</v>
      </c>
      <c r="AA11" s="29">
        <v>15650</v>
      </c>
      <c r="AB11" s="29">
        <f t="shared" si="8"/>
        <v>20520</v>
      </c>
      <c r="AC11" s="29">
        <f t="shared" si="9"/>
        <v>1041600</v>
      </c>
      <c r="AD11" s="29">
        <f t="shared" si="10"/>
        <v>156240</v>
      </c>
      <c r="AE11" s="29">
        <f t="shared" si="11"/>
        <v>1197840</v>
      </c>
      <c r="AF11" s="29">
        <f t="shared" si="12"/>
        <v>122590</v>
      </c>
    </row>
    <row r="12" spans="1:32" ht="30">
      <c r="A12" s="28">
        <v>6</v>
      </c>
      <c r="B12" s="30" t="s">
        <v>72</v>
      </c>
      <c r="C12" s="29">
        <v>1</v>
      </c>
      <c r="D12" s="29">
        <v>10260</v>
      </c>
      <c r="E12" s="29">
        <v>17045</v>
      </c>
      <c r="F12" s="29">
        <f t="shared" si="13"/>
        <v>20520</v>
      </c>
      <c r="G12" s="29">
        <f t="shared" si="14"/>
        <v>2052</v>
      </c>
      <c r="H12" s="29">
        <f t="shared" si="15"/>
        <v>227112</v>
      </c>
      <c r="I12" s="29">
        <f t="shared" si="0"/>
        <v>34066.799999999996</v>
      </c>
      <c r="J12" s="29">
        <f t="shared" si="1"/>
        <v>261178.8</v>
      </c>
      <c r="K12" s="29">
        <f t="shared" si="2"/>
        <v>21764.899999999998</v>
      </c>
      <c r="L12" s="29">
        <f t="shared" si="16"/>
        <v>1175304.5999999999</v>
      </c>
      <c r="M12" s="31">
        <f>0.8*1402743.77</f>
        <v>1122195.0160000001</v>
      </c>
      <c r="N12" s="29">
        <f t="shared" si="17"/>
        <v>74819</v>
      </c>
      <c r="O12" s="29">
        <f t="shared" si="3"/>
        <v>2372318.6159999999</v>
      </c>
      <c r="Q12" s="28">
        <v>6</v>
      </c>
      <c r="R12" s="29" t="s">
        <v>10</v>
      </c>
      <c r="S12" s="29">
        <v>5</v>
      </c>
      <c r="T12" s="29">
        <v>8500</v>
      </c>
      <c r="U12" s="29">
        <v>13000</v>
      </c>
      <c r="V12" s="29">
        <f t="shared" si="4"/>
        <v>17000</v>
      </c>
      <c r="W12" s="29">
        <f t="shared" si="5"/>
        <v>865000</v>
      </c>
      <c r="X12" s="29">
        <f t="shared" si="6"/>
        <v>129750</v>
      </c>
      <c r="Y12" s="29">
        <f t="shared" si="7"/>
        <v>994750</v>
      </c>
      <c r="Z12" s="29">
        <v>10260</v>
      </c>
      <c r="AA12" s="29">
        <v>15650</v>
      </c>
      <c r="AB12" s="29">
        <f t="shared" si="8"/>
        <v>20520</v>
      </c>
      <c r="AC12" s="29">
        <f t="shared" si="9"/>
        <v>1041600</v>
      </c>
      <c r="AD12" s="29">
        <f t="shared" si="10"/>
        <v>156240</v>
      </c>
      <c r="AE12" s="29">
        <f t="shared" si="11"/>
        <v>1197840</v>
      </c>
      <c r="AF12" s="29">
        <f t="shared" si="12"/>
        <v>203090</v>
      </c>
    </row>
    <row r="13" spans="1:32" ht="30">
      <c r="A13" s="28">
        <v>7</v>
      </c>
      <c r="B13" s="30" t="s">
        <v>40</v>
      </c>
      <c r="C13" s="29">
        <v>5</v>
      </c>
      <c r="D13" s="29">
        <v>10260</v>
      </c>
      <c r="E13" s="29">
        <v>15650</v>
      </c>
      <c r="F13" s="29">
        <f t="shared" si="13"/>
        <v>20520</v>
      </c>
      <c r="G13" s="29">
        <f t="shared" si="14"/>
        <v>2052</v>
      </c>
      <c r="H13" s="29">
        <f t="shared" si="15"/>
        <v>210372</v>
      </c>
      <c r="I13" s="29">
        <f t="shared" si="0"/>
        <v>31555.8</v>
      </c>
      <c r="J13" s="29">
        <f t="shared" si="1"/>
        <v>241927.8</v>
      </c>
      <c r="K13" s="29">
        <f t="shared" si="2"/>
        <v>20160.649999999998</v>
      </c>
      <c r="L13" s="29">
        <f t="shared" si="16"/>
        <v>5443375.4999999991</v>
      </c>
      <c r="M13" s="32"/>
      <c r="N13" s="29">
        <f t="shared" si="17"/>
        <v>277840</v>
      </c>
      <c r="O13" s="29">
        <f t="shared" si="3"/>
        <v>5721215.4999999991</v>
      </c>
      <c r="Q13" s="28">
        <v>7</v>
      </c>
      <c r="R13" s="29" t="s">
        <v>43</v>
      </c>
      <c r="S13" s="29">
        <v>2</v>
      </c>
      <c r="T13" s="29">
        <v>5500</v>
      </c>
      <c r="U13" s="29">
        <v>8000</v>
      </c>
      <c r="V13" s="29">
        <f t="shared" si="4"/>
        <v>11000</v>
      </c>
      <c r="W13" s="29">
        <f t="shared" si="5"/>
        <v>214000</v>
      </c>
      <c r="X13" s="29">
        <f t="shared" si="6"/>
        <v>32100</v>
      </c>
      <c r="Y13" s="29">
        <f t="shared" si="7"/>
        <v>246100</v>
      </c>
      <c r="Z13" s="29">
        <v>9110</v>
      </c>
      <c r="AA13" s="29">
        <v>15550</v>
      </c>
      <c r="AB13" s="29">
        <f t="shared" si="8"/>
        <v>18220</v>
      </c>
      <c r="AC13" s="29">
        <f t="shared" si="9"/>
        <v>409640</v>
      </c>
      <c r="AD13" s="29">
        <f t="shared" si="10"/>
        <v>61446</v>
      </c>
      <c r="AE13" s="29">
        <f t="shared" si="11"/>
        <v>471086</v>
      </c>
      <c r="AF13" s="29">
        <f t="shared" si="12"/>
        <v>224986</v>
      </c>
    </row>
    <row r="14" spans="1:32" ht="18" customHeight="1">
      <c r="A14" s="28">
        <v>8</v>
      </c>
      <c r="B14" s="29" t="s">
        <v>73</v>
      </c>
      <c r="C14" s="29">
        <v>3</v>
      </c>
      <c r="D14" s="29">
        <v>10260</v>
      </c>
      <c r="E14" s="29">
        <v>17045</v>
      </c>
      <c r="F14" s="29">
        <f t="shared" si="13"/>
        <v>20520</v>
      </c>
      <c r="G14" s="29">
        <f t="shared" si="14"/>
        <v>2052</v>
      </c>
      <c r="H14" s="29">
        <f t="shared" si="15"/>
        <v>227112</v>
      </c>
      <c r="I14" s="29">
        <f t="shared" si="0"/>
        <v>34066.799999999996</v>
      </c>
      <c r="J14" s="29">
        <f t="shared" si="1"/>
        <v>261178.8</v>
      </c>
      <c r="K14" s="29">
        <f t="shared" si="2"/>
        <v>21764.899999999998</v>
      </c>
      <c r="L14" s="29">
        <f t="shared" si="16"/>
        <v>3525913.8</v>
      </c>
      <c r="M14" s="91">
        <f>0.8*1507802.86</f>
        <v>1206242.2880000002</v>
      </c>
      <c r="N14" s="29">
        <f t="shared" si="17"/>
        <v>43769</v>
      </c>
      <c r="O14" s="29">
        <f t="shared" si="3"/>
        <v>4775925.0879999995</v>
      </c>
      <c r="Q14" s="28">
        <v>8</v>
      </c>
      <c r="R14" s="29" t="s">
        <v>44</v>
      </c>
      <c r="S14" s="29">
        <v>5</v>
      </c>
      <c r="T14" s="29">
        <v>5500</v>
      </c>
      <c r="U14" s="29">
        <v>8000</v>
      </c>
      <c r="V14" s="29">
        <f t="shared" si="4"/>
        <v>11000</v>
      </c>
      <c r="W14" s="29">
        <f t="shared" si="5"/>
        <v>535000</v>
      </c>
      <c r="X14" s="29">
        <f t="shared" si="6"/>
        <v>80250</v>
      </c>
      <c r="Y14" s="29">
        <f t="shared" si="7"/>
        <v>615250</v>
      </c>
      <c r="Z14" s="29">
        <v>9110</v>
      </c>
      <c r="AA14" s="29">
        <v>14450</v>
      </c>
      <c r="AB14" s="29">
        <f t="shared" si="8"/>
        <v>18220</v>
      </c>
      <c r="AC14" s="29">
        <f t="shared" si="9"/>
        <v>958100</v>
      </c>
      <c r="AD14" s="29">
        <f t="shared" si="10"/>
        <v>143715</v>
      </c>
      <c r="AE14" s="29">
        <f t="shared" si="11"/>
        <v>1101815</v>
      </c>
      <c r="AF14" s="29">
        <f t="shared" si="12"/>
        <v>486565</v>
      </c>
    </row>
    <row r="15" spans="1:32" ht="18" customHeight="1">
      <c r="A15" s="28">
        <v>9</v>
      </c>
      <c r="B15" s="29" t="s">
        <v>42</v>
      </c>
      <c r="C15" s="29">
        <v>5</v>
      </c>
      <c r="D15" s="29">
        <v>10260</v>
      </c>
      <c r="E15" s="29">
        <v>15650</v>
      </c>
      <c r="F15" s="29">
        <f t="shared" si="13"/>
        <v>20520</v>
      </c>
      <c r="G15" s="29">
        <f t="shared" si="14"/>
        <v>2052</v>
      </c>
      <c r="H15" s="29">
        <f t="shared" si="15"/>
        <v>210372</v>
      </c>
      <c r="I15" s="29">
        <f t="shared" si="0"/>
        <v>31555.8</v>
      </c>
      <c r="J15" s="29">
        <f t="shared" si="1"/>
        <v>241927.8</v>
      </c>
      <c r="K15" s="29">
        <f t="shared" si="2"/>
        <v>20160.649999999998</v>
      </c>
      <c r="L15" s="29">
        <f t="shared" si="16"/>
        <v>5443375.4999999991</v>
      </c>
      <c r="M15" s="92"/>
      <c r="N15" s="29">
        <f t="shared" si="17"/>
        <v>122590</v>
      </c>
      <c r="O15" s="29">
        <f t="shared" si="3"/>
        <v>5565965.4999999991</v>
      </c>
      <c r="Q15" s="28">
        <v>9</v>
      </c>
      <c r="R15" s="29" t="s">
        <v>45</v>
      </c>
      <c r="S15" s="29">
        <v>1</v>
      </c>
      <c r="T15" s="29">
        <v>5500</v>
      </c>
      <c r="U15" s="29">
        <v>8000</v>
      </c>
      <c r="V15" s="29">
        <f t="shared" si="4"/>
        <v>11000</v>
      </c>
      <c r="W15" s="29">
        <f t="shared" si="5"/>
        <v>107000</v>
      </c>
      <c r="X15" s="29">
        <f t="shared" si="6"/>
        <v>16050</v>
      </c>
      <c r="Y15" s="29">
        <f t="shared" si="7"/>
        <v>123050</v>
      </c>
      <c r="Z15" s="29">
        <v>9110</v>
      </c>
      <c r="AA15" s="29">
        <v>15550</v>
      </c>
      <c r="AB15" s="29">
        <f t="shared" si="8"/>
        <v>18220</v>
      </c>
      <c r="AC15" s="29">
        <f t="shared" si="9"/>
        <v>204820</v>
      </c>
      <c r="AD15" s="29">
        <f t="shared" si="10"/>
        <v>30723</v>
      </c>
      <c r="AE15" s="29">
        <f t="shared" si="11"/>
        <v>235543</v>
      </c>
      <c r="AF15" s="29">
        <f t="shared" si="12"/>
        <v>112493</v>
      </c>
    </row>
    <row r="16" spans="1:32" ht="30">
      <c r="A16" s="28">
        <v>10</v>
      </c>
      <c r="B16" s="30" t="s">
        <v>77</v>
      </c>
      <c r="C16" s="29">
        <v>5</v>
      </c>
      <c r="D16" s="29">
        <v>10260</v>
      </c>
      <c r="E16" s="29">
        <v>15650</v>
      </c>
      <c r="F16" s="29">
        <f t="shared" si="13"/>
        <v>20520</v>
      </c>
      <c r="G16" s="29">
        <f t="shared" si="14"/>
        <v>2052</v>
      </c>
      <c r="H16" s="29">
        <f t="shared" si="15"/>
        <v>210372</v>
      </c>
      <c r="I16" s="29">
        <f t="shared" si="0"/>
        <v>31555.8</v>
      </c>
      <c r="J16" s="29">
        <f t="shared" si="1"/>
        <v>241927.8</v>
      </c>
      <c r="K16" s="29">
        <f t="shared" si="2"/>
        <v>20160.649999999998</v>
      </c>
      <c r="L16" s="29">
        <f t="shared" si="16"/>
        <v>5443375.4999999991</v>
      </c>
      <c r="M16" s="29">
        <f>0.8*267050.47</f>
        <v>213640.37599999999</v>
      </c>
      <c r="N16" s="48">
        <f t="shared" si="17"/>
        <v>203090</v>
      </c>
      <c r="O16" s="29">
        <f t="shared" si="3"/>
        <v>5860105.8759999992</v>
      </c>
      <c r="Q16" s="28">
        <v>10</v>
      </c>
      <c r="R16" s="29" t="s">
        <v>46</v>
      </c>
      <c r="S16" s="29">
        <v>5</v>
      </c>
      <c r="T16" s="29">
        <v>5500</v>
      </c>
      <c r="U16" s="29">
        <v>8000</v>
      </c>
      <c r="V16" s="29">
        <f t="shared" si="4"/>
        <v>11000</v>
      </c>
      <c r="W16" s="29">
        <f t="shared" si="5"/>
        <v>535000</v>
      </c>
      <c r="X16" s="29">
        <f t="shared" si="6"/>
        <v>80250</v>
      </c>
      <c r="Y16" s="29">
        <f t="shared" si="7"/>
        <v>615250</v>
      </c>
      <c r="Z16" s="29">
        <v>9110</v>
      </c>
      <c r="AA16" s="29">
        <v>14450</v>
      </c>
      <c r="AB16" s="29">
        <f t="shared" si="8"/>
        <v>18220</v>
      </c>
      <c r="AC16" s="29">
        <f t="shared" si="9"/>
        <v>958100</v>
      </c>
      <c r="AD16" s="29">
        <f t="shared" si="10"/>
        <v>143715</v>
      </c>
      <c r="AE16" s="29">
        <f t="shared" si="11"/>
        <v>1101815</v>
      </c>
      <c r="AF16" s="29">
        <f t="shared" si="12"/>
        <v>486565</v>
      </c>
    </row>
    <row r="17" spans="1:32" ht="18" customHeight="1">
      <c r="A17" s="28">
        <v>11</v>
      </c>
      <c r="B17" s="29" t="s">
        <v>74</v>
      </c>
      <c r="C17" s="29">
        <v>2</v>
      </c>
      <c r="D17" s="29">
        <v>9110</v>
      </c>
      <c r="E17" s="29">
        <v>15550</v>
      </c>
      <c r="F17" s="29">
        <f t="shared" si="13"/>
        <v>18220</v>
      </c>
      <c r="G17" s="29">
        <f t="shared" si="14"/>
        <v>1822</v>
      </c>
      <c r="H17" s="29">
        <f t="shared" si="15"/>
        <v>206642</v>
      </c>
      <c r="I17" s="29">
        <f t="shared" si="0"/>
        <v>30996.3</v>
      </c>
      <c r="J17" s="29">
        <f t="shared" si="1"/>
        <v>237638.3</v>
      </c>
      <c r="K17" s="29">
        <f t="shared" si="2"/>
        <v>19803.191666666666</v>
      </c>
      <c r="L17" s="29">
        <f t="shared" si="16"/>
        <v>2138744.6999999997</v>
      </c>
      <c r="M17" s="91">
        <f>1008723.47*0.8</f>
        <v>806978.77600000007</v>
      </c>
      <c r="N17" s="29">
        <f t="shared" si="17"/>
        <v>224986</v>
      </c>
      <c r="O17" s="29">
        <f t="shared" si="3"/>
        <v>3170709.4759999998</v>
      </c>
      <c r="Q17" s="28"/>
      <c r="R17" s="34" t="s">
        <v>6</v>
      </c>
      <c r="S17" s="35">
        <f>SUM(S7:S16)</f>
        <v>106</v>
      </c>
      <c r="T17" s="35"/>
      <c r="U17" s="35"/>
      <c r="V17" s="35"/>
      <c r="W17" s="35"/>
      <c r="X17" s="35"/>
      <c r="Y17" s="35">
        <f>SUM(Y7:Y16)</f>
        <v>22468700</v>
      </c>
      <c r="Z17" s="35"/>
      <c r="AA17" s="35"/>
      <c r="AB17" s="35"/>
      <c r="AC17" s="35"/>
      <c r="AD17" s="35"/>
      <c r="AE17" s="35">
        <f>SUM(AE7:AE16)</f>
        <v>27964205</v>
      </c>
      <c r="AF17" s="42">
        <f>SUM(AF7:AF16)</f>
        <v>5495505</v>
      </c>
    </row>
    <row r="18" spans="1:32" ht="18" customHeight="1">
      <c r="A18" s="28">
        <v>12</v>
      </c>
      <c r="B18" s="29" t="s">
        <v>44</v>
      </c>
      <c r="C18" s="29">
        <v>5</v>
      </c>
      <c r="D18" s="29">
        <v>9110</v>
      </c>
      <c r="E18" s="29">
        <v>14450</v>
      </c>
      <c r="F18" s="29">
        <f t="shared" si="13"/>
        <v>18220</v>
      </c>
      <c r="G18" s="29">
        <f t="shared" si="14"/>
        <v>1822</v>
      </c>
      <c r="H18" s="29">
        <f t="shared" si="15"/>
        <v>193442</v>
      </c>
      <c r="I18" s="29">
        <f t="shared" si="0"/>
        <v>29016.3</v>
      </c>
      <c r="J18" s="29">
        <f t="shared" si="1"/>
        <v>222458.3</v>
      </c>
      <c r="K18" s="29">
        <f t="shared" si="2"/>
        <v>18538.191666666666</v>
      </c>
      <c r="L18" s="29">
        <f t="shared" si="16"/>
        <v>5005311.75</v>
      </c>
      <c r="M18" s="92"/>
      <c r="N18" s="29">
        <f t="shared" si="17"/>
        <v>486565</v>
      </c>
      <c r="O18" s="29">
        <f t="shared" si="3"/>
        <v>5491876.75</v>
      </c>
      <c r="Q18" s="23"/>
    </row>
    <row r="19" spans="1:32" ht="18" customHeight="1">
      <c r="A19" s="28">
        <v>13</v>
      </c>
      <c r="B19" s="29" t="s">
        <v>75</v>
      </c>
      <c r="C19" s="29">
        <v>1</v>
      </c>
      <c r="D19" s="29">
        <v>9110</v>
      </c>
      <c r="E19" s="29">
        <v>15550</v>
      </c>
      <c r="F19" s="29">
        <f t="shared" si="13"/>
        <v>18220</v>
      </c>
      <c r="G19" s="29">
        <f t="shared" si="14"/>
        <v>1822</v>
      </c>
      <c r="H19" s="29">
        <f t="shared" si="15"/>
        <v>206642</v>
      </c>
      <c r="I19" s="29">
        <f t="shared" si="0"/>
        <v>30996.3</v>
      </c>
      <c r="J19" s="29">
        <f t="shared" si="1"/>
        <v>237638.3</v>
      </c>
      <c r="K19" s="29">
        <f t="shared" si="2"/>
        <v>19803.191666666666</v>
      </c>
      <c r="L19" s="29">
        <f t="shared" si="16"/>
        <v>1069372.3499999999</v>
      </c>
      <c r="M19" s="91">
        <f>0.8*782562.82</f>
        <v>626050.25599999994</v>
      </c>
      <c r="N19" s="29">
        <f t="shared" si="17"/>
        <v>112493</v>
      </c>
      <c r="O19" s="29">
        <f t="shared" si="3"/>
        <v>1807915.6059999997</v>
      </c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</row>
    <row r="20" spans="1:32" ht="18" customHeight="1">
      <c r="A20" s="28">
        <v>14</v>
      </c>
      <c r="B20" s="29" t="s">
        <v>46</v>
      </c>
      <c r="C20" s="29">
        <v>5</v>
      </c>
      <c r="D20" s="29">
        <v>9110</v>
      </c>
      <c r="E20" s="29">
        <v>14450</v>
      </c>
      <c r="F20" s="29">
        <f t="shared" si="13"/>
        <v>18220</v>
      </c>
      <c r="G20" s="29">
        <f t="shared" si="14"/>
        <v>1822</v>
      </c>
      <c r="H20" s="29">
        <f t="shared" si="15"/>
        <v>193442</v>
      </c>
      <c r="I20" s="29">
        <f t="shared" si="0"/>
        <v>29016.3</v>
      </c>
      <c r="J20" s="29">
        <f t="shared" si="1"/>
        <v>222458.3</v>
      </c>
      <c r="K20" s="29">
        <f t="shared" si="2"/>
        <v>18538.191666666666</v>
      </c>
      <c r="L20" s="29">
        <f t="shared" si="16"/>
        <v>5005311.75</v>
      </c>
      <c r="M20" s="92"/>
      <c r="N20" s="29">
        <f t="shared" si="17"/>
        <v>486565</v>
      </c>
      <c r="O20" s="29">
        <f t="shared" si="3"/>
        <v>5491876.75</v>
      </c>
      <c r="Q20" s="46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</row>
    <row r="21" spans="1:32">
      <c r="A21" s="33"/>
      <c r="B21" s="34" t="s">
        <v>6</v>
      </c>
      <c r="C21" s="35">
        <f>SUM(C7:C20)</f>
        <v>120</v>
      </c>
      <c r="D21" s="35"/>
      <c r="E21" s="35"/>
      <c r="F21" s="35"/>
      <c r="G21" s="35"/>
      <c r="H21" s="35"/>
      <c r="I21" s="35"/>
      <c r="J21" s="35"/>
      <c r="K21" s="35"/>
      <c r="L21" s="35">
        <f>SUM(L7:L20)</f>
        <v>166058929.34999999</v>
      </c>
      <c r="M21" s="35">
        <f t="shared" ref="M21:O21" si="18">SUM(M7:M20)</f>
        <v>22467389.872000001</v>
      </c>
      <c r="N21" s="35">
        <f>N11+N12+N13+N14+N15+N16+N17+N18+N19+N20</f>
        <v>5495505</v>
      </c>
      <c r="O21" s="35">
        <f t="shared" si="18"/>
        <v>194021824.222</v>
      </c>
      <c r="Q21" s="39"/>
      <c r="R21" s="40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</row>
    <row r="23" spans="1:32" ht="15.75">
      <c r="A23" s="36" t="s">
        <v>78</v>
      </c>
    </row>
  </sheetData>
  <mergeCells count="11">
    <mergeCell ref="A2:O2"/>
    <mergeCell ref="A3:O3"/>
    <mergeCell ref="Q4:Q5"/>
    <mergeCell ref="R4:R5"/>
    <mergeCell ref="S4:S5"/>
    <mergeCell ref="Z4:AE4"/>
    <mergeCell ref="AF4:AF5"/>
    <mergeCell ref="M14:M15"/>
    <mergeCell ref="M17:M18"/>
    <mergeCell ref="M19:M20"/>
    <mergeCell ref="T4:Y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57"/>
  <sheetViews>
    <sheetView topLeftCell="A10" workbookViewId="0">
      <selection sqref="A1:XFD1048576"/>
    </sheetView>
  </sheetViews>
  <sheetFormatPr defaultRowHeight="15"/>
  <cols>
    <col min="1" max="1" width="3.140625" style="36" customWidth="1"/>
    <col min="2" max="2" width="28.85546875" style="23" customWidth="1"/>
    <col min="3" max="3" width="4" style="23" customWidth="1"/>
    <col min="4" max="4" width="4.28515625" style="23" customWidth="1"/>
    <col min="5" max="5" width="7.28515625" style="23" customWidth="1"/>
    <col min="6" max="6" width="8.28515625" style="23" customWidth="1"/>
    <col min="7" max="7" width="8.7109375" style="23" customWidth="1"/>
    <col min="8" max="8" width="9.7109375" style="23" customWidth="1"/>
    <col min="9" max="9" width="10.5703125" style="23" customWidth="1"/>
    <col min="10" max="10" width="9.7109375" style="23" customWidth="1"/>
    <col min="11" max="11" width="10.85546875" style="23" customWidth="1"/>
    <col min="12" max="12" width="9.140625" style="23"/>
    <col min="13" max="14" width="14" style="23" customWidth="1"/>
    <col min="15" max="15" width="15" style="23" customWidth="1"/>
    <col min="16" max="16384" width="9.140625" style="23"/>
  </cols>
  <sheetData>
    <row r="1" spans="1:15" ht="18.75" customHeight="1">
      <c r="A1" s="76" t="s">
        <v>70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</row>
    <row r="2" spans="1:15" ht="18.75">
      <c r="A2" s="77" t="s">
        <v>71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</row>
    <row r="3" spans="1:15" ht="79.5" customHeight="1">
      <c r="A3" s="24" t="s">
        <v>36</v>
      </c>
      <c r="B3" s="25" t="s">
        <v>33</v>
      </c>
      <c r="C3" s="55" t="s">
        <v>88</v>
      </c>
      <c r="D3" s="56" t="s">
        <v>34</v>
      </c>
      <c r="E3" s="26" t="s">
        <v>58</v>
      </c>
      <c r="F3" s="26" t="s">
        <v>35</v>
      </c>
      <c r="G3" s="26" t="s">
        <v>61</v>
      </c>
      <c r="H3" s="26" t="s">
        <v>62</v>
      </c>
      <c r="I3" s="26" t="s">
        <v>63</v>
      </c>
      <c r="J3" s="26" t="s">
        <v>90</v>
      </c>
      <c r="K3" s="26" t="s">
        <v>64</v>
      </c>
      <c r="L3" s="26" t="s">
        <v>65</v>
      </c>
      <c r="M3" s="27" t="s">
        <v>89</v>
      </c>
      <c r="N3" s="27" t="s">
        <v>91</v>
      </c>
      <c r="O3" s="24" t="s">
        <v>66</v>
      </c>
    </row>
    <row r="4" spans="1:15" ht="15.75" customHeight="1">
      <c r="A4" s="24">
        <v>1</v>
      </c>
      <c r="B4" s="25">
        <v>2</v>
      </c>
      <c r="C4" s="26">
        <v>3</v>
      </c>
      <c r="D4" s="26">
        <v>4</v>
      </c>
      <c r="E4" s="26">
        <v>5</v>
      </c>
      <c r="F4" s="26">
        <v>6</v>
      </c>
      <c r="G4" s="26">
        <v>7</v>
      </c>
      <c r="H4" s="26">
        <v>8</v>
      </c>
      <c r="I4" s="26">
        <v>9</v>
      </c>
      <c r="J4" s="26">
        <v>10</v>
      </c>
      <c r="K4" s="26">
        <v>11</v>
      </c>
      <c r="L4" s="24">
        <v>12</v>
      </c>
      <c r="M4" s="27">
        <v>13</v>
      </c>
      <c r="N4" s="24">
        <v>15</v>
      </c>
      <c r="O4" s="24">
        <v>16</v>
      </c>
    </row>
    <row r="5" spans="1:15" ht="18" customHeight="1">
      <c r="A5" s="94" t="s">
        <v>98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6"/>
    </row>
    <row r="6" spans="1:15" ht="18" customHeight="1">
      <c r="A6" s="28">
        <v>1</v>
      </c>
      <c r="B6" s="30" t="s">
        <v>72</v>
      </c>
      <c r="C6" s="57">
        <v>16</v>
      </c>
      <c r="D6" s="29">
        <v>1</v>
      </c>
      <c r="E6" s="29">
        <v>9770</v>
      </c>
      <c r="F6" s="29">
        <v>17870</v>
      </c>
      <c r="G6" s="29">
        <f t="shared" ref="G6:G14" si="0">E6*2</f>
        <v>19540</v>
      </c>
      <c r="H6" s="29">
        <f t="shared" ref="H6:H14" si="1">0.2*E6</f>
        <v>1954</v>
      </c>
      <c r="I6" s="29">
        <f>F6*12+G6+H6</f>
        <v>235934</v>
      </c>
      <c r="J6" s="59">
        <f>K6*0.2</f>
        <v>58983.5</v>
      </c>
      <c r="K6" s="59">
        <f>I6/0.8</f>
        <v>294917.5</v>
      </c>
      <c r="L6" s="29">
        <f t="shared" ref="L6:L14" si="2">K6/12</f>
        <v>24576.458333333332</v>
      </c>
      <c r="M6" s="51">
        <f t="shared" ref="M6:M14" si="3">L6*D6*12</f>
        <v>294917.5</v>
      </c>
      <c r="N6" s="52"/>
      <c r="O6" s="51"/>
    </row>
    <row r="7" spans="1:15" ht="18" customHeight="1">
      <c r="A7" s="28">
        <v>2</v>
      </c>
      <c r="B7" s="30" t="s">
        <v>40</v>
      </c>
      <c r="C7" s="57">
        <v>16</v>
      </c>
      <c r="D7" s="29">
        <v>5</v>
      </c>
      <c r="E7" s="29">
        <v>9770</v>
      </c>
      <c r="F7" s="29">
        <v>16270</v>
      </c>
      <c r="G7" s="29">
        <f t="shared" si="0"/>
        <v>19540</v>
      </c>
      <c r="H7" s="29">
        <f t="shared" si="1"/>
        <v>1954</v>
      </c>
      <c r="I7" s="29">
        <f>F7*12+G7+H7</f>
        <v>216734</v>
      </c>
      <c r="J7" s="59">
        <f t="shared" ref="J7:J14" si="4">K7*0.2</f>
        <v>54183.5</v>
      </c>
      <c r="K7" s="59">
        <f t="shared" ref="K7:K14" si="5">I7/0.8</f>
        <v>270917.5</v>
      </c>
      <c r="L7" s="29">
        <f t="shared" si="2"/>
        <v>22576.458333333332</v>
      </c>
      <c r="M7" s="51">
        <f t="shared" si="3"/>
        <v>1354587.5</v>
      </c>
      <c r="N7" s="52"/>
      <c r="O7" s="51"/>
    </row>
    <row r="8" spans="1:15" ht="18" customHeight="1">
      <c r="A8" s="28">
        <v>3</v>
      </c>
      <c r="B8" s="29" t="s">
        <v>73</v>
      </c>
      <c r="C8" s="57">
        <v>16</v>
      </c>
      <c r="D8" s="29">
        <v>1</v>
      </c>
      <c r="E8" s="29">
        <v>9770</v>
      </c>
      <c r="F8" s="29">
        <v>17870</v>
      </c>
      <c r="G8" s="29">
        <f t="shared" ref="G8:G9" si="6">E8*2</f>
        <v>19540</v>
      </c>
      <c r="H8" s="29">
        <f t="shared" ref="H8:H9" si="7">0.2*E8</f>
        <v>1954</v>
      </c>
      <c r="I8" s="29">
        <f>F8*12+G8+H8</f>
        <v>235934</v>
      </c>
      <c r="J8" s="59">
        <f t="shared" si="4"/>
        <v>58983.5</v>
      </c>
      <c r="K8" s="59">
        <f t="shared" si="5"/>
        <v>294917.5</v>
      </c>
      <c r="L8" s="29">
        <f t="shared" ref="L8:L9" si="8">K8/12</f>
        <v>24576.458333333332</v>
      </c>
      <c r="M8" s="51">
        <f t="shared" si="3"/>
        <v>294917.5</v>
      </c>
      <c r="N8" s="52"/>
      <c r="O8" s="51"/>
    </row>
    <row r="9" spans="1:15" ht="18" customHeight="1">
      <c r="A9" s="28">
        <v>4</v>
      </c>
      <c r="B9" s="29" t="s">
        <v>42</v>
      </c>
      <c r="C9" s="57">
        <v>16</v>
      </c>
      <c r="D9" s="29">
        <v>5</v>
      </c>
      <c r="E9" s="29">
        <v>9770</v>
      </c>
      <c r="F9" s="29">
        <v>16270</v>
      </c>
      <c r="G9" s="29">
        <f t="shared" si="6"/>
        <v>19540</v>
      </c>
      <c r="H9" s="29">
        <f t="shared" si="7"/>
        <v>1954</v>
      </c>
      <c r="I9" s="29">
        <f>F9*12+G9+H9</f>
        <v>216734</v>
      </c>
      <c r="J9" s="59">
        <f t="shared" si="4"/>
        <v>54183.5</v>
      </c>
      <c r="K9" s="59">
        <f t="shared" si="5"/>
        <v>270917.5</v>
      </c>
      <c r="L9" s="29">
        <f t="shared" si="8"/>
        <v>22576.458333333332</v>
      </c>
      <c r="M9" s="51">
        <f t="shared" si="3"/>
        <v>1354587.5</v>
      </c>
      <c r="N9" s="52"/>
      <c r="O9" s="51"/>
    </row>
    <row r="10" spans="1:15">
      <c r="A10" s="28">
        <v>5</v>
      </c>
      <c r="B10" s="30" t="s">
        <v>92</v>
      </c>
      <c r="C10" s="57">
        <v>16</v>
      </c>
      <c r="D10" s="29">
        <v>5</v>
      </c>
      <c r="E10" s="29">
        <v>9770</v>
      </c>
      <c r="F10" s="29">
        <v>16270</v>
      </c>
      <c r="G10" s="29">
        <f t="shared" ref="G10" si="9">E10*2</f>
        <v>19540</v>
      </c>
      <c r="H10" s="29">
        <f t="shared" ref="H10" si="10">0.2*E10</f>
        <v>1954</v>
      </c>
      <c r="I10" s="29">
        <f>F10*12+G10+H10</f>
        <v>216734</v>
      </c>
      <c r="J10" s="59">
        <f t="shared" si="4"/>
        <v>54183.5</v>
      </c>
      <c r="K10" s="59">
        <f t="shared" si="5"/>
        <v>270917.5</v>
      </c>
      <c r="L10" s="29">
        <f t="shared" ref="L10" si="11">K10/12</f>
        <v>22576.458333333332</v>
      </c>
      <c r="M10" s="51">
        <f t="shared" si="3"/>
        <v>1354587.5</v>
      </c>
      <c r="N10" s="52"/>
      <c r="O10" s="51"/>
    </row>
    <row r="11" spans="1:15">
      <c r="A11" s="28">
        <v>6</v>
      </c>
      <c r="B11" s="29" t="s">
        <v>74</v>
      </c>
      <c r="C11" s="57">
        <v>20</v>
      </c>
      <c r="D11" s="29">
        <v>2</v>
      </c>
      <c r="E11" s="29">
        <v>8670</v>
      </c>
      <c r="F11" s="59">
        <v>16005.5</v>
      </c>
      <c r="G11" s="29">
        <f t="shared" si="0"/>
        <v>17340</v>
      </c>
      <c r="H11" s="29">
        <f t="shared" si="1"/>
        <v>1734</v>
      </c>
      <c r="I11" s="29">
        <f t="shared" ref="I11:I14" si="12">F11*12+G11+H11</f>
        <v>211140</v>
      </c>
      <c r="J11" s="59">
        <f t="shared" si="4"/>
        <v>52785</v>
      </c>
      <c r="K11" s="59">
        <f t="shared" si="5"/>
        <v>263925</v>
      </c>
      <c r="L11" s="29">
        <f t="shared" si="2"/>
        <v>21993.75</v>
      </c>
      <c r="M11" s="51">
        <f t="shared" si="3"/>
        <v>527850</v>
      </c>
      <c r="N11" s="52"/>
      <c r="O11" s="51"/>
    </row>
    <row r="12" spans="1:15" ht="18" customHeight="1">
      <c r="A12" s="28">
        <v>7</v>
      </c>
      <c r="B12" s="29" t="s">
        <v>44</v>
      </c>
      <c r="C12" s="57">
        <v>20</v>
      </c>
      <c r="D12" s="29">
        <v>5</v>
      </c>
      <c r="E12" s="29">
        <v>8670</v>
      </c>
      <c r="F12" s="29">
        <v>14870</v>
      </c>
      <c r="G12" s="29">
        <f t="shared" si="0"/>
        <v>17340</v>
      </c>
      <c r="H12" s="29">
        <f t="shared" si="1"/>
        <v>1734</v>
      </c>
      <c r="I12" s="29">
        <f t="shared" si="12"/>
        <v>197514</v>
      </c>
      <c r="J12" s="59">
        <f t="shared" si="4"/>
        <v>49378.5</v>
      </c>
      <c r="K12" s="59">
        <f t="shared" si="5"/>
        <v>246892.5</v>
      </c>
      <c r="L12" s="29">
        <f t="shared" si="2"/>
        <v>20574.375</v>
      </c>
      <c r="M12" s="51">
        <f t="shared" si="3"/>
        <v>1234462.5</v>
      </c>
      <c r="N12" s="52"/>
      <c r="O12" s="51"/>
    </row>
    <row r="13" spans="1:15" ht="18" customHeight="1">
      <c r="A13" s="28">
        <v>8</v>
      </c>
      <c r="B13" s="29" t="s">
        <v>75</v>
      </c>
      <c r="C13" s="57">
        <v>20</v>
      </c>
      <c r="D13" s="29">
        <v>1</v>
      </c>
      <c r="E13" s="29">
        <v>8670</v>
      </c>
      <c r="F13" s="59">
        <v>16005.5</v>
      </c>
      <c r="G13" s="29">
        <f t="shared" si="0"/>
        <v>17340</v>
      </c>
      <c r="H13" s="29">
        <f t="shared" si="1"/>
        <v>1734</v>
      </c>
      <c r="I13" s="29">
        <f t="shared" si="12"/>
        <v>211140</v>
      </c>
      <c r="J13" s="59">
        <f t="shared" si="4"/>
        <v>52785</v>
      </c>
      <c r="K13" s="59">
        <f t="shared" si="5"/>
        <v>263925</v>
      </c>
      <c r="L13" s="29">
        <f t="shared" si="2"/>
        <v>21993.75</v>
      </c>
      <c r="M13" s="51">
        <f t="shared" si="3"/>
        <v>263925</v>
      </c>
      <c r="N13" s="52"/>
      <c r="O13" s="51"/>
    </row>
    <row r="14" spans="1:15">
      <c r="A14" s="28">
        <v>9</v>
      </c>
      <c r="B14" s="29" t="s">
        <v>46</v>
      </c>
      <c r="C14" s="57">
        <v>20</v>
      </c>
      <c r="D14" s="29">
        <v>5</v>
      </c>
      <c r="E14" s="29">
        <v>8670</v>
      </c>
      <c r="F14" s="29">
        <v>14870</v>
      </c>
      <c r="G14" s="29">
        <f t="shared" si="0"/>
        <v>17340</v>
      </c>
      <c r="H14" s="29">
        <f t="shared" si="1"/>
        <v>1734</v>
      </c>
      <c r="I14" s="29">
        <f t="shared" si="12"/>
        <v>197514</v>
      </c>
      <c r="J14" s="59">
        <f t="shared" si="4"/>
        <v>49378.5</v>
      </c>
      <c r="K14" s="59">
        <f t="shared" si="5"/>
        <v>246892.5</v>
      </c>
      <c r="L14" s="29">
        <f t="shared" si="2"/>
        <v>20574.375</v>
      </c>
      <c r="M14" s="51">
        <f t="shared" si="3"/>
        <v>1234462.5</v>
      </c>
      <c r="N14" s="52"/>
      <c r="O14" s="51"/>
    </row>
    <row r="15" spans="1:15" ht="18" customHeight="1">
      <c r="A15" s="28"/>
      <c r="B15" s="34" t="s">
        <v>6</v>
      </c>
      <c r="C15" s="34"/>
      <c r="D15" s="35">
        <f>SUM(D5:D14)</f>
        <v>30</v>
      </c>
      <c r="E15" s="35"/>
      <c r="F15" s="35"/>
      <c r="G15" s="35"/>
      <c r="H15" s="35"/>
      <c r="I15" s="35"/>
      <c r="J15" s="35"/>
      <c r="K15" s="35"/>
      <c r="L15" s="35"/>
      <c r="M15" s="50">
        <f>SUM(M5:M14)</f>
        <v>7914297.5</v>
      </c>
      <c r="N15" s="50"/>
      <c r="O15" s="50"/>
    </row>
    <row r="16" spans="1:15" ht="8.25" customHeight="1"/>
    <row r="17" spans="1:15" ht="18" customHeight="1">
      <c r="A17" s="94" t="s">
        <v>99</v>
      </c>
      <c r="B17" s="95"/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6"/>
    </row>
    <row r="18" spans="1:15" ht="18" customHeight="1">
      <c r="A18" s="28">
        <v>1</v>
      </c>
      <c r="B18" s="30" t="s">
        <v>72</v>
      </c>
      <c r="C18" s="57">
        <v>16</v>
      </c>
      <c r="D18" s="29">
        <v>1</v>
      </c>
      <c r="E18" s="29">
        <v>10260</v>
      </c>
      <c r="F18" s="29">
        <v>18360</v>
      </c>
      <c r="G18" s="29">
        <f t="shared" ref="G18:G26" si="13">E18*2</f>
        <v>20520</v>
      </c>
      <c r="H18" s="29">
        <f t="shared" ref="H18:H26" si="14">0.2*E18</f>
        <v>2052</v>
      </c>
      <c r="I18" s="29">
        <f>F18*12+G18+H18</f>
        <v>242892</v>
      </c>
      <c r="J18" s="59">
        <f t="shared" ref="J18:J26" si="15">K18*0.2</f>
        <v>60723</v>
      </c>
      <c r="K18" s="59">
        <f t="shared" ref="K18:K26" si="16">I18/0.8</f>
        <v>303615</v>
      </c>
      <c r="L18" s="29">
        <f t="shared" ref="L18:L26" si="17">K18/12</f>
        <v>25301.25</v>
      </c>
      <c r="M18" s="51">
        <f t="shared" ref="M18:M26" si="18">L18*D18*42</f>
        <v>1062652.5</v>
      </c>
      <c r="N18" s="52"/>
      <c r="O18" s="51"/>
    </row>
    <row r="19" spans="1:15" ht="18" customHeight="1">
      <c r="A19" s="28">
        <v>2</v>
      </c>
      <c r="B19" s="30" t="s">
        <v>40</v>
      </c>
      <c r="C19" s="57">
        <v>16</v>
      </c>
      <c r="D19" s="29">
        <v>5</v>
      </c>
      <c r="E19" s="29">
        <v>10260</v>
      </c>
      <c r="F19" s="29">
        <v>16760</v>
      </c>
      <c r="G19" s="29">
        <f t="shared" si="13"/>
        <v>20520</v>
      </c>
      <c r="H19" s="29">
        <f t="shared" si="14"/>
        <v>2052</v>
      </c>
      <c r="I19" s="29">
        <f>F19*12+G19+H19</f>
        <v>223692</v>
      </c>
      <c r="J19" s="59">
        <f t="shared" si="15"/>
        <v>55923</v>
      </c>
      <c r="K19" s="59">
        <f t="shared" si="16"/>
        <v>279615</v>
      </c>
      <c r="L19" s="29">
        <f t="shared" si="17"/>
        <v>23301.25</v>
      </c>
      <c r="M19" s="51">
        <f t="shared" si="18"/>
        <v>4893262.5</v>
      </c>
      <c r="N19" s="52"/>
      <c r="O19" s="51"/>
    </row>
    <row r="20" spans="1:15" ht="18" customHeight="1">
      <c r="A20" s="28">
        <v>3</v>
      </c>
      <c r="B20" s="29" t="s">
        <v>73</v>
      </c>
      <c r="C20" s="57">
        <v>16</v>
      </c>
      <c r="D20" s="29">
        <v>1</v>
      </c>
      <c r="E20" s="29">
        <v>10260</v>
      </c>
      <c r="F20" s="29">
        <v>18360</v>
      </c>
      <c r="G20" s="29">
        <f t="shared" si="13"/>
        <v>20520</v>
      </c>
      <c r="H20" s="29">
        <f t="shared" si="14"/>
        <v>2052</v>
      </c>
      <c r="I20" s="29">
        <f>F20*12+G20+H20</f>
        <v>242892</v>
      </c>
      <c r="J20" s="59">
        <f t="shared" si="15"/>
        <v>60723</v>
      </c>
      <c r="K20" s="59">
        <f t="shared" si="16"/>
        <v>303615</v>
      </c>
      <c r="L20" s="29">
        <f t="shared" si="17"/>
        <v>25301.25</v>
      </c>
      <c r="M20" s="51">
        <f t="shared" si="18"/>
        <v>1062652.5</v>
      </c>
      <c r="N20" s="52"/>
      <c r="O20" s="51"/>
    </row>
    <row r="21" spans="1:15" ht="18" customHeight="1">
      <c r="A21" s="28">
        <v>4</v>
      </c>
      <c r="B21" s="29" t="s">
        <v>42</v>
      </c>
      <c r="C21" s="57">
        <v>16</v>
      </c>
      <c r="D21" s="29">
        <v>5</v>
      </c>
      <c r="E21" s="29">
        <v>10260</v>
      </c>
      <c r="F21" s="29">
        <v>16760</v>
      </c>
      <c r="G21" s="29">
        <f t="shared" si="13"/>
        <v>20520</v>
      </c>
      <c r="H21" s="29">
        <f t="shared" si="14"/>
        <v>2052</v>
      </c>
      <c r="I21" s="29">
        <f>F21*12+G21+H21</f>
        <v>223692</v>
      </c>
      <c r="J21" s="59">
        <f t="shared" si="15"/>
        <v>55923</v>
      </c>
      <c r="K21" s="59">
        <f t="shared" si="16"/>
        <v>279615</v>
      </c>
      <c r="L21" s="29">
        <f t="shared" si="17"/>
        <v>23301.25</v>
      </c>
      <c r="M21" s="51">
        <f t="shared" si="18"/>
        <v>4893262.5</v>
      </c>
      <c r="N21" s="52"/>
      <c r="O21" s="51"/>
    </row>
    <row r="22" spans="1:15">
      <c r="A22" s="28">
        <v>5</v>
      </c>
      <c r="B22" s="30" t="s">
        <v>92</v>
      </c>
      <c r="C22" s="57">
        <v>16</v>
      </c>
      <c r="D22" s="29">
        <v>5</v>
      </c>
      <c r="E22" s="29">
        <v>10260</v>
      </c>
      <c r="F22" s="29">
        <v>16760</v>
      </c>
      <c r="G22" s="29">
        <f t="shared" si="13"/>
        <v>20520</v>
      </c>
      <c r="H22" s="29">
        <f t="shared" si="14"/>
        <v>2052</v>
      </c>
      <c r="I22" s="29">
        <f>F22*12+G22+H22</f>
        <v>223692</v>
      </c>
      <c r="J22" s="59">
        <f t="shared" si="15"/>
        <v>55923</v>
      </c>
      <c r="K22" s="59">
        <f t="shared" si="16"/>
        <v>279615</v>
      </c>
      <c r="L22" s="29">
        <f t="shared" si="17"/>
        <v>23301.25</v>
      </c>
      <c r="M22" s="51">
        <f t="shared" si="18"/>
        <v>4893262.5</v>
      </c>
      <c r="N22" s="52"/>
      <c r="O22" s="51"/>
    </row>
    <row r="23" spans="1:15">
      <c r="A23" s="28">
        <v>6</v>
      </c>
      <c r="B23" s="29" t="s">
        <v>74</v>
      </c>
      <c r="C23" s="57">
        <v>20</v>
      </c>
      <c r="D23" s="29">
        <v>2</v>
      </c>
      <c r="E23" s="29">
        <v>9110</v>
      </c>
      <c r="F23" s="59">
        <v>16731.5</v>
      </c>
      <c r="G23" s="29">
        <f t="shared" si="13"/>
        <v>18220</v>
      </c>
      <c r="H23" s="29">
        <f t="shared" si="14"/>
        <v>1822</v>
      </c>
      <c r="I23" s="29">
        <f t="shared" ref="I23:I26" si="19">F23*12+G23+H23</f>
        <v>220820</v>
      </c>
      <c r="J23" s="59">
        <f t="shared" si="15"/>
        <v>55205</v>
      </c>
      <c r="K23" s="59">
        <f t="shared" si="16"/>
        <v>276025</v>
      </c>
      <c r="L23" s="29">
        <f t="shared" si="17"/>
        <v>23002.083333333332</v>
      </c>
      <c r="M23" s="51">
        <f t="shared" si="18"/>
        <v>1932175</v>
      </c>
      <c r="N23" s="52"/>
      <c r="O23" s="51"/>
    </row>
    <row r="24" spans="1:15" ht="18" customHeight="1">
      <c r="A24" s="28">
        <v>7</v>
      </c>
      <c r="B24" s="29" t="s">
        <v>44</v>
      </c>
      <c r="C24" s="57">
        <v>20</v>
      </c>
      <c r="D24" s="29">
        <v>5</v>
      </c>
      <c r="E24" s="29">
        <v>9110</v>
      </c>
      <c r="F24" s="29">
        <v>15365</v>
      </c>
      <c r="G24" s="29">
        <f t="shared" si="13"/>
        <v>18220</v>
      </c>
      <c r="H24" s="29">
        <f t="shared" si="14"/>
        <v>1822</v>
      </c>
      <c r="I24" s="29">
        <f t="shared" si="19"/>
        <v>204422</v>
      </c>
      <c r="J24" s="59">
        <f t="shared" si="15"/>
        <v>51105.5</v>
      </c>
      <c r="K24" s="59">
        <f t="shared" si="16"/>
        <v>255527.5</v>
      </c>
      <c r="L24" s="29">
        <f t="shared" si="17"/>
        <v>21293.958333333332</v>
      </c>
      <c r="M24" s="51">
        <f t="shared" si="18"/>
        <v>4471731.25</v>
      </c>
      <c r="N24" s="52"/>
      <c r="O24" s="51"/>
    </row>
    <row r="25" spans="1:15" ht="18" customHeight="1">
      <c r="A25" s="28">
        <v>8</v>
      </c>
      <c r="B25" s="29" t="s">
        <v>75</v>
      </c>
      <c r="C25" s="57">
        <v>20</v>
      </c>
      <c r="D25" s="29">
        <v>1</v>
      </c>
      <c r="E25" s="29">
        <v>9110</v>
      </c>
      <c r="F25" s="59">
        <v>16731.5</v>
      </c>
      <c r="G25" s="29">
        <f t="shared" si="13"/>
        <v>18220</v>
      </c>
      <c r="H25" s="29">
        <f t="shared" si="14"/>
        <v>1822</v>
      </c>
      <c r="I25" s="29">
        <f t="shared" si="19"/>
        <v>220820</v>
      </c>
      <c r="J25" s="59">
        <f t="shared" si="15"/>
        <v>55205</v>
      </c>
      <c r="K25" s="59">
        <f t="shared" si="16"/>
        <v>276025</v>
      </c>
      <c r="L25" s="29">
        <f t="shared" si="17"/>
        <v>23002.083333333332</v>
      </c>
      <c r="M25" s="51">
        <f t="shared" si="18"/>
        <v>966087.5</v>
      </c>
      <c r="N25" s="52"/>
      <c r="O25" s="51"/>
    </row>
    <row r="26" spans="1:15">
      <c r="A26" s="28">
        <v>9</v>
      </c>
      <c r="B26" s="29" t="s">
        <v>46</v>
      </c>
      <c r="C26" s="57">
        <v>20</v>
      </c>
      <c r="D26" s="29">
        <v>5</v>
      </c>
      <c r="E26" s="29">
        <v>9110</v>
      </c>
      <c r="F26" s="29">
        <v>15365</v>
      </c>
      <c r="G26" s="29">
        <f t="shared" si="13"/>
        <v>18220</v>
      </c>
      <c r="H26" s="29">
        <f t="shared" si="14"/>
        <v>1822</v>
      </c>
      <c r="I26" s="29">
        <f t="shared" si="19"/>
        <v>204422</v>
      </c>
      <c r="J26" s="59">
        <f t="shared" si="15"/>
        <v>51105.5</v>
      </c>
      <c r="K26" s="59">
        <f t="shared" si="16"/>
        <v>255527.5</v>
      </c>
      <c r="L26" s="29">
        <f t="shared" si="17"/>
        <v>21293.958333333332</v>
      </c>
      <c r="M26" s="51">
        <f t="shared" si="18"/>
        <v>4471731.25</v>
      </c>
      <c r="N26" s="52"/>
      <c r="O26" s="51"/>
    </row>
    <row r="27" spans="1:15" ht="17.25" customHeight="1">
      <c r="A27" s="28"/>
      <c r="B27" s="34" t="s">
        <v>6</v>
      </c>
      <c r="C27" s="34"/>
      <c r="D27" s="35">
        <f>SUM(D17:D26)</f>
        <v>30</v>
      </c>
      <c r="E27" s="35"/>
      <c r="F27" s="35"/>
      <c r="G27" s="35"/>
      <c r="H27" s="35"/>
      <c r="I27" s="35"/>
      <c r="J27" s="35"/>
      <c r="K27" s="35"/>
      <c r="L27" s="35"/>
      <c r="M27" s="50">
        <f>SUM(M17:M26)</f>
        <v>28646817.5</v>
      </c>
      <c r="N27" s="50"/>
      <c r="O27" s="50"/>
    </row>
    <row r="28" spans="1:15" ht="17.25" customHeight="1">
      <c r="A28" s="28"/>
      <c r="B28" s="34" t="s">
        <v>94</v>
      </c>
      <c r="C28" s="34"/>
      <c r="D28" s="35"/>
      <c r="E28" s="35"/>
      <c r="F28" s="35"/>
      <c r="G28" s="35"/>
      <c r="H28" s="35"/>
      <c r="I28" s="35"/>
      <c r="J28" s="35"/>
      <c r="K28" s="35"/>
      <c r="L28" s="35"/>
      <c r="M28" s="50">
        <f>M15+M27</f>
        <v>36561115</v>
      </c>
      <c r="N28" s="50">
        <v>7318944</v>
      </c>
      <c r="O28" s="50">
        <f>N28+M28</f>
        <v>43880059</v>
      </c>
    </row>
    <row r="29" spans="1:15" ht="15.75">
      <c r="A29" s="36" t="s">
        <v>78</v>
      </c>
    </row>
    <row r="31" spans="1:15" ht="18.75">
      <c r="A31" s="76" t="s">
        <v>70</v>
      </c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</row>
    <row r="32" spans="1:15" ht="18.75">
      <c r="A32" s="77" t="s">
        <v>71</v>
      </c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</row>
    <row r="33" spans="1:15" ht="76.5">
      <c r="A33" s="24" t="s">
        <v>36</v>
      </c>
      <c r="B33" s="25" t="s">
        <v>33</v>
      </c>
      <c r="C33" s="55" t="s">
        <v>88</v>
      </c>
      <c r="D33" s="56" t="s">
        <v>34</v>
      </c>
      <c r="E33" s="26" t="s">
        <v>58</v>
      </c>
      <c r="F33" s="26" t="s">
        <v>35</v>
      </c>
      <c r="G33" s="26" t="s">
        <v>61</v>
      </c>
      <c r="H33" s="26" t="s">
        <v>62</v>
      </c>
      <c r="I33" s="26" t="s">
        <v>63</v>
      </c>
      <c r="J33" s="26" t="s">
        <v>90</v>
      </c>
      <c r="K33" s="26" t="s">
        <v>64</v>
      </c>
      <c r="L33" s="26" t="s">
        <v>65</v>
      </c>
      <c r="M33" s="27" t="s">
        <v>89</v>
      </c>
      <c r="N33" s="27" t="s">
        <v>91</v>
      </c>
      <c r="O33" s="24" t="s">
        <v>66</v>
      </c>
    </row>
    <row r="34" spans="1:15">
      <c r="A34" s="24">
        <v>1</v>
      </c>
      <c r="B34" s="25">
        <v>2</v>
      </c>
      <c r="C34" s="26">
        <v>3</v>
      </c>
      <c r="D34" s="26">
        <v>4</v>
      </c>
      <c r="E34" s="26">
        <v>5</v>
      </c>
      <c r="F34" s="26">
        <v>6</v>
      </c>
      <c r="G34" s="26">
        <v>7</v>
      </c>
      <c r="H34" s="26">
        <v>8</v>
      </c>
      <c r="I34" s="26">
        <v>9</v>
      </c>
      <c r="J34" s="26">
        <v>10</v>
      </c>
      <c r="K34" s="26">
        <v>11</v>
      </c>
      <c r="L34" s="24">
        <v>12</v>
      </c>
      <c r="M34" s="27">
        <v>13</v>
      </c>
      <c r="N34" s="24">
        <v>15</v>
      </c>
      <c r="O34" s="24">
        <v>16</v>
      </c>
    </row>
    <row r="35" spans="1:15">
      <c r="A35" s="94" t="s">
        <v>100</v>
      </c>
      <c r="B35" s="95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6"/>
    </row>
    <row r="36" spans="1:15" ht="18" customHeight="1">
      <c r="A36" s="28">
        <v>1</v>
      </c>
      <c r="B36" s="29" t="s">
        <v>23</v>
      </c>
      <c r="C36" s="57">
        <v>14</v>
      </c>
      <c r="D36" s="29">
        <v>65</v>
      </c>
      <c r="E36" s="29">
        <v>10710</v>
      </c>
      <c r="F36" s="59">
        <v>17229.5</v>
      </c>
      <c r="G36" s="29">
        <f t="shared" ref="G36" si="20">E36*2</f>
        <v>21420</v>
      </c>
      <c r="H36" s="29">
        <f t="shared" ref="H36" si="21">0.2*E36</f>
        <v>2142</v>
      </c>
      <c r="I36" s="29">
        <f t="shared" ref="I36" si="22">F36*12+G36+H36</f>
        <v>230316</v>
      </c>
      <c r="J36" s="59">
        <f>K36*0.2</f>
        <v>57579</v>
      </c>
      <c r="K36" s="59">
        <f>I36/0.8</f>
        <v>287895</v>
      </c>
      <c r="L36" s="29">
        <f t="shared" ref="L36" si="23">K36/12</f>
        <v>23991.25</v>
      </c>
      <c r="M36" s="51">
        <f>L36*D36*24</f>
        <v>37426350</v>
      </c>
      <c r="N36" s="51"/>
      <c r="O36" s="51"/>
    </row>
    <row r="37" spans="1:15" ht="18" customHeight="1">
      <c r="A37" s="28"/>
      <c r="B37" s="34" t="s">
        <v>6</v>
      </c>
      <c r="C37" s="34"/>
      <c r="D37" s="35">
        <f>SUM(D36:D36)</f>
        <v>65</v>
      </c>
      <c r="E37" s="35"/>
      <c r="F37" s="35"/>
      <c r="G37" s="35"/>
      <c r="H37" s="35"/>
      <c r="I37" s="35"/>
      <c r="J37" s="35"/>
      <c r="K37" s="35"/>
      <c r="L37" s="35"/>
      <c r="M37" s="50">
        <f>SUM(M36:M36)</f>
        <v>37426350</v>
      </c>
      <c r="N37" s="50"/>
      <c r="O37" s="50"/>
    </row>
    <row r="38" spans="1:15">
      <c r="A38" s="28"/>
      <c r="B38" s="29"/>
      <c r="C38" s="57"/>
      <c r="D38" s="29"/>
      <c r="E38" s="29"/>
      <c r="F38" s="29"/>
      <c r="G38" s="29"/>
      <c r="H38" s="29"/>
      <c r="I38" s="29"/>
      <c r="J38" s="59"/>
      <c r="K38" s="59"/>
      <c r="L38" s="29"/>
      <c r="M38" s="51"/>
      <c r="N38" s="52"/>
      <c r="O38" s="51"/>
    </row>
    <row r="39" spans="1:15">
      <c r="A39" s="94" t="s">
        <v>93</v>
      </c>
      <c r="B39" s="9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6"/>
    </row>
    <row r="40" spans="1:15" ht="18" customHeight="1">
      <c r="A40" s="28">
        <v>1</v>
      </c>
      <c r="B40" s="29" t="s">
        <v>23</v>
      </c>
      <c r="C40" s="57">
        <v>14</v>
      </c>
      <c r="D40" s="29">
        <v>65</v>
      </c>
      <c r="E40" s="29">
        <v>11250</v>
      </c>
      <c r="F40" s="59">
        <v>18012.5</v>
      </c>
      <c r="G40" s="29">
        <f t="shared" ref="G40" si="24">E40*2</f>
        <v>22500</v>
      </c>
      <c r="H40" s="29">
        <f t="shared" ref="H40" si="25">0.2*E40</f>
        <v>2250</v>
      </c>
      <c r="I40" s="29">
        <f t="shared" ref="I40" si="26">F40*12+G40+H40</f>
        <v>240900</v>
      </c>
      <c r="J40" s="59">
        <f>K40*0.2</f>
        <v>60225</v>
      </c>
      <c r="K40" s="59">
        <f>I40/0.8</f>
        <v>301125</v>
      </c>
      <c r="L40" s="29">
        <f t="shared" ref="L40" si="27">K40/12</f>
        <v>25093.75</v>
      </c>
      <c r="M40" s="51">
        <f>L40*D40*30</f>
        <v>48932812.5</v>
      </c>
      <c r="N40" s="51"/>
      <c r="O40" s="51"/>
    </row>
    <row r="41" spans="1:15" ht="18" customHeight="1">
      <c r="A41" s="28"/>
      <c r="B41" s="34" t="s">
        <v>6</v>
      </c>
      <c r="C41" s="34"/>
      <c r="D41" s="35">
        <f>SUM(D40:D40)</f>
        <v>65</v>
      </c>
      <c r="E41" s="35"/>
      <c r="F41" s="35"/>
      <c r="G41" s="35"/>
      <c r="H41" s="35"/>
      <c r="I41" s="35"/>
      <c r="J41" s="35"/>
      <c r="K41" s="35"/>
      <c r="L41" s="35"/>
      <c r="M41" s="50">
        <f>SUM(M40:M40)</f>
        <v>48932812.5</v>
      </c>
      <c r="N41" s="50"/>
      <c r="O41" s="50"/>
    </row>
    <row r="42" spans="1:15" ht="17.25" customHeight="1">
      <c r="A42" s="28"/>
      <c r="B42" s="34" t="s">
        <v>94</v>
      </c>
      <c r="C42" s="34"/>
      <c r="D42" s="35"/>
      <c r="E42" s="35"/>
      <c r="F42" s="35"/>
      <c r="G42" s="35"/>
      <c r="H42" s="35"/>
      <c r="I42" s="35"/>
      <c r="J42" s="35"/>
      <c r="K42" s="35"/>
      <c r="L42" s="35"/>
      <c r="M42" s="50">
        <f>M37+M41</f>
        <v>86359162.5</v>
      </c>
      <c r="N42" s="50">
        <v>22721217</v>
      </c>
      <c r="O42" s="50">
        <f>N42+M42</f>
        <v>109080379.5</v>
      </c>
    </row>
    <row r="43" spans="1:15" ht="17.25" customHeight="1">
      <c r="A43" s="46"/>
      <c r="B43" s="40"/>
      <c r="C43" s="40"/>
      <c r="D43" s="41"/>
      <c r="E43" s="41"/>
      <c r="F43" s="41"/>
      <c r="G43" s="41"/>
      <c r="H43" s="41"/>
      <c r="I43" s="41"/>
      <c r="J43" s="41"/>
      <c r="K43" s="41"/>
      <c r="L43" s="41"/>
      <c r="M43" s="60"/>
      <c r="N43" s="60"/>
      <c r="O43" s="60"/>
    </row>
    <row r="44" spans="1:15">
      <c r="A44" s="94" t="s">
        <v>96</v>
      </c>
      <c r="B44" s="95"/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6"/>
    </row>
    <row r="45" spans="1:15" ht="18" customHeight="1">
      <c r="A45" s="28">
        <v>1</v>
      </c>
      <c r="B45" s="29" t="s">
        <v>23</v>
      </c>
      <c r="C45" s="57">
        <v>14</v>
      </c>
      <c r="D45" s="29">
        <v>11</v>
      </c>
      <c r="E45" s="29"/>
      <c r="F45" s="59"/>
      <c r="G45" s="29"/>
      <c r="H45" s="29"/>
      <c r="I45" s="29"/>
      <c r="J45" s="59"/>
      <c r="K45" s="59"/>
      <c r="L45" s="29"/>
      <c r="M45" s="51">
        <f>192122*4+213327</f>
        <v>981815</v>
      </c>
      <c r="N45" s="51"/>
      <c r="O45" s="51"/>
    </row>
    <row r="46" spans="1:15" ht="18" customHeight="1">
      <c r="A46" s="28"/>
      <c r="B46" s="34" t="s">
        <v>6</v>
      </c>
      <c r="C46" s="34"/>
      <c r="D46" s="35"/>
      <c r="E46" s="35"/>
      <c r="F46" s="35"/>
      <c r="G46" s="35"/>
      <c r="H46" s="35"/>
      <c r="I46" s="35"/>
      <c r="J46" s="35"/>
      <c r="K46" s="35"/>
      <c r="L46" s="35"/>
      <c r="M46" s="50">
        <f>SUM(M45:M45)</f>
        <v>981815</v>
      </c>
      <c r="N46" s="50"/>
      <c r="O46" s="50"/>
    </row>
    <row r="47" spans="1:15">
      <c r="A47" s="94" t="s">
        <v>95</v>
      </c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6"/>
    </row>
    <row r="48" spans="1:15" ht="18" customHeight="1">
      <c r="A48" s="28">
        <v>1</v>
      </c>
      <c r="B48" s="29" t="s">
        <v>23</v>
      </c>
      <c r="C48" s="57">
        <v>14</v>
      </c>
      <c r="D48" s="29">
        <v>11</v>
      </c>
      <c r="E48" s="29">
        <v>10710</v>
      </c>
      <c r="F48" s="59">
        <v>17229.5</v>
      </c>
      <c r="G48" s="29">
        <f t="shared" ref="G48" si="28">E48*2</f>
        <v>21420</v>
      </c>
      <c r="H48" s="29">
        <f t="shared" ref="H48" si="29">0.2*E48</f>
        <v>2142</v>
      </c>
      <c r="I48" s="29">
        <f t="shared" ref="I48" si="30">F48*12+G48+H48</f>
        <v>230316</v>
      </c>
      <c r="J48" s="59">
        <f>K48*0.2</f>
        <v>57579</v>
      </c>
      <c r="K48" s="59">
        <f>I48/0.8</f>
        <v>287895</v>
      </c>
      <c r="L48" s="29">
        <f t="shared" ref="L48" si="31">K48/12</f>
        <v>23991.25</v>
      </c>
      <c r="M48" s="51">
        <f>L48*D48*24</f>
        <v>6333690</v>
      </c>
      <c r="N48" s="51"/>
      <c r="O48" s="51"/>
    </row>
    <row r="49" spans="1:15" ht="18" customHeight="1">
      <c r="A49" s="28"/>
      <c r="B49" s="34" t="s">
        <v>6</v>
      </c>
      <c r="C49" s="34"/>
      <c r="D49" s="35"/>
      <c r="E49" s="35"/>
      <c r="F49" s="35"/>
      <c r="G49" s="35"/>
      <c r="H49" s="35"/>
      <c r="I49" s="35"/>
      <c r="J49" s="35"/>
      <c r="K49" s="35"/>
      <c r="L49" s="35"/>
      <c r="M49" s="50">
        <f>SUM(M48:M48)</f>
        <v>6333690</v>
      </c>
      <c r="N49" s="50"/>
      <c r="O49" s="50"/>
    </row>
    <row r="50" spans="1:15">
      <c r="A50" s="28"/>
      <c r="B50" s="29"/>
      <c r="C50" s="57"/>
      <c r="D50" s="29"/>
      <c r="E50" s="29"/>
      <c r="F50" s="29"/>
      <c r="G50" s="29"/>
      <c r="H50" s="29"/>
      <c r="I50" s="29"/>
      <c r="J50" s="59"/>
      <c r="K50" s="59"/>
      <c r="L50" s="29"/>
      <c r="M50" s="51"/>
      <c r="N50" s="52"/>
      <c r="O50" s="51"/>
    </row>
    <row r="51" spans="1:15">
      <c r="A51" s="94" t="s">
        <v>101</v>
      </c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6"/>
    </row>
    <row r="52" spans="1:15" ht="18" customHeight="1">
      <c r="A52" s="28">
        <v>1</v>
      </c>
      <c r="B52" s="29" t="s">
        <v>23</v>
      </c>
      <c r="C52" s="57">
        <v>14</v>
      </c>
      <c r="D52" s="29">
        <v>11</v>
      </c>
      <c r="E52" s="29">
        <v>11250</v>
      </c>
      <c r="F52" s="59">
        <v>18012.5</v>
      </c>
      <c r="G52" s="29">
        <f t="shared" ref="G52" si="32">E52*2</f>
        <v>22500</v>
      </c>
      <c r="H52" s="29">
        <f t="shared" ref="H52" si="33">0.2*E52</f>
        <v>2250</v>
      </c>
      <c r="I52" s="29">
        <f t="shared" ref="I52" si="34">F52*12+G52+H52</f>
        <v>240900</v>
      </c>
      <c r="J52" s="59">
        <f>K52*0.2</f>
        <v>60225</v>
      </c>
      <c r="K52" s="59">
        <f>I52/0.8</f>
        <v>301125</v>
      </c>
      <c r="L52" s="29">
        <f t="shared" ref="L52" si="35">K52/12</f>
        <v>25093.75</v>
      </c>
      <c r="M52" s="51">
        <f>L52*D52*25</f>
        <v>6900781.25</v>
      </c>
      <c r="N52" s="51"/>
      <c r="O52" s="51"/>
    </row>
    <row r="53" spans="1:15" ht="18" customHeight="1">
      <c r="A53" s="28"/>
      <c r="B53" s="34" t="s">
        <v>6</v>
      </c>
      <c r="C53" s="34"/>
      <c r="D53" s="35"/>
      <c r="E53" s="35"/>
      <c r="F53" s="35"/>
      <c r="G53" s="35"/>
      <c r="H53" s="35"/>
      <c r="I53" s="35"/>
      <c r="J53" s="35"/>
      <c r="K53" s="35"/>
      <c r="L53" s="35"/>
      <c r="M53" s="50">
        <f>SUM(M52:M52)</f>
        <v>6900781.25</v>
      </c>
      <c r="N53" s="50"/>
      <c r="O53" s="50"/>
    </row>
    <row r="54" spans="1:15" ht="17.25" customHeight="1">
      <c r="A54" s="28"/>
      <c r="B54" s="34" t="s">
        <v>94</v>
      </c>
      <c r="C54" s="34"/>
      <c r="D54" s="35"/>
      <c r="E54" s="35"/>
      <c r="F54" s="35"/>
      <c r="G54" s="35"/>
      <c r="H54" s="35"/>
      <c r="I54" s="35"/>
      <c r="J54" s="35"/>
      <c r="K54" s="35"/>
      <c r="L54" s="35"/>
      <c r="M54" s="50">
        <f>M49+M53+M46</f>
        <v>14216286.25</v>
      </c>
      <c r="N54" s="50">
        <v>2927680</v>
      </c>
      <c r="O54" s="50">
        <f>N54+M54</f>
        <v>17143966.25</v>
      </c>
    </row>
    <row r="55" spans="1:15" ht="17.25" customHeight="1">
      <c r="A55" s="46"/>
      <c r="B55" s="40"/>
      <c r="C55" s="40"/>
      <c r="D55" s="41"/>
      <c r="E55" s="41"/>
      <c r="F55" s="41"/>
      <c r="G55" s="41"/>
      <c r="H55" s="41"/>
      <c r="I55" s="41"/>
      <c r="J55" s="41"/>
      <c r="K55" s="41"/>
      <c r="L55" s="41"/>
      <c r="M55" s="60"/>
      <c r="N55" s="60"/>
      <c r="O55" s="60"/>
    </row>
    <row r="56" spans="1:15" ht="17.25" customHeight="1">
      <c r="A56" s="61"/>
      <c r="B56" s="93" t="s">
        <v>97</v>
      </c>
      <c r="C56" s="93"/>
      <c r="D56" s="93"/>
      <c r="E56" s="93"/>
      <c r="F56" s="93"/>
      <c r="G56" s="62"/>
      <c r="H56" s="62"/>
      <c r="I56" s="62"/>
      <c r="J56" s="62"/>
      <c r="K56" s="62"/>
      <c r="L56" s="62"/>
      <c r="M56" s="63"/>
      <c r="N56" s="64"/>
      <c r="O56" s="50">
        <f>O54+O42+O28</f>
        <v>170104404.75</v>
      </c>
    </row>
    <row r="57" spans="1:15" ht="15.75">
      <c r="A57" s="36" t="s">
        <v>78</v>
      </c>
    </row>
  </sheetData>
  <mergeCells count="12">
    <mergeCell ref="A5:O5"/>
    <mergeCell ref="A17:O17"/>
    <mergeCell ref="A31:O31"/>
    <mergeCell ref="A32:O32"/>
    <mergeCell ref="A1:O1"/>
    <mergeCell ref="A2:O2"/>
    <mergeCell ref="B56:F56"/>
    <mergeCell ref="A35:O35"/>
    <mergeCell ref="A39:O39"/>
    <mergeCell ref="A47:O47"/>
    <mergeCell ref="A51:O51"/>
    <mergeCell ref="A44:O44"/>
  </mergeCells>
  <pageMargins left="0.39" right="0.17" top="0.75" bottom="0.75" header="0.3" footer="0.3"/>
  <pageSetup paperSize="9" scale="90" orientation="landscape" r:id="rId1"/>
  <rowBreaks count="1" manualBreakCount="1">
    <brk id="29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>
  <dimension ref="A1:O35"/>
  <sheetViews>
    <sheetView tabSelected="1" topLeftCell="A22" workbookViewId="0">
      <selection activeCell="Q9" sqref="Q9"/>
    </sheetView>
  </sheetViews>
  <sheetFormatPr defaultRowHeight="15"/>
  <cols>
    <col min="1" max="1" width="3.140625" style="36" customWidth="1"/>
    <col min="2" max="2" width="36.5703125" style="23" customWidth="1"/>
    <col min="3" max="3" width="4" style="23" customWidth="1"/>
    <col min="4" max="4" width="4.28515625" style="23" customWidth="1"/>
    <col min="5" max="5" width="7.28515625" style="23" customWidth="1"/>
    <col min="6" max="6" width="8.28515625" style="23" customWidth="1"/>
    <col min="7" max="7" width="8.7109375" style="23" customWidth="1"/>
    <col min="8" max="8" width="9.7109375" style="23" customWidth="1"/>
    <col min="9" max="9" width="10.5703125" style="23" customWidth="1"/>
    <col min="10" max="10" width="9.7109375" style="23" customWidth="1"/>
    <col min="11" max="11" width="10.85546875" style="23" customWidth="1"/>
    <col min="12" max="12" width="9.140625" style="23"/>
    <col min="13" max="13" width="14.85546875" style="23" customWidth="1"/>
    <col min="14" max="14" width="14" style="23" customWidth="1"/>
    <col min="15" max="15" width="15" style="23" customWidth="1"/>
    <col min="16" max="16" width="9.140625" style="23"/>
    <col min="17" max="17" width="14.28515625" style="23" bestFit="1" customWidth="1"/>
    <col min="18" max="16384" width="9.140625" style="23"/>
  </cols>
  <sheetData>
    <row r="1" spans="1:15" ht="18.75" customHeight="1">
      <c r="A1" s="76" t="s">
        <v>70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</row>
    <row r="2" spans="1:15" ht="18.75">
      <c r="A2" s="77" t="s">
        <v>71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</row>
    <row r="3" spans="1:15" ht="79.5" customHeight="1">
      <c r="A3" s="24" t="s">
        <v>36</v>
      </c>
      <c r="B3" s="25" t="s">
        <v>33</v>
      </c>
      <c r="C3" s="55" t="s">
        <v>88</v>
      </c>
      <c r="D3" s="56" t="s">
        <v>34</v>
      </c>
      <c r="E3" s="26" t="s">
        <v>58</v>
      </c>
      <c r="F3" s="26" t="s">
        <v>35</v>
      </c>
      <c r="G3" s="26" t="s">
        <v>61</v>
      </c>
      <c r="H3" s="26" t="s">
        <v>62</v>
      </c>
      <c r="I3" s="26" t="s">
        <v>63</v>
      </c>
      <c r="J3" s="26" t="s">
        <v>90</v>
      </c>
      <c r="K3" s="26" t="s">
        <v>64</v>
      </c>
      <c r="L3" s="26" t="s">
        <v>65</v>
      </c>
      <c r="M3" s="27" t="s">
        <v>89</v>
      </c>
      <c r="N3" s="27" t="s">
        <v>91</v>
      </c>
      <c r="O3" s="24" t="s">
        <v>66</v>
      </c>
    </row>
    <row r="4" spans="1:15" ht="15.75" customHeight="1">
      <c r="A4" s="24">
        <v>1</v>
      </c>
      <c r="B4" s="25">
        <v>2</v>
      </c>
      <c r="C4" s="26">
        <v>3</v>
      </c>
      <c r="D4" s="26">
        <v>4</v>
      </c>
      <c r="E4" s="26">
        <v>5</v>
      </c>
      <c r="F4" s="26">
        <v>6</v>
      </c>
      <c r="G4" s="26">
        <v>7</v>
      </c>
      <c r="H4" s="26">
        <v>8</v>
      </c>
      <c r="I4" s="26">
        <v>9</v>
      </c>
      <c r="J4" s="26">
        <v>10</v>
      </c>
      <c r="K4" s="26">
        <v>11</v>
      </c>
      <c r="L4" s="24">
        <v>12</v>
      </c>
      <c r="M4" s="27">
        <v>13</v>
      </c>
      <c r="N4" s="24">
        <v>15</v>
      </c>
      <c r="O4" s="24">
        <v>16</v>
      </c>
    </row>
    <row r="5" spans="1:15">
      <c r="A5" s="94" t="s">
        <v>124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6"/>
    </row>
    <row r="6" spans="1:15" ht="18" customHeight="1">
      <c r="A6" s="28">
        <v>1</v>
      </c>
      <c r="B6" s="29" t="s">
        <v>102</v>
      </c>
      <c r="C6" s="58">
        <v>14</v>
      </c>
      <c r="D6" s="29">
        <v>65</v>
      </c>
      <c r="E6" s="29">
        <v>10710</v>
      </c>
      <c r="F6" s="59">
        <v>17229.5</v>
      </c>
      <c r="G6" s="29">
        <f t="shared" ref="G6:G7" si="0">E6*2</f>
        <v>21420</v>
      </c>
      <c r="H6" s="29">
        <f t="shared" ref="H6:H7" si="1">0.2*E6</f>
        <v>2142</v>
      </c>
      <c r="I6" s="29">
        <f t="shared" ref="I6:I7" si="2">F6*12+G6+H6</f>
        <v>230316</v>
      </c>
      <c r="J6" s="59">
        <f>K6*0.2</f>
        <v>57579</v>
      </c>
      <c r="K6" s="59">
        <f>I6/0.8</f>
        <v>287895</v>
      </c>
      <c r="L6" s="29">
        <f t="shared" ref="L6:L7" si="3">K6/12</f>
        <v>23991.25</v>
      </c>
      <c r="M6" s="51">
        <f>L6*D6*24</f>
        <v>37426350</v>
      </c>
      <c r="N6" s="51"/>
      <c r="O6" s="51"/>
    </row>
    <row r="7" spans="1:15" ht="18" customHeight="1">
      <c r="A7" s="28">
        <v>2</v>
      </c>
      <c r="B7" s="29" t="s">
        <v>103</v>
      </c>
      <c r="C7" s="58">
        <v>14</v>
      </c>
      <c r="D7" s="29">
        <v>65</v>
      </c>
      <c r="E7" s="29">
        <v>11250</v>
      </c>
      <c r="F7" s="59">
        <v>18012.5</v>
      </c>
      <c r="G7" s="29">
        <f t="shared" si="0"/>
        <v>22500</v>
      </c>
      <c r="H7" s="29">
        <f t="shared" si="1"/>
        <v>2250</v>
      </c>
      <c r="I7" s="29">
        <f t="shared" si="2"/>
        <v>240900</v>
      </c>
      <c r="J7" s="59">
        <f>K7*0.2</f>
        <v>60225</v>
      </c>
      <c r="K7" s="59">
        <f>I7/0.8</f>
        <v>301125</v>
      </c>
      <c r="L7" s="29">
        <f t="shared" si="3"/>
        <v>25093.75</v>
      </c>
      <c r="M7" s="51">
        <f>L7*D7*30</f>
        <v>48932812.5</v>
      </c>
      <c r="N7" s="51"/>
      <c r="O7" s="51"/>
    </row>
    <row r="8" spans="1:15" ht="18" customHeight="1">
      <c r="A8" s="28"/>
      <c r="B8" s="34" t="s">
        <v>125</v>
      </c>
      <c r="C8" s="34"/>
      <c r="D8" s="35"/>
      <c r="E8" s="35"/>
      <c r="F8" s="35"/>
      <c r="G8" s="35"/>
      <c r="H8" s="35"/>
      <c r="I8" s="35"/>
      <c r="J8" s="35"/>
      <c r="K8" s="35"/>
      <c r="L8" s="35"/>
      <c r="M8" s="50">
        <f>SUM(M6:M7)</f>
        <v>86359162.5</v>
      </c>
      <c r="N8" s="50">
        <v>22721217</v>
      </c>
      <c r="O8" s="50">
        <f>N8+M8</f>
        <v>109080379.5</v>
      </c>
    </row>
    <row r="9" spans="1:15">
      <c r="A9" s="94" t="s">
        <v>126</v>
      </c>
      <c r="B9" s="95"/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6"/>
    </row>
    <row r="10" spans="1:15" ht="18" customHeight="1">
      <c r="A10" s="28">
        <v>3</v>
      </c>
      <c r="B10" s="29" t="s">
        <v>104</v>
      </c>
      <c r="C10" s="58">
        <v>14</v>
      </c>
      <c r="D10" s="29">
        <v>11</v>
      </c>
      <c r="E10" s="29"/>
      <c r="F10" s="59"/>
      <c r="G10" s="29"/>
      <c r="H10" s="29"/>
      <c r="I10" s="29"/>
      <c r="J10" s="59"/>
      <c r="K10" s="59"/>
      <c r="L10" s="29"/>
      <c r="M10" s="51">
        <f>192122*4+213327</f>
        <v>981815</v>
      </c>
      <c r="N10" s="51"/>
      <c r="O10" s="51"/>
    </row>
    <row r="11" spans="1:15" ht="18" customHeight="1">
      <c r="A11" s="28">
        <v>4</v>
      </c>
      <c r="B11" s="29" t="s">
        <v>102</v>
      </c>
      <c r="C11" s="58">
        <v>14</v>
      </c>
      <c r="D11" s="29">
        <v>11</v>
      </c>
      <c r="E11" s="29">
        <v>10710</v>
      </c>
      <c r="F11" s="59">
        <v>17229.5</v>
      </c>
      <c r="G11" s="29">
        <f t="shared" ref="G11:G12" si="4">E11*2</f>
        <v>21420</v>
      </c>
      <c r="H11" s="29">
        <f t="shared" ref="H11:H12" si="5">0.2*E11</f>
        <v>2142</v>
      </c>
      <c r="I11" s="29">
        <f t="shared" ref="I11:I12" si="6">F11*12+G11+H11</f>
        <v>230316</v>
      </c>
      <c r="J11" s="59">
        <f>K11*0.2</f>
        <v>57579</v>
      </c>
      <c r="K11" s="59">
        <f>I11/0.8</f>
        <v>287895</v>
      </c>
      <c r="L11" s="29">
        <f t="shared" ref="L11:L12" si="7">K11/12</f>
        <v>23991.25</v>
      </c>
      <c r="M11" s="51">
        <f>L11*D11*24</f>
        <v>6333690</v>
      </c>
      <c r="N11" s="51"/>
      <c r="O11" s="51"/>
    </row>
    <row r="12" spans="1:15" ht="18" customHeight="1">
      <c r="A12" s="28">
        <v>5</v>
      </c>
      <c r="B12" s="29" t="s">
        <v>105</v>
      </c>
      <c r="C12" s="58">
        <v>14</v>
      </c>
      <c r="D12" s="29">
        <v>11</v>
      </c>
      <c r="E12" s="29">
        <v>11250</v>
      </c>
      <c r="F12" s="59">
        <v>18012.5</v>
      </c>
      <c r="G12" s="29">
        <f t="shared" si="4"/>
        <v>22500</v>
      </c>
      <c r="H12" s="29">
        <f t="shared" si="5"/>
        <v>2250</v>
      </c>
      <c r="I12" s="29">
        <f t="shared" si="6"/>
        <v>240900</v>
      </c>
      <c r="J12" s="59">
        <f>K12*0.2</f>
        <v>60225</v>
      </c>
      <c r="K12" s="59">
        <f>I12/0.8</f>
        <v>301125</v>
      </c>
      <c r="L12" s="29">
        <f t="shared" si="7"/>
        <v>25093.75</v>
      </c>
      <c r="M12" s="51">
        <f>L12*D12*25</f>
        <v>6900781.25</v>
      </c>
      <c r="N12" s="51"/>
      <c r="O12" s="51"/>
    </row>
    <row r="13" spans="1:15" ht="18" customHeight="1">
      <c r="A13" s="28"/>
      <c r="B13" s="34" t="s">
        <v>128</v>
      </c>
      <c r="C13" s="34"/>
      <c r="D13" s="35"/>
      <c r="E13" s="35"/>
      <c r="F13" s="35"/>
      <c r="G13" s="35"/>
      <c r="H13" s="35"/>
      <c r="I13" s="35"/>
      <c r="J13" s="35"/>
      <c r="K13" s="35"/>
      <c r="L13" s="35"/>
      <c r="M13" s="50">
        <f>SUM(M10:M12)</f>
        <v>14216286.25</v>
      </c>
      <c r="N13" s="50">
        <v>2927680</v>
      </c>
      <c r="O13" s="50">
        <f>N13+M13</f>
        <v>17143966.25</v>
      </c>
    </row>
    <row r="14" spans="1:15" ht="18" customHeight="1">
      <c r="A14" s="94" t="s">
        <v>98</v>
      </c>
      <c r="B14" s="95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6"/>
    </row>
    <row r="15" spans="1:15" ht="18" customHeight="1">
      <c r="A15" s="28">
        <v>6</v>
      </c>
      <c r="B15" s="65" t="s">
        <v>106</v>
      </c>
      <c r="C15" s="58">
        <v>16</v>
      </c>
      <c r="D15" s="29">
        <v>1</v>
      </c>
      <c r="E15" s="29">
        <v>9770</v>
      </c>
      <c r="F15" s="29">
        <v>17870</v>
      </c>
      <c r="G15" s="29">
        <f t="shared" ref="G15:G23" si="8">E15*2</f>
        <v>19540</v>
      </c>
      <c r="H15" s="29">
        <f t="shared" ref="H15:H23" si="9">0.2*E15</f>
        <v>1954</v>
      </c>
      <c r="I15" s="29">
        <f>F15*12+G15+H15</f>
        <v>235934</v>
      </c>
      <c r="J15" s="59">
        <f>K15*0.2</f>
        <v>58983.5</v>
      </c>
      <c r="K15" s="59">
        <f>I15/0.8</f>
        <v>294917.5</v>
      </c>
      <c r="L15" s="29">
        <f t="shared" ref="L15:L23" si="10">K15/12</f>
        <v>24576.458333333332</v>
      </c>
      <c r="M15" s="51">
        <f t="shared" ref="M15:M23" si="11">L15*D15*12</f>
        <v>294917.5</v>
      </c>
      <c r="N15" s="52"/>
      <c r="O15" s="51"/>
    </row>
    <row r="16" spans="1:15" ht="18" customHeight="1">
      <c r="A16" s="28">
        <v>7</v>
      </c>
      <c r="B16" s="65" t="s">
        <v>107</v>
      </c>
      <c r="C16" s="58">
        <v>16</v>
      </c>
      <c r="D16" s="29">
        <v>5</v>
      </c>
      <c r="E16" s="29">
        <v>9770</v>
      </c>
      <c r="F16" s="29">
        <v>16270</v>
      </c>
      <c r="G16" s="29">
        <f t="shared" si="8"/>
        <v>19540</v>
      </c>
      <c r="H16" s="29">
        <f t="shared" si="9"/>
        <v>1954</v>
      </c>
      <c r="I16" s="29">
        <f>F16*12+G16+H16</f>
        <v>216734</v>
      </c>
      <c r="J16" s="59">
        <f t="shared" ref="J16:J23" si="12">K16*0.2</f>
        <v>54183.5</v>
      </c>
      <c r="K16" s="59">
        <f t="shared" ref="K16:K23" si="13">I16/0.8</f>
        <v>270917.5</v>
      </c>
      <c r="L16" s="29">
        <f t="shared" si="10"/>
        <v>22576.458333333332</v>
      </c>
      <c r="M16" s="51">
        <f t="shared" si="11"/>
        <v>1354587.5</v>
      </c>
      <c r="N16" s="52"/>
      <c r="O16" s="51"/>
    </row>
    <row r="17" spans="1:15" ht="18" customHeight="1">
      <c r="A17" s="28">
        <v>8</v>
      </c>
      <c r="B17" s="66" t="s">
        <v>108</v>
      </c>
      <c r="C17" s="58">
        <v>16</v>
      </c>
      <c r="D17" s="29">
        <v>1</v>
      </c>
      <c r="E17" s="29">
        <v>9770</v>
      </c>
      <c r="F17" s="29">
        <v>17870</v>
      </c>
      <c r="G17" s="29">
        <f t="shared" si="8"/>
        <v>19540</v>
      </c>
      <c r="H17" s="29">
        <f t="shared" si="9"/>
        <v>1954</v>
      </c>
      <c r="I17" s="29">
        <f>F17*12+G17+H17</f>
        <v>235934</v>
      </c>
      <c r="J17" s="59">
        <f t="shared" si="12"/>
        <v>58983.5</v>
      </c>
      <c r="K17" s="59">
        <f t="shared" si="13"/>
        <v>294917.5</v>
      </c>
      <c r="L17" s="29">
        <f t="shared" si="10"/>
        <v>24576.458333333332</v>
      </c>
      <c r="M17" s="51">
        <f t="shared" si="11"/>
        <v>294917.5</v>
      </c>
      <c r="N17" s="52"/>
      <c r="O17" s="51"/>
    </row>
    <row r="18" spans="1:15" ht="18" customHeight="1">
      <c r="A18" s="28">
        <v>9</v>
      </c>
      <c r="B18" s="66" t="s">
        <v>109</v>
      </c>
      <c r="C18" s="58">
        <v>16</v>
      </c>
      <c r="D18" s="29">
        <v>5</v>
      </c>
      <c r="E18" s="29">
        <v>9770</v>
      </c>
      <c r="F18" s="29">
        <v>16270</v>
      </c>
      <c r="G18" s="29">
        <f t="shared" si="8"/>
        <v>19540</v>
      </c>
      <c r="H18" s="29">
        <f t="shared" si="9"/>
        <v>1954</v>
      </c>
      <c r="I18" s="29">
        <f>F18*12+G18+H18</f>
        <v>216734</v>
      </c>
      <c r="J18" s="59">
        <f t="shared" si="12"/>
        <v>54183.5</v>
      </c>
      <c r="K18" s="59">
        <f t="shared" si="13"/>
        <v>270917.5</v>
      </c>
      <c r="L18" s="29">
        <f t="shared" si="10"/>
        <v>22576.458333333332</v>
      </c>
      <c r="M18" s="51">
        <f t="shared" si="11"/>
        <v>1354587.5</v>
      </c>
      <c r="N18" s="52"/>
      <c r="O18" s="51"/>
    </row>
    <row r="19" spans="1:15" ht="16.5" customHeight="1">
      <c r="A19" s="28">
        <v>10</v>
      </c>
      <c r="B19" s="65" t="s">
        <v>110</v>
      </c>
      <c r="C19" s="58">
        <v>16</v>
      </c>
      <c r="D19" s="29">
        <v>5</v>
      </c>
      <c r="E19" s="29">
        <v>9770</v>
      </c>
      <c r="F19" s="29">
        <v>16270</v>
      </c>
      <c r="G19" s="29">
        <f t="shared" si="8"/>
        <v>19540</v>
      </c>
      <c r="H19" s="29">
        <f t="shared" si="9"/>
        <v>1954</v>
      </c>
      <c r="I19" s="29">
        <f>F19*12+G19+H19</f>
        <v>216734</v>
      </c>
      <c r="J19" s="59">
        <f t="shared" si="12"/>
        <v>54183.5</v>
      </c>
      <c r="K19" s="59">
        <f t="shared" si="13"/>
        <v>270917.5</v>
      </c>
      <c r="L19" s="29">
        <f t="shared" si="10"/>
        <v>22576.458333333332</v>
      </c>
      <c r="M19" s="51">
        <f t="shared" si="11"/>
        <v>1354587.5</v>
      </c>
      <c r="N19" s="52"/>
      <c r="O19" s="51"/>
    </row>
    <row r="20" spans="1:15">
      <c r="A20" s="28">
        <v>11</v>
      </c>
      <c r="B20" s="66" t="s">
        <v>111</v>
      </c>
      <c r="C20" s="58">
        <v>20</v>
      </c>
      <c r="D20" s="29">
        <v>2</v>
      </c>
      <c r="E20" s="29">
        <v>8670</v>
      </c>
      <c r="F20" s="59">
        <v>16005.5</v>
      </c>
      <c r="G20" s="29">
        <f t="shared" si="8"/>
        <v>17340</v>
      </c>
      <c r="H20" s="29">
        <f t="shared" si="9"/>
        <v>1734</v>
      </c>
      <c r="I20" s="29">
        <f t="shared" ref="I20:I23" si="14">F20*12+G20+H20</f>
        <v>211140</v>
      </c>
      <c r="J20" s="59">
        <f t="shared" si="12"/>
        <v>52785</v>
      </c>
      <c r="K20" s="59">
        <f t="shared" si="13"/>
        <v>263925</v>
      </c>
      <c r="L20" s="29">
        <f t="shared" si="10"/>
        <v>21993.75</v>
      </c>
      <c r="M20" s="51">
        <f t="shared" si="11"/>
        <v>527850</v>
      </c>
      <c r="N20" s="52"/>
      <c r="O20" s="51"/>
    </row>
    <row r="21" spans="1:15" ht="18" customHeight="1">
      <c r="A21" s="28">
        <v>12</v>
      </c>
      <c r="B21" s="66" t="s">
        <v>112</v>
      </c>
      <c r="C21" s="58">
        <v>20</v>
      </c>
      <c r="D21" s="29">
        <v>5</v>
      </c>
      <c r="E21" s="29">
        <v>8670</v>
      </c>
      <c r="F21" s="29">
        <v>14870</v>
      </c>
      <c r="G21" s="29">
        <f t="shared" si="8"/>
        <v>17340</v>
      </c>
      <c r="H21" s="29">
        <f t="shared" si="9"/>
        <v>1734</v>
      </c>
      <c r="I21" s="29">
        <f t="shared" si="14"/>
        <v>197514</v>
      </c>
      <c r="J21" s="59">
        <f t="shared" si="12"/>
        <v>49378.5</v>
      </c>
      <c r="K21" s="59">
        <f t="shared" si="13"/>
        <v>246892.5</v>
      </c>
      <c r="L21" s="29">
        <f t="shared" si="10"/>
        <v>20574.375</v>
      </c>
      <c r="M21" s="51">
        <f t="shared" si="11"/>
        <v>1234462.5</v>
      </c>
      <c r="N21" s="52"/>
      <c r="O21" s="51"/>
    </row>
    <row r="22" spans="1:15" ht="18" customHeight="1">
      <c r="A22" s="28">
        <v>13</v>
      </c>
      <c r="B22" s="66" t="s">
        <v>113</v>
      </c>
      <c r="C22" s="58">
        <v>20</v>
      </c>
      <c r="D22" s="29">
        <v>1</v>
      </c>
      <c r="E22" s="29">
        <v>8670</v>
      </c>
      <c r="F22" s="59">
        <v>16005.5</v>
      </c>
      <c r="G22" s="29">
        <f t="shared" si="8"/>
        <v>17340</v>
      </c>
      <c r="H22" s="29">
        <f t="shared" si="9"/>
        <v>1734</v>
      </c>
      <c r="I22" s="29">
        <f t="shared" si="14"/>
        <v>211140</v>
      </c>
      <c r="J22" s="59">
        <f t="shared" si="12"/>
        <v>52785</v>
      </c>
      <c r="K22" s="59">
        <f t="shared" si="13"/>
        <v>263925</v>
      </c>
      <c r="L22" s="29">
        <f t="shared" si="10"/>
        <v>21993.75</v>
      </c>
      <c r="M22" s="51">
        <f t="shared" si="11"/>
        <v>263925</v>
      </c>
      <c r="N22" s="52"/>
      <c r="O22" s="51"/>
    </row>
    <row r="23" spans="1:15">
      <c r="A23" s="28">
        <v>14</v>
      </c>
      <c r="B23" s="66" t="s">
        <v>114</v>
      </c>
      <c r="C23" s="58">
        <v>20</v>
      </c>
      <c r="D23" s="29">
        <v>5</v>
      </c>
      <c r="E23" s="29">
        <v>8670</v>
      </c>
      <c r="F23" s="29">
        <v>14870</v>
      </c>
      <c r="G23" s="29">
        <f t="shared" si="8"/>
        <v>17340</v>
      </c>
      <c r="H23" s="29">
        <f t="shared" si="9"/>
        <v>1734</v>
      </c>
      <c r="I23" s="29">
        <f t="shared" si="14"/>
        <v>197514</v>
      </c>
      <c r="J23" s="59">
        <f t="shared" si="12"/>
        <v>49378.5</v>
      </c>
      <c r="K23" s="59">
        <f t="shared" si="13"/>
        <v>246892.5</v>
      </c>
      <c r="L23" s="29">
        <f t="shared" si="10"/>
        <v>20574.375</v>
      </c>
      <c r="M23" s="51">
        <f t="shared" si="11"/>
        <v>1234462.5</v>
      </c>
      <c r="N23" s="52"/>
      <c r="O23" s="51"/>
    </row>
    <row r="24" spans="1:15" ht="18" customHeight="1">
      <c r="A24" s="28">
        <v>15</v>
      </c>
      <c r="B24" s="65" t="s">
        <v>115</v>
      </c>
      <c r="C24" s="58">
        <v>16</v>
      </c>
      <c r="D24" s="29">
        <v>1</v>
      </c>
      <c r="E24" s="29">
        <v>10260</v>
      </c>
      <c r="F24" s="29">
        <v>18360</v>
      </c>
      <c r="G24" s="29">
        <f t="shared" ref="G24:G32" si="15">E24*2</f>
        <v>20520</v>
      </c>
      <c r="H24" s="29">
        <f t="shared" ref="H24:H32" si="16">0.2*E24</f>
        <v>2052</v>
      </c>
      <c r="I24" s="29">
        <f>F24*12+G24+H24</f>
        <v>242892</v>
      </c>
      <c r="J24" s="59">
        <f t="shared" ref="J24:J32" si="17">K24*0.2</f>
        <v>60723</v>
      </c>
      <c r="K24" s="59">
        <f t="shared" ref="K24:K32" si="18">I24/0.8</f>
        <v>303615</v>
      </c>
      <c r="L24" s="29">
        <f t="shared" ref="L24:L32" si="19">K24/12</f>
        <v>25301.25</v>
      </c>
      <c r="M24" s="51">
        <f t="shared" ref="M24:M32" si="20">L24*D24*42</f>
        <v>1062652.5</v>
      </c>
      <c r="N24" s="52"/>
      <c r="O24" s="51"/>
    </row>
    <row r="25" spans="1:15" ht="18" customHeight="1">
      <c r="A25" s="28">
        <v>16</v>
      </c>
      <c r="B25" s="65" t="s">
        <v>116</v>
      </c>
      <c r="C25" s="58">
        <v>16</v>
      </c>
      <c r="D25" s="29">
        <v>5</v>
      </c>
      <c r="E25" s="29">
        <v>10260</v>
      </c>
      <c r="F25" s="29">
        <v>16760</v>
      </c>
      <c r="G25" s="29">
        <f t="shared" si="15"/>
        <v>20520</v>
      </c>
      <c r="H25" s="29">
        <f t="shared" si="16"/>
        <v>2052</v>
      </c>
      <c r="I25" s="29">
        <f>F25*12+G25+H25</f>
        <v>223692</v>
      </c>
      <c r="J25" s="59">
        <f t="shared" si="17"/>
        <v>55923</v>
      </c>
      <c r="K25" s="59">
        <f t="shared" si="18"/>
        <v>279615</v>
      </c>
      <c r="L25" s="29">
        <f t="shared" si="19"/>
        <v>23301.25</v>
      </c>
      <c r="M25" s="51">
        <f t="shared" si="20"/>
        <v>4893262.5</v>
      </c>
      <c r="N25" s="52"/>
      <c r="O25" s="51"/>
    </row>
    <row r="26" spans="1:15" ht="18" customHeight="1">
      <c r="A26" s="28">
        <v>17</v>
      </c>
      <c r="B26" s="66" t="s">
        <v>117</v>
      </c>
      <c r="C26" s="58">
        <v>16</v>
      </c>
      <c r="D26" s="29">
        <v>1</v>
      </c>
      <c r="E26" s="29">
        <v>10260</v>
      </c>
      <c r="F26" s="29">
        <v>18360</v>
      </c>
      <c r="G26" s="29">
        <f t="shared" si="15"/>
        <v>20520</v>
      </c>
      <c r="H26" s="29">
        <f t="shared" si="16"/>
        <v>2052</v>
      </c>
      <c r="I26" s="29">
        <f>F26*12+G26+H26</f>
        <v>242892</v>
      </c>
      <c r="J26" s="59">
        <f t="shared" si="17"/>
        <v>60723</v>
      </c>
      <c r="K26" s="59">
        <f t="shared" si="18"/>
        <v>303615</v>
      </c>
      <c r="L26" s="29">
        <f t="shared" si="19"/>
        <v>25301.25</v>
      </c>
      <c r="M26" s="51">
        <f t="shared" si="20"/>
        <v>1062652.5</v>
      </c>
      <c r="N26" s="52"/>
      <c r="O26" s="51"/>
    </row>
    <row r="27" spans="1:15" ht="18" customHeight="1">
      <c r="A27" s="28">
        <v>18</v>
      </c>
      <c r="B27" s="66" t="s">
        <v>118</v>
      </c>
      <c r="C27" s="58">
        <v>16</v>
      </c>
      <c r="D27" s="29">
        <v>5</v>
      </c>
      <c r="E27" s="29">
        <v>10260</v>
      </c>
      <c r="F27" s="29">
        <v>16760</v>
      </c>
      <c r="G27" s="29">
        <f t="shared" si="15"/>
        <v>20520</v>
      </c>
      <c r="H27" s="29">
        <f t="shared" si="16"/>
        <v>2052</v>
      </c>
      <c r="I27" s="29">
        <f>F27*12+G27+H27</f>
        <v>223692</v>
      </c>
      <c r="J27" s="59">
        <f t="shared" si="17"/>
        <v>55923</v>
      </c>
      <c r="K27" s="59">
        <f t="shared" si="18"/>
        <v>279615</v>
      </c>
      <c r="L27" s="29">
        <f t="shared" si="19"/>
        <v>23301.25</v>
      </c>
      <c r="M27" s="51">
        <f t="shared" si="20"/>
        <v>4893262.5</v>
      </c>
      <c r="N27" s="52"/>
      <c r="O27" s="51"/>
    </row>
    <row r="28" spans="1:15" ht="16.5" customHeight="1">
      <c r="A28" s="28">
        <v>19</v>
      </c>
      <c r="B28" s="65" t="s">
        <v>119</v>
      </c>
      <c r="C28" s="58">
        <v>16</v>
      </c>
      <c r="D28" s="29">
        <v>5</v>
      </c>
      <c r="E28" s="29">
        <v>10260</v>
      </c>
      <c r="F28" s="29">
        <v>16760</v>
      </c>
      <c r="G28" s="29">
        <f t="shared" si="15"/>
        <v>20520</v>
      </c>
      <c r="H28" s="29">
        <f t="shared" si="16"/>
        <v>2052</v>
      </c>
      <c r="I28" s="29">
        <f>F28*12+G28+H28</f>
        <v>223692</v>
      </c>
      <c r="J28" s="59">
        <f t="shared" si="17"/>
        <v>55923</v>
      </c>
      <c r="K28" s="59">
        <f t="shared" si="18"/>
        <v>279615</v>
      </c>
      <c r="L28" s="29">
        <f t="shared" si="19"/>
        <v>23301.25</v>
      </c>
      <c r="M28" s="51">
        <f t="shared" si="20"/>
        <v>4893262.5</v>
      </c>
      <c r="N28" s="52"/>
      <c r="O28" s="51"/>
    </row>
    <row r="29" spans="1:15">
      <c r="A29" s="28">
        <v>20</v>
      </c>
      <c r="B29" s="66" t="s">
        <v>120</v>
      </c>
      <c r="C29" s="58">
        <v>20</v>
      </c>
      <c r="D29" s="29">
        <v>2</v>
      </c>
      <c r="E29" s="29">
        <v>9110</v>
      </c>
      <c r="F29" s="59">
        <v>16731.5</v>
      </c>
      <c r="G29" s="29">
        <f t="shared" si="15"/>
        <v>18220</v>
      </c>
      <c r="H29" s="29">
        <f t="shared" si="16"/>
        <v>1822</v>
      </c>
      <c r="I29" s="29">
        <f t="shared" ref="I29:I32" si="21">F29*12+G29+H29</f>
        <v>220820</v>
      </c>
      <c r="J29" s="59">
        <f t="shared" si="17"/>
        <v>55205</v>
      </c>
      <c r="K29" s="59">
        <f t="shared" si="18"/>
        <v>276025</v>
      </c>
      <c r="L29" s="29">
        <f t="shared" si="19"/>
        <v>23002.083333333332</v>
      </c>
      <c r="M29" s="51">
        <f t="shared" si="20"/>
        <v>1932175</v>
      </c>
      <c r="N29" s="52"/>
      <c r="O29" s="51"/>
    </row>
    <row r="30" spans="1:15" ht="18" customHeight="1">
      <c r="A30" s="28">
        <v>21</v>
      </c>
      <c r="B30" s="66" t="s">
        <v>121</v>
      </c>
      <c r="C30" s="58">
        <v>20</v>
      </c>
      <c r="D30" s="29">
        <v>5</v>
      </c>
      <c r="E30" s="29">
        <v>9110</v>
      </c>
      <c r="F30" s="29">
        <v>15365</v>
      </c>
      <c r="G30" s="29">
        <f t="shared" si="15"/>
        <v>18220</v>
      </c>
      <c r="H30" s="29">
        <f t="shared" si="16"/>
        <v>1822</v>
      </c>
      <c r="I30" s="29">
        <f t="shared" si="21"/>
        <v>204422</v>
      </c>
      <c r="J30" s="59">
        <f t="shared" si="17"/>
        <v>51105.5</v>
      </c>
      <c r="K30" s="59">
        <f t="shared" si="18"/>
        <v>255527.5</v>
      </c>
      <c r="L30" s="29">
        <f t="shared" si="19"/>
        <v>21293.958333333332</v>
      </c>
      <c r="M30" s="51">
        <f t="shared" si="20"/>
        <v>4471731.25</v>
      </c>
      <c r="N30" s="52"/>
      <c r="O30" s="51"/>
    </row>
    <row r="31" spans="1:15" ht="18" customHeight="1">
      <c r="A31" s="28">
        <v>22</v>
      </c>
      <c r="B31" s="66" t="s">
        <v>122</v>
      </c>
      <c r="C31" s="58">
        <v>20</v>
      </c>
      <c r="D31" s="29">
        <v>1</v>
      </c>
      <c r="E31" s="29">
        <v>9110</v>
      </c>
      <c r="F31" s="59">
        <v>16731.5</v>
      </c>
      <c r="G31" s="29">
        <f t="shared" si="15"/>
        <v>18220</v>
      </c>
      <c r="H31" s="29">
        <f t="shared" si="16"/>
        <v>1822</v>
      </c>
      <c r="I31" s="29">
        <f t="shared" si="21"/>
        <v>220820</v>
      </c>
      <c r="J31" s="59">
        <f t="shared" si="17"/>
        <v>55205</v>
      </c>
      <c r="K31" s="59">
        <f t="shared" si="18"/>
        <v>276025</v>
      </c>
      <c r="L31" s="29">
        <f t="shared" si="19"/>
        <v>23002.083333333332</v>
      </c>
      <c r="M31" s="51">
        <f t="shared" si="20"/>
        <v>966087.5</v>
      </c>
      <c r="N31" s="52"/>
      <c r="O31" s="51"/>
    </row>
    <row r="32" spans="1:15">
      <c r="A32" s="28">
        <v>23</v>
      </c>
      <c r="B32" s="66" t="s">
        <v>123</v>
      </c>
      <c r="C32" s="58">
        <v>20</v>
      </c>
      <c r="D32" s="29">
        <v>5</v>
      </c>
      <c r="E32" s="29">
        <v>9110</v>
      </c>
      <c r="F32" s="29">
        <v>15365</v>
      </c>
      <c r="G32" s="29">
        <f t="shared" si="15"/>
        <v>18220</v>
      </c>
      <c r="H32" s="29">
        <f t="shared" si="16"/>
        <v>1822</v>
      </c>
      <c r="I32" s="29">
        <f t="shared" si="21"/>
        <v>204422</v>
      </c>
      <c r="J32" s="59">
        <f t="shared" si="17"/>
        <v>51105.5</v>
      </c>
      <c r="K32" s="59">
        <f t="shared" si="18"/>
        <v>255527.5</v>
      </c>
      <c r="L32" s="29">
        <f t="shared" si="19"/>
        <v>21293.958333333332</v>
      </c>
      <c r="M32" s="51">
        <f t="shared" si="20"/>
        <v>4471731.25</v>
      </c>
      <c r="N32" s="52"/>
      <c r="O32" s="51"/>
    </row>
    <row r="33" spans="1:15" ht="17.25" customHeight="1">
      <c r="A33" s="97" t="s">
        <v>127</v>
      </c>
      <c r="B33" s="98"/>
      <c r="C33" s="34"/>
      <c r="D33" s="35"/>
      <c r="E33" s="35"/>
      <c r="F33" s="35"/>
      <c r="G33" s="35"/>
      <c r="H33" s="35"/>
      <c r="I33" s="35"/>
      <c r="J33" s="35"/>
      <c r="K33" s="35"/>
      <c r="L33" s="35"/>
      <c r="M33" s="50">
        <f>SUM(M15:M32)</f>
        <v>36561115</v>
      </c>
      <c r="N33" s="50">
        <v>7318944</v>
      </c>
      <c r="O33" s="50">
        <f>N33+M33</f>
        <v>43880059</v>
      </c>
    </row>
    <row r="34" spans="1:15" ht="17.25" customHeight="1">
      <c r="A34" s="99" t="s">
        <v>97</v>
      </c>
      <c r="B34" s="100"/>
      <c r="C34" s="34"/>
      <c r="D34" s="35"/>
      <c r="E34" s="35"/>
      <c r="F34" s="35"/>
      <c r="G34" s="35"/>
      <c r="H34" s="35"/>
      <c r="I34" s="35"/>
      <c r="J34" s="35"/>
      <c r="K34" s="35"/>
      <c r="L34" s="35"/>
      <c r="M34" s="50">
        <f>M33+M13+M8</f>
        <v>137136563.75</v>
      </c>
      <c r="N34" s="50">
        <f>N33+N13+N8</f>
        <v>32967841</v>
      </c>
      <c r="O34" s="50">
        <f>O33+O13+O8</f>
        <v>170104404.75</v>
      </c>
    </row>
    <row r="35" spans="1:15" ht="15.75">
      <c r="A35" s="36" t="s">
        <v>78</v>
      </c>
    </row>
  </sheetData>
  <mergeCells count="7">
    <mergeCell ref="A33:B33"/>
    <mergeCell ref="A34:B34"/>
    <mergeCell ref="A1:O1"/>
    <mergeCell ref="A2:O2"/>
    <mergeCell ref="A14:O14"/>
    <mergeCell ref="A5:O5"/>
    <mergeCell ref="A9:O9"/>
  </mergeCells>
  <pageMargins left="0.72" right="0.17" top="0.64" bottom="0.25" header="0.3" footer="0.3"/>
  <pageSetup paperSize="9" scale="80" orientation="landscape" r:id="rId1"/>
  <headerFooter>
    <oddFooter>&amp;C&amp;16P - 58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Asif +EPRC</vt:lpstr>
      <vt:lpstr>ALL Outsourcing</vt:lpstr>
      <vt:lpstr>Summary</vt:lpstr>
      <vt:lpstr>Sheet1</vt:lpstr>
      <vt:lpstr>18-12-17</vt:lpstr>
      <vt:lpstr>27-12-17</vt:lpstr>
      <vt:lpstr>'ALL Outsourcing'!Print_Area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User</cp:lastModifiedBy>
  <cp:lastPrinted>2018-01-02T11:46:29Z</cp:lastPrinted>
  <dcterms:created xsi:type="dcterms:W3CDTF">2016-04-12T03:33:27Z</dcterms:created>
  <dcterms:modified xsi:type="dcterms:W3CDTF">2018-01-02T11:47:36Z</dcterms:modified>
</cp:coreProperties>
</file>