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20" windowWidth="12120" windowHeight="9120" tabRatio="603"/>
  </bookViews>
  <sheets>
    <sheet name="Cover Page" sheetId="11" r:id="rId1"/>
    <sheet name="Estimate" sheetId="4" r:id="rId2"/>
    <sheet name="Abstract" sheetId="5" r:id="rId3"/>
    <sheet name="E Work" sheetId="10" r:id="rId4"/>
    <sheet name="Schedule" sheetId="12" r:id="rId5"/>
  </sheets>
  <definedNames>
    <definedName name="_xlnm.Print_Area" localSheetId="2">Abstract!$A$1:$G$61</definedName>
    <definedName name="_xlnm.Print_Area" localSheetId="0">'Cover Page'!$A$1:$AK$47</definedName>
    <definedName name="_xlnm.Print_Area" localSheetId="3">'E Work'!$A$1:$G$67</definedName>
    <definedName name="_xlnm.Print_Area" localSheetId="1">Estimate!$A$1:$AW$322</definedName>
    <definedName name="_xlnm.Print_Area" localSheetId="4">Schedule!$A$1:$I$57</definedName>
    <definedName name="_xlnm.Print_Titles" localSheetId="2">Abstract!$3:$3</definedName>
    <definedName name="_xlnm.Print_Titles" localSheetId="1">Estimate!$3:$3</definedName>
    <definedName name="_xlnm.Print_Titles" localSheetId="4">Schedule!$3:$4</definedName>
  </definedNames>
  <calcPr calcId="124519"/>
</workbook>
</file>

<file path=xl/calcChain.xml><?xml version="1.0" encoding="utf-8"?>
<calcChain xmlns="http://schemas.openxmlformats.org/spreadsheetml/2006/main">
  <c r="H22" i="5"/>
  <c r="H23" s="1"/>
  <c r="AC131" i="4"/>
  <c r="AB141"/>
  <c r="AE141" s="1"/>
  <c r="I10" i="12"/>
  <c r="I12"/>
  <c r="I17"/>
  <c r="I20"/>
  <c r="I22"/>
  <c r="I27"/>
  <c r="I30"/>
  <c r="I32"/>
  <c r="I36"/>
  <c r="I39"/>
  <c r="I41"/>
  <c r="I43"/>
  <c r="G10"/>
  <c r="G12"/>
  <c r="G17"/>
  <c r="G20"/>
  <c r="G22"/>
  <c r="G27"/>
  <c r="G30"/>
  <c r="G32"/>
  <c r="G36"/>
  <c r="G39"/>
  <c r="G41"/>
  <c r="G43"/>
  <c r="AH9" i="4"/>
  <c r="Q12"/>
  <c r="T15"/>
  <c r="T16" s="1"/>
  <c r="AV16" s="1"/>
  <c r="AJ45"/>
  <c r="AB75"/>
  <c r="AF75" s="1"/>
  <c r="AE117"/>
  <c r="AA119"/>
  <c r="AA121" s="1"/>
  <c r="AN122" s="1"/>
  <c r="AB151"/>
  <c r="AB182"/>
  <c r="AF182" s="1"/>
  <c r="H51" i="5"/>
  <c r="AF29" i="4"/>
  <c r="V83"/>
  <c r="AJ83" s="1"/>
  <c r="V62"/>
  <c r="AQ62"/>
  <c r="D7" i="12"/>
  <c r="D8"/>
  <c r="D9"/>
  <c r="D13"/>
  <c r="D14"/>
  <c r="D15"/>
  <c r="D16"/>
  <c r="D18"/>
  <c r="D19"/>
  <c r="D23"/>
  <c r="D24"/>
  <c r="D25"/>
  <c r="D26"/>
  <c r="D28"/>
  <c r="D29"/>
  <c r="D31"/>
  <c r="D33"/>
  <c r="D34"/>
  <c r="D35"/>
  <c r="D40"/>
  <c r="D46"/>
  <c r="D47"/>
  <c r="Z299" i="4"/>
  <c r="S303"/>
  <c r="AQ58"/>
  <c r="AV285"/>
  <c r="AV286"/>
  <c r="AV243"/>
  <c r="AV242"/>
  <c r="AC80"/>
  <c r="AB69"/>
  <c r="AJ53"/>
  <c r="F38" i="10" s="1"/>
  <c r="G31" i="5"/>
  <c r="C33"/>
  <c r="C34" i="12"/>
  <c r="C32" i="5"/>
  <c r="C33" i="12"/>
  <c r="B33" i="5"/>
  <c r="B34" i="12"/>
  <c r="B32" i="5"/>
  <c r="B33" i="12"/>
  <c r="AI108" i="4"/>
  <c r="X109"/>
  <c r="AI109" s="1"/>
  <c r="X110"/>
  <c r="AI110" s="1"/>
  <c r="Y151"/>
  <c r="AE151" s="1"/>
  <c r="I151"/>
  <c r="I155" s="1"/>
  <c r="AE152" s="1"/>
  <c r="AE153" s="1"/>
  <c r="Y157"/>
  <c r="AB133"/>
  <c r="AE133"/>
  <c r="I133"/>
  <c r="O139"/>
  <c r="Y139"/>
  <c r="Y141"/>
  <c r="I141"/>
  <c r="I145"/>
  <c r="AE142" s="1"/>
  <c r="AE143" s="1"/>
  <c r="Y147"/>
  <c r="C34" i="5"/>
  <c r="C35" i="12" s="1"/>
  <c r="C21" i="5"/>
  <c r="C22" i="12" s="1"/>
  <c r="C18" i="10"/>
  <c r="C19"/>
  <c r="O301" i="4"/>
  <c r="AD301"/>
  <c r="AD303"/>
  <c r="C8" i="10"/>
  <c r="C9"/>
  <c r="C42"/>
  <c r="C43"/>
  <c r="AI130" i="4"/>
  <c r="X131"/>
  <c r="AI131"/>
  <c r="AI132"/>
  <c r="X240" s="1"/>
  <c r="AV240" s="1"/>
  <c r="AV244" s="1"/>
  <c r="E34" i="5" s="1"/>
  <c r="AV241" i="4"/>
  <c r="AV6"/>
  <c r="E4" i="5"/>
  <c r="AH8" i="4"/>
  <c r="AV10"/>
  <c r="AV25"/>
  <c r="AF28"/>
  <c r="AF31"/>
  <c r="AV36" s="1"/>
  <c r="E10" i="5" s="1"/>
  <c r="AF32" i="4"/>
  <c r="AF34"/>
  <c r="AJ41"/>
  <c r="AF66"/>
  <c r="Y69"/>
  <c r="AF80"/>
  <c r="AJ87"/>
  <c r="AV88"/>
  <c r="V96"/>
  <c r="AV97"/>
  <c r="E18" i="5"/>
  <c r="G18"/>
  <c r="G102" i="4"/>
  <c r="I102"/>
  <c r="L102"/>
  <c r="I183"/>
  <c r="W189"/>
  <c r="AB163"/>
  <c r="AB166"/>
  <c r="AE166"/>
  <c r="Y172"/>
  <c r="Y180"/>
  <c r="I220"/>
  <c r="I224"/>
  <c r="AE221" s="1"/>
  <c r="AE222" s="1"/>
  <c r="Y226"/>
  <c r="AB199"/>
  <c r="AE199" s="1"/>
  <c r="Y215"/>
  <c r="Y206"/>
  <c r="G35" i="5"/>
  <c r="W248" i="4"/>
  <c r="AV248"/>
  <c r="W249"/>
  <c r="AV249"/>
  <c r="W252"/>
  <c r="AV252"/>
  <c r="AV254"/>
  <c r="E37" i="5"/>
  <c r="G37" s="1"/>
  <c r="AV253" i="4"/>
  <c r="G38" i="5"/>
  <c r="AA258" i="4"/>
  <c r="AI258"/>
  <c r="AS258"/>
  <c r="AA259"/>
  <c r="AM259"/>
  <c r="AV259"/>
  <c r="AI259"/>
  <c r="AS259"/>
  <c r="AA260"/>
  <c r="AM260"/>
  <c r="AV260" s="1"/>
  <c r="AI260"/>
  <c r="AS260"/>
  <c r="AA261"/>
  <c r="AI261"/>
  <c r="AS261"/>
  <c r="AA262"/>
  <c r="AI262"/>
  <c r="AS262"/>
  <c r="AA263"/>
  <c r="AM263"/>
  <c r="AV263"/>
  <c r="AI263"/>
  <c r="AS263"/>
  <c r="AA264"/>
  <c r="AM264"/>
  <c r="AV264" s="1"/>
  <c r="AI264"/>
  <c r="AS264"/>
  <c r="AA265"/>
  <c r="AI265"/>
  <c r="AS265"/>
  <c r="AE268"/>
  <c r="AV268"/>
  <c r="AE270"/>
  <c r="AV270"/>
  <c r="G40" i="5"/>
  <c r="AV274" i="4"/>
  <c r="AV279" s="1"/>
  <c r="E41" i="5" s="1"/>
  <c r="O275" i="4"/>
  <c r="AV275"/>
  <c r="AV277"/>
  <c r="G42" i="5"/>
  <c r="P282" i="4"/>
  <c r="AV282" s="1"/>
  <c r="AV293" s="1"/>
  <c r="E43" i="5" s="1"/>
  <c r="P283" i="4"/>
  <c r="AV283" s="1"/>
  <c r="AV284"/>
  <c r="AV287"/>
  <c r="AV288"/>
  <c r="AV289"/>
  <c r="AV290"/>
  <c r="AV291"/>
  <c r="AJ310"/>
  <c r="AJ311" s="1"/>
  <c r="AV312" s="1"/>
  <c r="E46" i="5" s="1"/>
  <c r="AV315" i="4"/>
  <c r="E47" i="5"/>
  <c r="G47" s="1"/>
  <c r="G9"/>
  <c r="G21"/>
  <c r="G26"/>
  <c r="G29"/>
  <c r="AX76" i="4"/>
  <c r="A2" i="10"/>
  <c r="C35" i="5"/>
  <c r="C36" i="12" s="1"/>
  <c r="C31" i="5"/>
  <c r="C32" i="12" s="1"/>
  <c r="B30" i="5"/>
  <c r="B31" i="12" s="1"/>
  <c r="C30" i="5"/>
  <c r="C31" i="12" s="1"/>
  <c r="C29" i="5"/>
  <c r="C30" i="12" s="1"/>
  <c r="C28" i="5"/>
  <c r="C29" i="12" s="1"/>
  <c r="C27" i="5"/>
  <c r="C28" i="12" s="1"/>
  <c r="C26" i="5"/>
  <c r="C27" i="12" s="1"/>
  <c r="C25" i="5"/>
  <c r="C26" i="12" s="1"/>
  <c r="C22" i="5"/>
  <c r="C23" i="12" s="1"/>
  <c r="C23" i="5"/>
  <c r="C24" i="12" s="1"/>
  <c r="C24" i="5"/>
  <c r="C25" i="12" s="1"/>
  <c r="B24" i="5"/>
  <c r="B25" i="12" s="1"/>
  <c r="B23" i="5"/>
  <c r="B24" i="12" s="1"/>
  <c r="C7" i="5"/>
  <c r="C8" i="12" s="1"/>
  <c r="C6" i="5"/>
  <c r="C7" i="12" s="1"/>
  <c r="C4" i="5"/>
  <c r="C5" i="12" s="1"/>
  <c r="B22" i="5"/>
  <c r="B23" i="12" s="1"/>
  <c r="B35" i="5"/>
  <c r="B36" i="12" s="1"/>
  <c r="C12" i="5"/>
  <c r="C13" i="12" s="1"/>
  <c r="B12" i="5"/>
  <c r="B13" i="12" s="1"/>
  <c r="A48"/>
  <c r="A47"/>
  <c r="A46"/>
  <c r="A45"/>
  <c r="A43"/>
  <c r="A41"/>
  <c r="A39"/>
  <c r="A36"/>
  <c r="A35"/>
  <c r="A32"/>
  <c r="A30"/>
  <c r="A27"/>
  <c r="A26"/>
  <c r="A22"/>
  <c r="A20"/>
  <c r="A19"/>
  <c r="A17"/>
  <c r="A16"/>
  <c r="A15"/>
  <c r="A14"/>
  <c r="A12"/>
  <c r="D5"/>
  <c r="A6"/>
  <c r="A7"/>
  <c r="A8"/>
  <c r="A9"/>
  <c r="A10"/>
  <c r="A5"/>
  <c r="D51" i="10"/>
  <c r="E51"/>
  <c r="F51" s="1"/>
  <c r="E54"/>
  <c r="E32"/>
  <c r="E31"/>
  <c r="F32" s="1"/>
  <c r="E27"/>
  <c r="E30"/>
  <c r="E17"/>
  <c r="E16"/>
  <c r="E15"/>
  <c r="E7"/>
  <c r="E6"/>
  <c r="F7" s="1"/>
  <c r="D6"/>
  <c r="E5"/>
  <c r="F6"/>
  <c r="D16"/>
  <c r="E8"/>
  <c r="D8" s="1"/>
  <c r="C65"/>
  <c r="C64"/>
  <c r="C63"/>
  <c r="C62"/>
  <c r="C61"/>
  <c r="C60"/>
  <c r="C59"/>
  <c r="C58"/>
  <c r="C57"/>
  <c r="C56"/>
  <c r="C55"/>
  <c r="C54"/>
  <c r="E53"/>
  <c r="C53"/>
  <c r="E52"/>
  <c r="C52"/>
  <c r="C51"/>
  <c r="E50"/>
  <c r="C50"/>
  <c r="F49"/>
  <c r="C49"/>
  <c r="E26"/>
  <c r="E29"/>
  <c r="E28"/>
  <c r="E18"/>
  <c r="C41"/>
  <c r="B11" i="5"/>
  <c r="B12" i="12"/>
  <c r="C10" i="10"/>
  <c r="C7"/>
  <c r="C6"/>
  <c r="C17"/>
  <c r="C20"/>
  <c r="C16"/>
  <c r="A2" i="5"/>
  <c r="A2" i="12"/>
  <c r="D47" i="5"/>
  <c r="D48" i="12"/>
  <c r="C47" i="5"/>
  <c r="C48" i="12"/>
  <c r="B47" i="5"/>
  <c r="B48" i="12"/>
  <c r="C46" i="5"/>
  <c r="C47" i="12" s="1"/>
  <c r="B46" i="5"/>
  <c r="B47" i="12" s="1"/>
  <c r="B27" i="5"/>
  <c r="B28" i="12" s="1"/>
  <c r="B28" i="5"/>
  <c r="B29" i="12" s="1"/>
  <c r="B26" i="5"/>
  <c r="B27" i="12" s="1"/>
  <c r="C18" i="5"/>
  <c r="C19" i="12" s="1"/>
  <c r="B18" i="5"/>
  <c r="B19" i="12" s="1"/>
  <c r="C16" i="5"/>
  <c r="C17" i="12" s="1"/>
  <c r="C17" i="5"/>
  <c r="C18" i="12" s="1"/>
  <c r="B17" i="5"/>
  <c r="B18" i="12" s="1"/>
  <c r="B16" i="5"/>
  <c r="B17" i="12" s="1"/>
  <c r="C15" i="5"/>
  <c r="C16" i="12" s="1"/>
  <c r="B15" i="5"/>
  <c r="B16" i="12" s="1"/>
  <c r="C14" i="5"/>
  <c r="C15" i="12" s="1"/>
  <c r="B14" i="5"/>
  <c r="B15" i="12" s="1"/>
  <c r="C11" i="5"/>
  <c r="C12" i="12" s="1"/>
  <c r="AW50" i="4"/>
  <c r="B21" i="5"/>
  <c r="B22" i="12" s="1"/>
  <c r="B13" i="5"/>
  <c r="B14" i="12"/>
  <c r="C45" i="5"/>
  <c r="C46" i="12" s="1"/>
  <c r="B45" i="5"/>
  <c r="B46" i="12"/>
  <c r="D44" i="5"/>
  <c r="D45" i="12" s="1"/>
  <c r="C44" i="5"/>
  <c r="C45" i="12"/>
  <c r="B44" i="5"/>
  <c r="B45" i="12" s="1"/>
  <c r="D43" i="5"/>
  <c r="D44" i="12"/>
  <c r="C42" i="5"/>
  <c r="C43" i="12" s="1"/>
  <c r="C43" i="5"/>
  <c r="C44" i="12"/>
  <c r="B43" i="5"/>
  <c r="B44" i="12" s="1"/>
  <c r="B42" i="5"/>
  <c r="B43" i="12"/>
  <c r="D41" i="5"/>
  <c r="D42" i="12" s="1"/>
  <c r="C40" i="5"/>
  <c r="C41" i="12" s="1"/>
  <c r="C41" i="5"/>
  <c r="C42" i="12" s="1"/>
  <c r="B41" i="5"/>
  <c r="B42" i="12" s="1"/>
  <c r="B40" i="5"/>
  <c r="B41" i="12" s="1"/>
  <c r="B39" i="5"/>
  <c r="B40" i="12" s="1"/>
  <c r="C38" i="5"/>
  <c r="C39" i="12" s="1"/>
  <c r="C39" i="5"/>
  <c r="C40" i="12" s="1"/>
  <c r="B38" i="5"/>
  <c r="B39" i="12" s="1"/>
  <c r="D37" i="5"/>
  <c r="D38" i="12" s="1"/>
  <c r="D36" i="5"/>
  <c r="D37" i="12" s="1"/>
  <c r="C36" i="5"/>
  <c r="C37" i="12" s="1"/>
  <c r="C37" i="5"/>
  <c r="C38" i="12" s="1"/>
  <c r="B37" i="5"/>
  <c r="B38" i="12" s="1"/>
  <c r="B36" i="5"/>
  <c r="B37" i="12" s="1"/>
  <c r="B29" i="5"/>
  <c r="B30" i="12" s="1"/>
  <c r="C19" i="5"/>
  <c r="C20" i="12" s="1"/>
  <c r="D20" i="5"/>
  <c r="D21" i="12" s="1"/>
  <c r="C8" i="5"/>
  <c r="C9" i="12" s="1"/>
  <c r="C20" i="5"/>
  <c r="C21" i="12" s="1"/>
  <c r="B20" i="5"/>
  <c r="B21" i="12" s="1"/>
  <c r="B19" i="5"/>
  <c r="B20" i="12" s="1"/>
  <c r="D10" i="5"/>
  <c r="D11" i="12" s="1"/>
  <c r="C9" i="5"/>
  <c r="C10" i="12" s="1"/>
  <c r="C10" i="5"/>
  <c r="C11" i="12" s="1"/>
  <c r="B10" i="5"/>
  <c r="B11" i="12" s="1"/>
  <c r="B9" i="5"/>
  <c r="B10" i="12" s="1"/>
  <c r="V247" i="4"/>
  <c r="AL165"/>
  <c r="AL132"/>
  <c r="B8" i="5"/>
  <c r="B9" i="12" s="1"/>
  <c r="T12" i="4"/>
  <c r="C5" i="5"/>
  <c r="C6" i="12"/>
  <c r="D5" i="5"/>
  <c r="D6" i="12"/>
  <c r="B5" i="5"/>
  <c r="B6" i="12"/>
  <c r="C13" i="5"/>
  <c r="C14" i="12"/>
  <c r="B31" i="5"/>
  <c r="B32" i="12"/>
  <c r="B34" i="5"/>
  <c r="B35" i="12"/>
  <c r="B7" i="5"/>
  <c r="B8" i="12"/>
  <c r="B6" i="5"/>
  <c r="B7" i="12"/>
  <c r="B4" i="5"/>
  <c r="B5" i="12"/>
  <c r="B25" i="5"/>
  <c r="B26" i="12"/>
  <c r="D28" i="10"/>
  <c r="D29"/>
  <c r="D30" s="1"/>
  <c r="F16"/>
  <c r="O189" i="4"/>
  <c r="X164"/>
  <c r="Y174"/>
  <c r="I137"/>
  <c r="AE134"/>
  <c r="AE135" s="1"/>
  <c r="AN137" s="1"/>
  <c r="Y200"/>
  <c r="AE200" s="1"/>
  <c r="I187"/>
  <c r="AE184" s="1"/>
  <c r="AE185" s="1"/>
  <c r="F50" i="10"/>
  <c r="O147" i="4"/>
  <c r="I202"/>
  <c r="I205" s="1"/>
  <c r="AE203" s="1"/>
  <c r="AE204" s="1"/>
  <c r="I210"/>
  <c r="O216" s="1"/>
  <c r="I166"/>
  <c r="I174" s="1"/>
  <c r="AB202"/>
  <c r="AE202"/>
  <c r="AM265"/>
  <c r="AV265"/>
  <c r="AM262"/>
  <c r="AV262"/>
  <c r="AM261"/>
  <c r="AV261"/>
  <c r="AI163"/>
  <c r="O226"/>
  <c r="AM258"/>
  <c r="AV258"/>
  <c r="AE102"/>
  <c r="AE103"/>
  <c r="AV104" s="1"/>
  <c r="E20" i="5" s="1"/>
  <c r="G20" s="1"/>
  <c r="O157" i="4"/>
  <c r="S302"/>
  <c r="S301"/>
  <c r="W301"/>
  <c r="AV301" s="1"/>
  <c r="O302"/>
  <c r="W302" s="1"/>
  <c r="AV302" s="1"/>
  <c r="O303"/>
  <c r="V69"/>
  <c r="AJ69" s="1"/>
  <c r="F17" i="10"/>
  <c r="E48" i="12"/>
  <c r="I48" s="1"/>
  <c r="D18" i="10"/>
  <c r="F18" s="1"/>
  <c r="A21"/>
  <c r="C21" s="1"/>
  <c r="C22" s="1"/>
  <c r="E5" i="12"/>
  <c r="G5" s="1"/>
  <c r="G4" i="5"/>
  <c r="AB219" i="4"/>
  <c r="AF219"/>
  <c r="AN224" s="1"/>
  <c r="E5" i="5"/>
  <c r="E6" i="12" s="1"/>
  <c r="E15" i="5"/>
  <c r="G15" s="1"/>
  <c r="E33" i="10"/>
  <c r="F34" s="1"/>
  <c r="E8" i="5"/>
  <c r="G8" s="1"/>
  <c r="I170" i="4"/>
  <c r="E9" i="12"/>
  <c r="G9" s="1"/>
  <c r="E34" i="10"/>
  <c r="F35" s="1"/>
  <c r="F33"/>
  <c r="I9" i="12"/>
  <c r="E35" i="10"/>
  <c r="B44" s="1"/>
  <c r="C44" s="1"/>
  <c r="C45" s="1"/>
  <c r="I214" i="4"/>
  <c r="E19" i="12"/>
  <c r="G19" s="1"/>
  <c r="W303" i="4"/>
  <c r="AV303" s="1"/>
  <c r="AV250"/>
  <c r="E36" i="5"/>
  <c r="E37" i="12" s="1"/>
  <c r="V76" i="4"/>
  <c r="AJ76"/>
  <c r="AB164"/>
  <c r="O207"/>
  <c r="AB200"/>
  <c r="AI164"/>
  <c r="AI165" s="1"/>
  <c r="AB174"/>
  <c r="AE174" s="1"/>
  <c r="AB210"/>
  <c r="I19" i="12"/>
  <c r="A2" i="4"/>
  <c r="E38" i="12"/>
  <c r="G38" s="1"/>
  <c r="G41" i="5" l="1"/>
  <c r="E42" i="12"/>
  <c r="AN148" i="4"/>
  <c r="AN149" s="1"/>
  <c r="AN145"/>
  <c r="I6" i="12"/>
  <c r="G6"/>
  <c r="E47"/>
  <c r="G46" i="5"/>
  <c r="G43"/>
  <c r="E44" i="12"/>
  <c r="G10" i="5"/>
  <c r="E11" i="12"/>
  <c r="G34" i="5"/>
  <c r="E35" i="12"/>
  <c r="G35" s="1"/>
  <c r="AI111" i="4"/>
  <c r="AN114"/>
  <c r="AN123" s="1"/>
  <c r="AV304"/>
  <c r="AN187"/>
  <c r="AN190" s="1"/>
  <c r="AN205"/>
  <c r="AN206" s="1"/>
  <c r="AV271"/>
  <c r="E39" i="5" s="1"/>
  <c r="G37" i="12"/>
  <c r="I37"/>
  <c r="I178" i="4"/>
  <c r="O180"/>
  <c r="F8" i="10"/>
  <c r="F9" s="1"/>
  <c r="F10" s="1"/>
  <c r="A11"/>
  <c r="C11" s="1"/>
  <c r="C12" s="1"/>
  <c r="AV17" i="4"/>
  <c r="E6" i="5" s="1"/>
  <c r="AV19" i="4"/>
  <c r="AV20" s="1"/>
  <c r="AE211"/>
  <c r="AE212" s="1"/>
  <c r="F19" i="10"/>
  <c r="F20" s="1"/>
  <c r="F36"/>
  <c r="F37" s="1"/>
  <c r="AI201" i="4"/>
  <c r="AN155"/>
  <c r="AN158" s="1"/>
  <c r="AN159" s="1"/>
  <c r="AV160" s="1"/>
  <c r="AV161" s="1"/>
  <c r="I38" i="12"/>
  <c r="G36" i="5"/>
  <c r="G5"/>
  <c r="E16" i="12"/>
  <c r="G48"/>
  <c r="O172" i="4"/>
  <c r="AE167" s="1"/>
  <c r="AE168" s="1"/>
  <c r="AN170" s="1"/>
  <c r="AN173" s="1"/>
  <c r="Y210"/>
  <c r="AE210" s="1"/>
  <c r="AN214" s="1"/>
  <c r="AN215" s="1"/>
  <c r="AN227" s="1"/>
  <c r="AV228" s="1"/>
  <c r="E30" i="5" s="1"/>
  <c r="D52" i="10"/>
  <c r="I5" i="12"/>
  <c r="V77" i="4"/>
  <c r="AJ77" s="1"/>
  <c r="E21" i="12"/>
  <c r="I35"/>
  <c r="T41" i="4" l="1"/>
  <c r="AC42" s="1"/>
  <c r="F12" i="10"/>
  <c r="G30" i="5"/>
  <c r="E31" i="12"/>
  <c r="F39" i="10"/>
  <c r="T53" i="4"/>
  <c r="AC54" s="1"/>
  <c r="AQ54" s="1"/>
  <c r="G39" i="5"/>
  <c r="E40" i="12"/>
  <c r="G44"/>
  <c r="I44"/>
  <c r="I47"/>
  <c r="G47"/>
  <c r="G42"/>
  <c r="I42"/>
  <c r="D53" i="10"/>
  <c r="F52"/>
  <c r="E24" i="5"/>
  <c r="Y233" i="4"/>
  <c r="AV233" s="1"/>
  <c r="AO126"/>
  <c r="AV127" s="1"/>
  <c r="AV124"/>
  <c r="G11" i="12"/>
  <c r="I11"/>
  <c r="G16"/>
  <c r="I16"/>
  <c r="T45" i="4"/>
  <c r="AC46" s="1"/>
  <c r="AC47" s="1"/>
  <c r="N48" s="1"/>
  <c r="W48" s="1"/>
  <c r="AC49" s="1"/>
  <c r="AV50" s="1"/>
  <c r="E12" i="5" s="1"/>
  <c r="F22" i="10"/>
  <c r="G6" i="5"/>
  <c r="E7"/>
  <c r="E7" i="12"/>
  <c r="E44" i="5"/>
  <c r="AV307" i="4"/>
  <c r="E45" i="5" s="1"/>
  <c r="AE175" i="4"/>
  <c r="AE176" s="1"/>
  <c r="AN178" s="1"/>
  <c r="AN180" s="1"/>
  <c r="AV191" s="1"/>
  <c r="AV192" s="1"/>
  <c r="I21" i="12"/>
  <c r="G21"/>
  <c r="E25" i="5" l="1"/>
  <c r="AV194" i="4"/>
  <c r="G7" i="5"/>
  <c r="E8" i="12"/>
  <c r="Y231" i="4"/>
  <c r="AV231" s="1"/>
  <c r="E22" i="5"/>
  <c r="E25" i="12"/>
  <c r="G24" i="5"/>
  <c r="E13" i="12"/>
  <c r="G12" i="5"/>
  <c r="I7" i="12"/>
  <c r="G7"/>
  <c r="E45"/>
  <c r="G44" i="5"/>
  <c r="E46" i="12"/>
  <c r="G45" i="5"/>
  <c r="Y232" i="4"/>
  <c r="AV232" s="1"/>
  <c r="E23" i="5"/>
  <c r="D54" i="10"/>
  <c r="F53"/>
  <c r="G40" i="12"/>
  <c r="I40"/>
  <c r="G31"/>
  <c r="I31"/>
  <c r="F54" i="10" l="1"/>
  <c r="F55" s="1"/>
  <c r="A66"/>
  <c r="C66" s="1"/>
  <c r="C67" s="1"/>
  <c r="G46" i="12"/>
  <c r="I46"/>
  <c r="G25" i="5"/>
  <c r="E26" i="12"/>
  <c r="AV234" i="4"/>
  <c r="E23" i="12"/>
  <c r="G22" i="5"/>
  <c r="E27"/>
  <c r="AV195" i="4"/>
  <c r="E28" i="5" s="1"/>
  <c r="G45" i="12"/>
  <c r="I45"/>
  <c r="I13"/>
  <c r="G13"/>
  <c r="E24"/>
  <c r="G23" i="5"/>
  <c r="I25" i="12"/>
  <c r="G25"/>
  <c r="I8"/>
  <c r="G8"/>
  <c r="E28" l="1"/>
  <c r="G27" i="5"/>
  <c r="G26" i="12"/>
  <c r="I26"/>
  <c r="G28" i="5"/>
  <c r="E29" i="12"/>
  <c r="AV237" i="4"/>
  <c r="E33" i="5" s="1"/>
  <c r="AV235" i="4"/>
  <c r="E32" i="5" s="1"/>
  <c r="I24" i="12"/>
  <c r="G24"/>
  <c r="I23"/>
  <c r="G23"/>
  <c r="F56" i="10"/>
  <c r="T80" i="4" l="1"/>
  <c r="F58" i="10"/>
  <c r="I28" i="12"/>
  <c r="G28"/>
  <c r="G29"/>
  <c r="I29"/>
  <c r="E34"/>
  <c r="G33" i="5"/>
  <c r="H33"/>
  <c r="H34" s="1"/>
  <c r="E33" i="12"/>
  <c r="G32" i="5"/>
  <c r="T66" i="4" l="1"/>
  <c r="AA67" s="1"/>
  <c r="AJ67" s="1"/>
  <c r="AQ70" s="1"/>
  <c r="AV71" s="1"/>
  <c r="AA81"/>
  <c r="AJ81" s="1"/>
  <c r="AV84" s="1"/>
  <c r="G34" i="12"/>
  <c r="I34"/>
  <c r="G33"/>
  <c r="I33"/>
  <c r="W92" i="4" l="1"/>
  <c r="AA92" s="1"/>
  <c r="AV93" s="1"/>
  <c r="E17" i="5" s="1"/>
  <c r="E13"/>
  <c r="E14"/>
  <c r="S92" i="4"/>
  <c r="E18" i="12" l="1"/>
  <c r="G17" i="5"/>
  <c r="E14" i="12"/>
  <c r="G13" i="5"/>
  <c r="G14"/>
  <c r="E15" i="12"/>
  <c r="G18" l="1"/>
  <c r="I18"/>
  <c r="I15"/>
  <c r="G15"/>
  <c r="G14"/>
  <c r="G49" s="1"/>
  <c r="I14"/>
  <c r="I49" s="1"/>
  <c r="G48" i="5"/>
  <c r="H48" l="1"/>
  <c r="H52"/>
  <c r="I22"/>
</calcChain>
</file>

<file path=xl/sharedStrings.xml><?xml version="1.0" encoding="utf-8"?>
<sst xmlns="http://schemas.openxmlformats.org/spreadsheetml/2006/main" count="1017" uniqueCount="296">
  <si>
    <t>Detail estimate for</t>
  </si>
  <si>
    <t>Description Of Item</t>
  </si>
  <si>
    <t>Measurement</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</si>
  <si>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</si>
  <si>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t>
  </si>
  <si>
    <t>@</t>
  </si>
  <si>
    <t>M</t>
  </si>
  <si>
    <t>interval</t>
  </si>
  <si>
    <t>Nos</t>
  </si>
  <si>
    <t>Total</t>
  </si>
  <si>
    <t>Supplying bamboo pegs 0.45 m to 0.75 m long and average dia 6 cm, with saw cut top as per direction of Engineer in charge.</t>
  </si>
  <si>
    <t>Total nos of bamboo peg</t>
  </si>
  <si>
    <t>nos</t>
  </si>
  <si>
    <t xml:space="preserve">Each section at </t>
  </si>
  <si>
    <t>Total nos of Section</t>
  </si>
  <si>
    <t>Bamboo peg of each section</t>
  </si>
  <si>
    <t xml:space="preserve">nos </t>
  </si>
  <si>
    <t>Labour charge for fixing the bamboo pegs 0.45m to 0.75m long and average dia 6cm, as per direction of Engineer in charge</t>
  </si>
  <si>
    <t xml:space="preserve">Earth work in cutting and filling of eroded bank of river, channel etc. to design slope, including levelling, dressing and compacting the earth in 150mm layers and preparation of the base for bank protection work as per direction of Engineer in charge. </t>
  </si>
  <si>
    <t>Limit</t>
  </si>
  <si>
    <t>to</t>
  </si>
  <si>
    <t>+</t>
  </si>
  <si>
    <t>sqm</t>
  </si>
  <si>
    <t>Post</t>
  </si>
  <si>
    <t>cum</t>
  </si>
  <si>
    <t>Sub Total Area</t>
  </si>
  <si>
    <t>Av. Length</t>
  </si>
  <si>
    <t>Width</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</si>
  <si>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</si>
  <si>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Mass =&gt;350gm/m², thickness(Under 2 kpa pressure)  =&gt;3.00 mm, EoS&lt;=0.08mm, strip tensile strength =&gt;23 kn/m, grab strength =&gt;1500 N, CBR puncture resistance =&gt;3800 N.</t>
  </si>
  <si>
    <t>Top</t>
  </si>
  <si>
    <t>Bottom</t>
  </si>
  <si>
    <t>Height</t>
  </si>
  <si>
    <t>Length</t>
  </si>
  <si>
    <t>x</t>
  </si>
  <si>
    <t>Unit</t>
  </si>
  <si>
    <t>Quantity</t>
  </si>
  <si>
    <t>Unit rate</t>
  </si>
  <si>
    <t>Amount</t>
  </si>
  <si>
    <t>Supplying and laying sand as filter layers as per specific size ranges and gradation including preparation of surface, compacting in layer etc. complete with supply of all materials and as per direction of Engineer in charge.(FM = 1.00 to 1.50)</t>
  </si>
  <si>
    <t>(A) 40-610-20 : Well graded between 40mm to 20mm size.</t>
  </si>
  <si>
    <t>(B) 40-610-30 : Well graded between 20mm to 5mm size.</t>
  </si>
  <si>
    <t>Cement concrete work in leanest mix (1:3:6) with sand of FM&gt;1.5, in foundation or floor including braking, screening, grading and washing aggregates with clear water, mixing, laying in position, consolidation to levels, curing, including supply of all materials, execuding the cost of formwork etc. complete as per direction of Engineer in charge, (with 25mm down graded stone shingles.)</t>
  </si>
  <si>
    <t>Total =</t>
  </si>
  <si>
    <t>Dist.</t>
  </si>
  <si>
    <t>RL.</t>
  </si>
  <si>
    <t>Pre.</t>
  </si>
  <si>
    <t>Sqm</t>
  </si>
  <si>
    <t>Site preparation by manually removing all miscellaneous objectional materials from entire site and removing soil upto 15cm depth including uprooting stumps, jungle clearing, levelling dressing etc. complete as per direction of Engineer in charge.</t>
  </si>
  <si>
    <t>Total  Area</t>
  </si>
  <si>
    <t>Avg. Width</t>
  </si>
  <si>
    <t>Certificate</t>
  </si>
  <si>
    <t>(Md. Abdus Sattar)</t>
  </si>
  <si>
    <t>BWDB,  Kushtia.</t>
  </si>
  <si>
    <t xml:space="preserve">Abstract Cost of Estimate for </t>
  </si>
  <si>
    <t>Item Code</t>
  </si>
  <si>
    <t>Item
 No</t>
  </si>
  <si>
    <t>Bifercation nos</t>
  </si>
  <si>
    <t>D/S of Gate</t>
  </si>
  <si>
    <t>04-120</t>
  </si>
  <si>
    <t>04-180</t>
  </si>
  <si>
    <t>04-320</t>
  </si>
  <si>
    <t>04-330</t>
  </si>
  <si>
    <t>Constructing at site, cement mortar gauge on masonry wall, including engraving in meter, decimeter &amp; centimeter, painting and figuring with black and red water proof paint, etc. complete as per direction of Engineer in charge.</t>
  </si>
  <si>
    <t>U/S of Gate</t>
  </si>
  <si>
    <t>at return wall of U/S</t>
  </si>
  <si>
    <t>12-310</t>
  </si>
  <si>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</si>
  <si>
    <t>12-310-20</t>
  </si>
  <si>
    <t>by pump.</t>
  </si>
  <si>
    <t>days</t>
  </si>
  <si>
    <t>hour</t>
  </si>
  <si>
    <t>% efficiency</t>
  </si>
  <si>
    <t>cft</t>
  </si>
  <si>
    <t>52-110</t>
  </si>
  <si>
    <t>Dismantling of construction works, including removing debris within 60m as per direction of Engineer in charge.</t>
  </si>
  <si>
    <t>Existing Damage Return Wall</t>
  </si>
  <si>
    <t>Considering Section at 3</t>
  </si>
  <si>
    <t xml:space="preserve"> Width</t>
  </si>
  <si>
    <t>Block Size 40 cm x 40 cm x 40 cm</t>
  </si>
  <si>
    <t>Block Size 30 cm x 30 cm x 30 cm</t>
  </si>
  <si>
    <t xml:space="preserve">40-190-50  </t>
  </si>
  <si>
    <t>40-190-40</t>
  </si>
  <si>
    <t>(+)</t>
  </si>
  <si>
    <t>Placing Length</t>
  </si>
  <si>
    <t>To</t>
  </si>
  <si>
    <t>Slope  Width</t>
  </si>
  <si>
    <t>Placing Width</t>
  </si>
  <si>
    <t>Placing Area</t>
  </si>
  <si>
    <t xml:space="preserve">Block size: 40cm x 40cm x 20cm </t>
  </si>
  <si>
    <t>Round Portion Placing Area</t>
  </si>
  <si>
    <t>Bifercation Nose</t>
  </si>
  <si>
    <t>Sub Total Placing Area</t>
  </si>
  <si>
    <t>Sub Tota Placing Area D/S</t>
  </si>
  <si>
    <t>D/S</t>
  </si>
  <si>
    <t>Corner filling of Placing Block</t>
  </si>
  <si>
    <t>40-220-20</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</si>
  <si>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</si>
  <si>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28-140</t>
  </si>
  <si>
    <t>Reinforced Cement Concrete Works in leanest mix. 1:2:4 with 25mm down graded coarse aggregates and sand of FM&gt;1.5, to attain a minimum 28 days cylinder strength of 18.0 N/mm², including breaking, screening, grading, washing aggregates with clear water, mixing, laying in forms, consolidation to levels, curing, including supply of all materials, excluding the cost of M.S. work for reinforcements and formworks etc. complete and as per direction of Engineer in charge.</t>
  </si>
  <si>
    <t>28-140-20</t>
  </si>
  <si>
    <t>With stone chips.</t>
  </si>
  <si>
    <t>Return wall base</t>
  </si>
  <si>
    <t>stem</t>
  </si>
  <si>
    <t>8mm dia to 30mm dia</t>
  </si>
  <si>
    <t>Description</t>
  </si>
  <si>
    <t>Shape</t>
  </si>
  <si>
    <t>Lap</t>
  </si>
  <si>
    <t>T. Length</t>
  </si>
  <si>
    <t>Dia</t>
  </si>
  <si>
    <t>Unit Wt.</t>
  </si>
  <si>
    <t>Weight</t>
  </si>
  <si>
    <t>Kg</t>
  </si>
  <si>
    <t>]</t>
  </si>
  <si>
    <t>76-110</t>
  </si>
  <si>
    <t>Base Bottom</t>
  </si>
  <si>
    <t>Base Top</t>
  </si>
  <si>
    <t>Inner</t>
  </si>
  <si>
    <t>outer</t>
  </si>
  <si>
    <t>stem Vertical(outer)</t>
  </si>
  <si>
    <t>36-100</t>
  </si>
  <si>
    <t>Form work for centering and water tight shuttering as per drawing with minimum 25mm thick wooden plank and batten (minimum size 75mmx50mm), struts and props including covering the surface with 28 BWG plain GI sheet, fitting, fixing by nails, tie rods and nuts &amp; bolts to desired level and shape and removing the forms etc. after specified period including the cost of all materials as per direction of Engineer in charge.</t>
  </si>
  <si>
    <t>36-100-10</t>
  </si>
  <si>
    <t>Vertical and inclined walls, columns, piers with 60-80mm dia barrack bamboo props.</t>
  </si>
  <si>
    <t>×</t>
  </si>
  <si>
    <t xml:space="preserve"> =</t>
  </si>
  <si>
    <t>36-100-60</t>
  </si>
  <si>
    <t>Footing, footing beams, girder beams, foundation slab with 60-80mm dia barrack bamboo props.</t>
  </si>
  <si>
    <t xml:space="preserve">Base </t>
  </si>
  <si>
    <t>24-130</t>
  </si>
  <si>
    <t>24-130-10</t>
  </si>
  <si>
    <t>Proportion 1:4</t>
  </si>
  <si>
    <t>Minimum 12mm thick sand cement plaster, (sand of FM&gt;=1.30) in  ground floor, including scaffolding, raking out joints, making sharp edges and corners, cleaning the surface, curing for at least 7 days etc. complete including the cost of all materials  and as per direction of Engineer in charge.</t>
  </si>
  <si>
    <t>Trade</t>
  </si>
  <si>
    <t>Riser</t>
  </si>
  <si>
    <t>Front of gate</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</si>
  <si>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</si>
  <si>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</si>
  <si>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1:</t>
  </si>
  <si>
    <t>16-240</t>
  </si>
  <si>
    <t>Earth work by manual labour, in all kinds of soil in removing the cross bundh/ ring bundh, including all leads and lifts complete and placing the spoils to a safe distance, (minimun 15m apart from the bank) as per direction of Engineer in charge.</t>
  </si>
  <si>
    <t>40-600-40</t>
  </si>
  <si>
    <t>40-600</t>
  </si>
  <si>
    <t>28-120-30</t>
  </si>
  <si>
    <t>M.S. Work for reinforcement with deformed M.S. bar, fy=276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</si>
  <si>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76-110-10</t>
  </si>
  <si>
    <t>Item
 No.</t>
  </si>
  <si>
    <t>Tota Placing Area=</t>
  </si>
  <si>
    <t>Over D/S of KMC</t>
  </si>
  <si>
    <t>Right bank strengthaning portion</t>
  </si>
  <si>
    <t>D/S slope portion</t>
  </si>
  <si>
    <t>Sec-2</t>
  </si>
  <si>
    <t>R/B</t>
  </si>
  <si>
    <t>Sec-3</t>
  </si>
  <si>
    <t>L/B</t>
  </si>
  <si>
    <t>Capacity : 50 kg. (Synthetic bag)</t>
  </si>
  <si>
    <t>Nos of bag</t>
  </si>
  <si>
    <t>/</t>
  </si>
  <si>
    <t xml:space="preserve"> Total Nos of bag</t>
  </si>
  <si>
    <t>Crack portion</t>
  </si>
  <si>
    <t>D/S Width1</t>
  </si>
  <si>
    <t xml:space="preserve"> D/SWidth2</t>
  </si>
  <si>
    <t>16-310-10</t>
  </si>
  <si>
    <t>For moving spoil earth upto a distance of 100m from the centre of the pit.</t>
  </si>
  <si>
    <t xml:space="preserve">Bifurcation nose portion. </t>
  </si>
  <si>
    <t>Sec-1</t>
  </si>
  <si>
    <t>Bed</t>
  </si>
  <si>
    <t>D/S Return wall portion</t>
  </si>
  <si>
    <t>44-220-10</t>
  </si>
  <si>
    <t>Supplying and laying single layer polythene sheet in floor below cement concrete, RCC slab, on walls etc. complete in all respect as per direction of Engineer in charge.</t>
  </si>
  <si>
    <t>Weight minimum 1.0 kg per 6.50 sqm.</t>
  </si>
  <si>
    <t>kg</t>
  </si>
  <si>
    <t>Main1- D-10</t>
  </si>
  <si>
    <t>Binder D-10@250 c/c</t>
  </si>
  <si>
    <t>.25+.05</t>
  </si>
  <si>
    <t>Slop</t>
  </si>
  <si>
    <t>80% D/S Return wall portion</t>
  </si>
  <si>
    <t>16-230</t>
  </si>
  <si>
    <t>Compaction of earth in resectioning of embankment/ canal bank/ road/ river bank slopes/ compounds etc as per design to profile in layers not exceeding 150mm in thickness in all kinds of soils etc. complete as per direction of Engineer in charge.</t>
  </si>
  <si>
    <t>16-230-20</t>
  </si>
  <si>
    <t>By 7.00 kg. iron rammer to remove all voids from soil.</t>
  </si>
  <si>
    <t xml:space="preserve"> Total Area</t>
  </si>
  <si>
    <t>Wall Base</t>
  </si>
  <si>
    <t>Over MC</t>
  </si>
  <si>
    <t>Over D/S of GMC</t>
  </si>
  <si>
    <t>52-110-30</t>
  </si>
  <si>
    <t>40-900</t>
  </si>
  <si>
    <t>40-650-30</t>
  </si>
  <si>
    <t>40-610</t>
  </si>
  <si>
    <t>40-610-20</t>
  </si>
  <si>
    <t>40-610-30</t>
  </si>
  <si>
    <t>Quantity same as Item no.3</t>
  </si>
  <si>
    <t xml:space="preserve"> Total</t>
  </si>
  <si>
    <t>Total Area=</t>
  </si>
  <si>
    <t xml:space="preserve"> Total </t>
  </si>
  <si>
    <t>Bifercation Nose gap filling</t>
  </si>
  <si>
    <t>D/S gap filling</t>
  </si>
  <si>
    <t>50 % of Item 15</t>
  </si>
  <si>
    <t>brick masonry in cement</t>
  </si>
  <si>
    <t>D/S wing</t>
  </si>
  <si>
    <t>U/S wing</t>
  </si>
  <si>
    <t>Box portion</t>
  </si>
  <si>
    <t>Machine room</t>
  </si>
  <si>
    <t>Guard sheed</t>
  </si>
  <si>
    <t>20-250</t>
  </si>
  <si>
    <t>Cole Tar: Epoxy</t>
  </si>
  <si>
    <t xml:space="preserve">ltr </t>
  </si>
  <si>
    <t xml:space="preserve">(Md. Mizanur Rahman) </t>
  </si>
  <si>
    <t>(Md. Zahurul Islam)</t>
  </si>
  <si>
    <t>Sub-Assistant Engineer/SO</t>
  </si>
  <si>
    <t>Sub-Divisional Engineer(A.C)</t>
  </si>
  <si>
    <t>Bheramara O&amp;M Sub-Division</t>
  </si>
  <si>
    <t>BWDB, Bheramara, Kushtia.</t>
  </si>
  <si>
    <t>Executive Engineer</t>
  </si>
  <si>
    <t>Kushtia O&amp;M Division</t>
  </si>
  <si>
    <t>Mirpur O&amp;M Section</t>
  </si>
  <si>
    <t>BWDB, Mirpur, Kushtia</t>
  </si>
  <si>
    <t>BWDB, Mirpur, Kushtia.</t>
  </si>
  <si>
    <t>BANGLADESH WATER DEVELOPMENT BOARD</t>
  </si>
  <si>
    <t>Rehabilitation of the Ganges-Kobadak Irrigation Project</t>
  </si>
  <si>
    <t xml:space="preserve">COST ESTIMATE </t>
  </si>
  <si>
    <t>For</t>
  </si>
  <si>
    <t xml:space="preserve">Name of Division           </t>
  </si>
  <si>
    <t>:</t>
  </si>
  <si>
    <t>Kushtia O&amp;M Division, BWDB, Kushtia</t>
  </si>
  <si>
    <t xml:space="preserve">Name of Circle </t>
  </si>
  <si>
    <t>Kushtia O&amp;M Circle, BWDB, Kushtia</t>
  </si>
  <si>
    <t xml:space="preserve">Name of Zone </t>
  </si>
  <si>
    <t>Mid-Western Zone, BWDB, Faridpur.</t>
  </si>
  <si>
    <t>Total Cost (Taka) =</t>
  </si>
  <si>
    <t>m</t>
  </si>
  <si>
    <t>Back filling in hydraulic structures and slope building in protective works including all leads and lifts with selected local soil in layer of 150mm including watering, ramming etc. complete compacted to 20% relative density by compactor or anyother suitable method as per direction of Engineer in charge.</t>
  </si>
  <si>
    <t>16-530</t>
  </si>
  <si>
    <t>Pre. A</t>
  </si>
  <si>
    <t>Post. A</t>
  </si>
  <si>
    <t>Total=</t>
  </si>
  <si>
    <t>Difference=</t>
  </si>
  <si>
    <t>Volume=</t>
  </si>
  <si>
    <t>As per Calcuation sheet</t>
  </si>
  <si>
    <t>Area</t>
  </si>
  <si>
    <t>Limit=</t>
  </si>
  <si>
    <t>Volume</t>
  </si>
  <si>
    <t>40-440-30</t>
  </si>
  <si>
    <t>Same as Item no.24</t>
  </si>
  <si>
    <t>Supplying and filling empty gunny/synthetic bags as approved in design &amp; drawing with sand/ earth available at site sewing the end with sutly, including carrying and placing in position within the site with supply of all materials as per direction of Engineer in charge.</t>
  </si>
  <si>
    <t>Same as Item no.8</t>
  </si>
  <si>
    <t>Bifercation Nose portion</t>
  </si>
  <si>
    <t>Nose portion Area</t>
  </si>
  <si>
    <t>Total Placing Blocks</t>
  </si>
  <si>
    <t>Limit:</t>
  </si>
  <si>
    <t>Bifercation nose portion Sub Total Area</t>
  </si>
  <si>
    <t>2.00 Ltr for crack portion</t>
  </si>
  <si>
    <t>Cross bundh</t>
  </si>
  <si>
    <t>Considering 5% Void</t>
  </si>
  <si>
    <t>Deduction fron earth cutting portion(Sec-1)</t>
  </si>
  <si>
    <t>Sec-1(D/S)</t>
  </si>
  <si>
    <t>Section -3(D/S)</t>
  </si>
  <si>
    <t>Section -2(D/S)</t>
  </si>
  <si>
    <t>Schedule of works for</t>
  </si>
  <si>
    <t xml:space="preserve"> Item No</t>
  </si>
  <si>
    <t>In Figure</t>
  </si>
  <si>
    <t>Considering Section at 1 &amp; 3</t>
  </si>
  <si>
    <t>D/S work portion</t>
  </si>
  <si>
    <t>Description of Item</t>
  </si>
  <si>
    <t>16-360-10</t>
  </si>
  <si>
    <t xml:space="preserve">Earth work by carried earth by truck/boat or any other means supplied at contractor's own cost (including royalty) in constructing/ resectioning of the embankment/ canal bank/ road etc. in clayey soil (minimum 30% clay, 0-40% silt and 0-30% sand) beyond the initial lead of 300m including throwing the spoils to a profile in layers not exceeding 150mm in thickness, breaking clods, benching the side slopes, stripping the base of embankment and borrow pit area, dug bailing, cutting trees upto 200mm girth with uprooting stumps, clearing jungles, bail out of water, rough dressing and 150mm cambering at the centre of the crest etc. complete as per design, specification and direction of Engineer in charge.
16-360-10: 300 m to 1.00 km
</t>
  </si>
  <si>
    <t>Tota Nos Placing Block</t>
  </si>
  <si>
    <t xml:space="preserve">Total </t>
  </si>
  <si>
    <t>40-440</t>
  </si>
  <si>
    <t xml:space="preserve">Supplying and placing non-woven needle punched type geotextile fabric as filter materials of  elongation &gt;=40%,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charge.(Geotextile delivered at site should be certified by ISO and clearly labelled with brand name and grade printed at regular intervals accross the body of the fabric). 40-600-40 </t>
  </si>
  <si>
    <t>Details earthwork for</t>
  </si>
  <si>
    <t>Filling volume</t>
  </si>
  <si>
    <t>Cutting volume=</t>
  </si>
  <si>
    <t>Manufacturing and supplying C.C. blocks in leanest mix. 1:3:6, with cement, sand (FM&gt;=1.5) and shingles (40mm down graded), to attain a minimum 28 days cylinder strength of 9.0 N/mm²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t>
  </si>
  <si>
    <t>40-190</t>
  </si>
  <si>
    <t xml:space="preserve">40-190-35 </t>
  </si>
  <si>
    <t>04-280-10</t>
  </si>
  <si>
    <t>Package No.:GKIP/KUS/W-1/12-13</t>
  </si>
  <si>
    <t>Repair &amp; Rehabilitation of Head Regulator of Kushtia (HRK) at Km 10.60 of Kushtia Main Canal (KMC) in c/w Rehabilitation of the Ganges-Kobadak Irrigation Project under Kushtia O &amp; M Division, BWDB, Kushtia.</t>
  </si>
  <si>
    <t>From Item no : 14</t>
  </si>
  <si>
    <t>40-220</t>
  </si>
  <si>
    <t>Labour charge for protective works in laying CC blocks of different sizes including preparation of base, watering and ramming of base etc. complete as per direction of Engineer in charge.</t>
  </si>
  <si>
    <t>40-220-10</t>
  </si>
  <si>
    <t xml:space="preserve"> (A) within 200 M</t>
  </si>
  <si>
    <t>40% of total quantity</t>
  </si>
  <si>
    <t xml:space="preserve"> (B)Beyond 200 M</t>
  </si>
  <si>
    <t>60% of total quantity</t>
  </si>
  <si>
    <t>Cutting</t>
  </si>
  <si>
    <t>Filling</t>
  </si>
  <si>
    <t>.9+.85+.95</t>
  </si>
  <si>
    <t>Considering  3nos 1.00 cusec pump running average 10 hours / day only for 20 days for constructing D/S loose and lunching apron.</t>
  </si>
  <si>
    <t>85% qty of item no-10</t>
  </si>
  <si>
    <t>Certified that the Estimate has been prepared on the basis of approved design, physical condition and examined on the basis of Standard schedule of rates of Kushtia O&amp;M Circle, BWDB, Kushtia. The items provided are fully appropriate and essentially required. The verified estimated amount of Tk 1,07,78,706.20 (Tk. One crore seven lakh seventy eight thousand seven hundred six &amp; paisa two zero) only for Package No.:GKIP/KUS/W-1/12-13 may be sanctioned.</t>
  </si>
  <si>
    <t>Total Amount (Tk.):</t>
  </si>
  <si>
    <t>Quated rate</t>
  </si>
  <si>
    <t>1,07,79,969.11</t>
  </si>
</sst>
</file>

<file path=xl/styles.xml><?xml version="1.0" encoding="utf-8"?>
<styleSheet xmlns="http://schemas.openxmlformats.org/spreadsheetml/2006/main">
  <numFmts count="7">
    <numFmt numFmtId="43" formatCode="_(* #,##0.00_);_(* \(#,##0.00\);_(* &quot;-&quot;??_);_(@_)"/>
    <numFmt numFmtId="164" formatCode="_-* #,##0.00_-;\-* #,##0.00_-;_-* &quot;-&quot;??_-;_-@_-"/>
    <numFmt numFmtId="165" formatCode="0.000"/>
    <numFmt numFmtId="167" formatCode="0.0"/>
    <numFmt numFmtId="168" formatCode="_(* #,##0.0_);_(* \(#,##0.0\);_(* &quot;-&quot;??_);_(@_)"/>
    <numFmt numFmtId="169" formatCode="_-* #,##0.0_-;\-* #,##0.0_-;_-* &quot;-&quot;??_-;_-@_-"/>
    <numFmt numFmtId="170" formatCode="_-* #,##0_-;\-* #,##0_-;_-* &quot;-&quot;??_-;_-@_-"/>
  </numFmts>
  <fonts count="45">
    <font>
      <sz val="10"/>
      <name val="Arial"/>
    </font>
    <font>
      <sz val="10"/>
      <name val="Arial"/>
      <family val="2"/>
    </font>
    <font>
      <sz val="8"/>
      <name val="Arial"/>
      <family val="2"/>
    </font>
    <font>
      <sz val="10"/>
      <name val="Arial"/>
      <family val="2"/>
    </font>
    <font>
      <sz val="14"/>
      <name val="Times"/>
      <family val="1"/>
    </font>
    <font>
      <sz val="10"/>
      <name val="Times"/>
      <family val="1"/>
    </font>
    <font>
      <sz val="20"/>
      <name val="Times"/>
      <family val="1"/>
    </font>
    <font>
      <b/>
      <sz val="10"/>
      <name val="Times"/>
      <family val="1"/>
    </font>
    <font>
      <sz val="12"/>
      <name val="Times"/>
      <family val="1"/>
    </font>
    <font>
      <b/>
      <sz val="14"/>
      <name val="Times"/>
      <family val="1"/>
    </font>
    <font>
      <sz val="8"/>
      <name val="Times New Roman"/>
      <family val="1"/>
    </font>
    <font>
      <sz val="9"/>
      <name val="Times New Roman"/>
      <family val="1"/>
    </font>
    <font>
      <sz val="10"/>
      <name val="Times New Roman"/>
      <family val="1"/>
    </font>
    <font>
      <sz val="12"/>
      <name val="Times New Roman"/>
      <family val="1"/>
    </font>
    <font>
      <b/>
      <i/>
      <sz val="10"/>
      <name val="Times New Roman"/>
      <family val="1"/>
    </font>
    <font>
      <sz val="8"/>
      <name val="Arial"/>
      <family val="2"/>
    </font>
    <font>
      <b/>
      <i/>
      <sz val="18"/>
      <name val="Times New Roman"/>
      <family val="1"/>
    </font>
    <font>
      <b/>
      <i/>
      <sz val="16"/>
      <name val="Times New Roman"/>
      <family val="1"/>
    </font>
    <font>
      <b/>
      <i/>
      <sz val="14"/>
      <name val="Times New Roman"/>
      <family val="1"/>
    </font>
    <font>
      <i/>
      <sz val="14"/>
      <name val="Times New Roman"/>
      <family val="1"/>
    </font>
    <font>
      <i/>
      <sz val="10"/>
      <name val="Times New Roman"/>
      <family val="1"/>
    </font>
    <font>
      <sz val="14"/>
      <name val="Times New Roman"/>
      <family val="1"/>
    </font>
    <font>
      <b/>
      <sz val="14"/>
      <name val="Times New Roman"/>
      <family val="1"/>
    </font>
    <font>
      <b/>
      <sz val="12"/>
      <name val="Times New Roman"/>
      <family val="1"/>
    </font>
    <font>
      <u/>
      <sz val="14"/>
      <name val="Times New Roman"/>
      <family val="1"/>
    </font>
    <font>
      <b/>
      <sz val="8"/>
      <name val="Times New Roman"/>
      <family val="1"/>
    </font>
    <font>
      <sz val="10"/>
      <name val="Arial Narrow"/>
      <family val="2"/>
    </font>
    <font>
      <sz val="8"/>
      <name val="Arial Narrow"/>
      <family val="2"/>
    </font>
    <font>
      <b/>
      <sz val="8"/>
      <name val="Arial Narrow"/>
      <family val="2"/>
    </font>
    <font>
      <sz val="8"/>
      <color indexed="12"/>
      <name val="Arial Narrow"/>
      <family val="2"/>
    </font>
    <font>
      <sz val="10"/>
      <color indexed="12"/>
      <name val="Arial Narrow"/>
      <family val="2"/>
    </font>
    <font>
      <sz val="7"/>
      <color indexed="62"/>
      <name val="Arial Narrow"/>
      <family val="2"/>
    </font>
    <font>
      <b/>
      <sz val="10"/>
      <name val="Arial Narrow"/>
      <family val="2"/>
    </font>
    <font>
      <sz val="9"/>
      <name val="Arial Narrow"/>
      <family val="2"/>
    </font>
    <font>
      <sz val="7"/>
      <color indexed="10"/>
      <name val="Arial Narrow"/>
      <family val="2"/>
    </font>
    <font>
      <b/>
      <sz val="8"/>
      <color indexed="12"/>
      <name val="Arial Narrow"/>
      <family val="2"/>
    </font>
    <font>
      <u/>
      <sz val="12"/>
      <name val="Times New Roman"/>
      <family val="1"/>
    </font>
    <font>
      <sz val="11"/>
      <name val="Times New Roman"/>
      <family val="1"/>
    </font>
    <font>
      <u/>
      <sz val="14"/>
      <name val="Times"/>
      <family val="1"/>
    </font>
    <font>
      <sz val="8"/>
      <name val="Arial"/>
      <family val="2"/>
    </font>
    <font>
      <sz val="11"/>
      <name val="Times"/>
      <family val="1"/>
    </font>
    <font>
      <b/>
      <sz val="12"/>
      <name val="Times"/>
      <family val="1"/>
    </font>
    <font>
      <sz val="15"/>
      <name val="Times New Roman"/>
      <family val="1"/>
    </font>
    <font>
      <b/>
      <u/>
      <sz val="16"/>
      <name val="Times New Roman"/>
      <family val="1"/>
    </font>
    <font>
      <b/>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31">
    <border>
      <left/>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diagonal/>
    </border>
  </borders>
  <cellStyleXfs count="5">
    <xf numFmtId="0" fontId="0" fillId="0" borderId="0"/>
    <xf numFmtId="164" fontId="1" fillId="0" borderId="0" applyFont="0" applyFill="0" applyBorder="0" applyAlignment="0" applyProtection="0"/>
    <xf numFmtId="164" fontId="3" fillId="0" borderId="0" applyFont="0" applyFill="0" applyBorder="0" applyAlignment="0" applyProtection="0"/>
    <xf numFmtId="0" fontId="3" fillId="0" borderId="0"/>
    <xf numFmtId="0" fontId="1" fillId="0" borderId="0"/>
  </cellStyleXfs>
  <cellXfs count="444">
    <xf numFmtId="0" fontId="0" fillId="0" borderId="0" xfId="0"/>
    <xf numFmtId="2" fontId="11" fillId="0" borderId="0" xfId="0" applyNumberFormat="1" applyFont="1" applyFill="1" applyBorder="1" applyAlignment="1"/>
    <xf numFmtId="0" fontId="11" fillId="0" borderId="0" xfId="0" applyFont="1" applyFill="1" applyBorder="1" applyAlignment="1"/>
    <xf numFmtId="0" fontId="11" fillId="0" borderId="0" xfId="0" applyFont="1" applyFill="1" applyBorder="1" applyAlignment="1">
      <alignment vertical="top" wrapText="1"/>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0" borderId="2" xfId="0" applyFont="1" applyFill="1" applyBorder="1" applyAlignment="1">
      <alignment vertical="top"/>
    </xf>
    <xf numFmtId="0" fontId="11" fillId="0" borderId="0" xfId="0" applyFont="1" applyFill="1" applyBorder="1" applyAlignment="1">
      <alignment vertical="top"/>
    </xf>
    <xf numFmtId="0" fontId="12" fillId="0" borderId="0" xfId="0" applyFont="1" applyFill="1"/>
    <xf numFmtId="0" fontId="11" fillId="0" borderId="3" xfId="0" applyFont="1" applyFill="1" applyBorder="1" applyAlignment="1">
      <alignment vertical="top"/>
    </xf>
    <xf numFmtId="0" fontId="11" fillId="0" borderId="4" xfId="0" applyFont="1" applyFill="1" applyBorder="1" applyAlignment="1"/>
    <xf numFmtId="0" fontId="12" fillId="0" borderId="5" xfId="0" applyFont="1" applyFill="1" applyBorder="1" applyAlignment="1">
      <alignment horizontal="center" vertical="center" wrapText="1"/>
    </xf>
    <xf numFmtId="0" fontId="12" fillId="0" borderId="5" xfId="0" applyFont="1" applyFill="1" applyBorder="1" applyAlignment="1">
      <alignment horizontal="center" vertical="center"/>
    </xf>
    <xf numFmtId="0" fontId="11" fillId="0" borderId="4" xfId="0" applyFont="1" applyFill="1" applyBorder="1" applyAlignment="1">
      <alignment vertical="top" wrapText="1"/>
    </xf>
    <xf numFmtId="0" fontId="11" fillId="0" borderId="0" xfId="0" applyFont="1" applyFill="1" applyBorder="1" applyAlignment="1">
      <alignment vertical="center"/>
    </xf>
    <xf numFmtId="2" fontId="11" fillId="0" borderId="0" xfId="0" applyNumberFormat="1" applyFont="1" applyFill="1" applyBorder="1" applyAlignment="1">
      <alignment vertical="center" wrapText="1"/>
    </xf>
    <xf numFmtId="0" fontId="11" fillId="0" borderId="2" xfId="0" applyFont="1" applyFill="1" applyBorder="1" applyAlignment="1">
      <alignment vertical="center"/>
    </xf>
    <xf numFmtId="0" fontId="11" fillId="0" borderId="2" xfId="0" applyFont="1" applyFill="1" applyBorder="1" applyAlignment="1"/>
    <xf numFmtId="2" fontId="11" fillId="0" borderId="2" xfId="0" applyNumberFormat="1" applyFont="1" applyFill="1" applyBorder="1" applyAlignment="1"/>
    <xf numFmtId="0" fontId="11" fillId="0" borderId="0" xfId="0" applyFont="1" applyFill="1" applyBorder="1" applyAlignment="1">
      <alignment wrapText="1"/>
    </xf>
    <xf numFmtId="0" fontId="11" fillId="0" borderId="1" xfId="0" applyFont="1" applyFill="1" applyBorder="1" applyAlignment="1"/>
    <xf numFmtId="0" fontId="11" fillId="0" borderId="3" xfId="0" applyFont="1" applyFill="1" applyBorder="1" applyAlignment="1"/>
    <xf numFmtId="49" fontId="11" fillId="0" borderId="0" xfId="0" applyNumberFormat="1" applyFont="1" applyFill="1" applyBorder="1" applyAlignment="1"/>
    <xf numFmtId="165" fontId="11" fillId="0" borderId="0" xfId="0" applyNumberFormat="1" applyFont="1" applyFill="1" applyBorder="1" applyAlignment="1"/>
    <xf numFmtId="0" fontId="11" fillId="0" borderId="4" xfId="0" applyFont="1" applyFill="1" applyBorder="1" applyAlignment="1">
      <alignment vertical="center" wrapText="1"/>
    </xf>
    <xf numFmtId="0" fontId="11" fillId="0" borderId="0" xfId="0" applyFont="1" applyFill="1" applyBorder="1" applyAlignment="1">
      <alignment vertical="center" wrapText="1"/>
    </xf>
    <xf numFmtId="0" fontId="11" fillId="0" borderId="2" xfId="0" applyFont="1" applyFill="1" applyBorder="1" applyAlignment="1">
      <alignment vertical="top" wrapText="1"/>
    </xf>
    <xf numFmtId="0" fontId="11" fillId="0" borderId="6" xfId="0" applyFont="1" applyFill="1" applyBorder="1" applyAlignment="1">
      <alignment vertical="top" wrapText="1"/>
    </xf>
    <xf numFmtId="0" fontId="10" fillId="0" borderId="0" xfId="0" applyFont="1" applyFill="1" applyBorder="1" applyAlignment="1">
      <alignment horizontal="center"/>
    </xf>
    <xf numFmtId="0" fontId="10" fillId="0" borderId="0" xfId="0" applyFont="1" applyFill="1" applyBorder="1" applyAlignment="1">
      <alignment horizontal="justify" vertical="top"/>
    </xf>
    <xf numFmtId="167" fontId="11" fillId="0" borderId="0" xfId="0" applyNumberFormat="1" applyFont="1" applyFill="1" applyBorder="1" applyAlignment="1"/>
    <xf numFmtId="0" fontId="11" fillId="0" borderId="1" xfId="0" applyFont="1" applyFill="1" applyBorder="1" applyAlignment="1">
      <alignment vertical="top" wrapText="1" shrinkToFit="1"/>
    </xf>
    <xf numFmtId="0" fontId="11" fillId="0" borderId="6" xfId="0" applyFont="1" applyFill="1" applyBorder="1" applyAlignment="1">
      <alignment vertical="center"/>
    </xf>
    <xf numFmtId="2" fontId="11" fillId="0" borderId="4" xfId="0" applyNumberFormat="1" applyFont="1" applyFill="1" applyBorder="1" applyAlignment="1"/>
    <xf numFmtId="0" fontId="11" fillId="0" borderId="0" xfId="0" applyFont="1" applyFill="1" applyBorder="1" applyAlignment="1">
      <alignment vertical="top" wrapText="1" shrinkToFit="1"/>
    </xf>
    <xf numFmtId="0" fontId="12" fillId="0" borderId="5" xfId="0" applyFont="1" applyFill="1" applyBorder="1" applyAlignment="1">
      <alignment horizontal="center" vertical="top" wrapText="1"/>
    </xf>
    <xf numFmtId="0" fontId="12" fillId="0" borderId="5" xfId="0" applyFont="1" applyFill="1" applyBorder="1" applyAlignment="1">
      <alignment horizontal="center" vertical="top"/>
    </xf>
    <xf numFmtId="0" fontId="12" fillId="0" borderId="0" xfId="0" applyFont="1" applyFill="1" applyAlignment="1">
      <alignment horizontal="center" vertical="top"/>
    </xf>
    <xf numFmtId="0" fontId="13" fillId="0" borderId="0" xfId="0" applyFont="1" applyFill="1" applyAlignment="1">
      <alignment vertical="center"/>
    </xf>
    <xf numFmtId="0" fontId="13" fillId="0" borderId="0" xfId="0" applyFont="1" applyFill="1"/>
    <xf numFmtId="0" fontId="13" fillId="0" borderId="0" xfId="0" applyFont="1" applyFill="1" applyBorder="1" applyAlignment="1">
      <alignment horizontal="right" vertical="top" wrapText="1"/>
    </xf>
    <xf numFmtId="0" fontId="12" fillId="0" borderId="5" xfId="0" applyFont="1" applyFill="1" applyBorder="1" applyAlignment="1">
      <alignment horizontal="justify" vertical="top" wrapText="1"/>
    </xf>
    <xf numFmtId="2" fontId="12" fillId="0" borderId="5" xfId="0" applyNumberFormat="1" applyFont="1" applyFill="1" applyBorder="1" applyAlignment="1">
      <alignment horizontal="center" vertical="top" wrapText="1"/>
    </xf>
    <xf numFmtId="1" fontId="12" fillId="0" borderId="5" xfId="0" applyNumberFormat="1" applyFont="1" applyFill="1" applyBorder="1" applyAlignment="1">
      <alignment horizontal="center" vertical="top" wrapText="1"/>
    </xf>
    <xf numFmtId="1" fontId="12" fillId="0" borderId="5" xfId="0" applyNumberFormat="1" applyFont="1" applyFill="1" applyBorder="1" applyAlignment="1">
      <alignment horizontal="center" vertical="top"/>
    </xf>
    <xf numFmtId="43" fontId="12" fillId="0" borderId="5" xfId="0" applyNumberFormat="1" applyFont="1" applyFill="1" applyBorder="1" applyAlignment="1">
      <alignment horizontal="center" vertical="top"/>
    </xf>
    <xf numFmtId="2" fontId="12" fillId="0" borderId="5" xfId="0" applyNumberFormat="1" applyFont="1" applyFill="1" applyBorder="1" applyAlignment="1">
      <alignment horizontal="center" vertical="top"/>
    </xf>
    <xf numFmtId="0" fontId="10" fillId="0" borderId="0" xfId="0" applyFont="1" applyFill="1" applyAlignment="1">
      <alignment horizontal="center" vertical="top"/>
    </xf>
    <xf numFmtId="0" fontId="10" fillId="0" borderId="0" xfId="0" applyFont="1" applyFill="1" applyAlignment="1">
      <alignment horizontal="justify" vertical="top"/>
    </xf>
    <xf numFmtId="0" fontId="12" fillId="0" borderId="0" xfId="0" applyFont="1" applyFill="1" applyAlignment="1">
      <alignment horizontal="justify" vertical="top"/>
    </xf>
    <xf numFmtId="0" fontId="12" fillId="0" borderId="5" xfId="0" applyFont="1" applyFill="1" applyBorder="1" applyAlignment="1">
      <alignment horizontal="left" vertical="top" wrapText="1"/>
    </xf>
    <xf numFmtId="43" fontId="12" fillId="0" borderId="0" xfId="0" applyNumberFormat="1" applyFont="1"/>
    <xf numFmtId="0" fontId="12" fillId="0" borderId="0" xfId="0" applyFont="1"/>
    <xf numFmtId="0" fontId="12" fillId="2" borderId="0" xfId="0" applyFont="1" applyFill="1" applyBorder="1"/>
    <xf numFmtId="0" fontId="12" fillId="0" borderId="0" xfId="0" applyFont="1" applyBorder="1"/>
    <xf numFmtId="0" fontId="12" fillId="0" borderId="7" xfId="0" applyFont="1" applyBorder="1" applyAlignment="1">
      <alignment horizontal="center" vertical="top"/>
    </xf>
    <xf numFmtId="0" fontId="12" fillId="0" borderId="8" xfId="0" applyFont="1" applyBorder="1" applyAlignment="1">
      <alignment horizontal="center" vertical="top"/>
    </xf>
    <xf numFmtId="0" fontId="12" fillId="0" borderId="9" xfId="0" applyFont="1" applyBorder="1" applyAlignment="1">
      <alignment horizontal="center" vertical="top"/>
    </xf>
    <xf numFmtId="0" fontId="12" fillId="0" borderId="10" xfId="0" applyFont="1" applyBorder="1" applyAlignment="1">
      <alignment horizontal="center" vertical="top"/>
    </xf>
    <xf numFmtId="0" fontId="12" fillId="0" borderId="0" xfId="0" applyFont="1" applyBorder="1" applyAlignment="1">
      <alignment horizontal="center" vertical="top"/>
    </xf>
    <xf numFmtId="0" fontId="12" fillId="0" borderId="11" xfId="0" applyFont="1" applyBorder="1" applyAlignment="1">
      <alignment horizontal="center" vertical="top"/>
    </xf>
    <xf numFmtId="0" fontId="14" fillId="0" borderId="0" xfId="0" applyFont="1" applyBorder="1" applyAlignment="1">
      <alignment horizontal="center" vertical="top"/>
    </xf>
    <xf numFmtId="0" fontId="20" fillId="0" borderId="0" xfId="0" applyFont="1" applyBorder="1" applyAlignment="1">
      <alignment horizontal="center" vertical="top" wrapText="1"/>
    </xf>
    <xf numFmtId="0" fontId="12" fillId="0" borderId="0" xfId="0" applyFont="1" applyFill="1" applyBorder="1" applyAlignment="1">
      <alignment horizontal="center" vertical="top"/>
    </xf>
    <xf numFmtId="0" fontId="12" fillId="0" borderId="0" xfId="0" applyFont="1" applyBorder="1" applyAlignment="1">
      <alignment vertical="top"/>
    </xf>
    <xf numFmtId="0" fontId="12" fillId="0" borderId="0" xfId="0" applyFont="1" applyBorder="1" applyAlignment="1">
      <alignment horizontal="left" vertical="top"/>
    </xf>
    <xf numFmtId="0" fontId="21" fillId="0" borderId="0" xfId="4" applyFont="1" applyBorder="1" applyAlignment="1">
      <alignment vertical="top"/>
    </xf>
    <xf numFmtId="0" fontId="22" fillId="0" borderId="0" xfId="4" applyFont="1" applyBorder="1" applyAlignment="1">
      <alignment horizontal="center" vertical="top" wrapText="1"/>
    </xf>
    <xf numFmtId="0" fontId="21" fillId="0" borderId="0" xfId="4" applyFont="1" applyBorder="1" applyAlignment="1">
      <alignment vertical="top" wrapText="1"/>
    </xf>
    <xf numFmtId="0" fontId="12" fillId="0" borderId="12" xfId="0" applyFont="1" applyBorder="1" applyAlignment="1">
      <alignment horizontal="center" vertical="top"/>
    </xf>
    <xf numFmtId="0" fontId="12" fillId="0" borderId="13" xfId="0" applyFont="1" applyBorder="1" applyAlignment="1">
      <alignment horizontal="center" vertical="top"/>
    </xf>
    <xf numFmtId="0" fontId="12" fillId="0" borderId="13" xfId="0" applyFont="1" applyBorder="1"/>
    <xf numFmtId="0" fontId="12" fillId="0" borderId="13" xfId="0" applyFont="1" applyBorder="1" applyAlignment="1">
      <alignment horizontal="left" vertical="top"/>
    </xf>
    <xf numFmtId="0" fontId="12" fillId="0" borderId="14" xfId="0" applyFont="1" applyBorder="1" applyAlignment="1">
      <alignment horizontal="center" vertical="top"/>
    </xf>
    <xf numFmtId="0" fontId="12" fillId="2" borderId="0" xfId="0" applyFont="1" applyFill="1" applyAlignment="1">
      <alignment horizontal="center"/>
    </xf>
    <xf numFmtId="0" fontId="13" fillId="0" borderId="5" xfId="0" applyFont="1" applyFill="1" applyBorder="1"/>
    <xf numFmtId="0" fontId="12" fillId="0" borderId="5" xfId="0" applyFont="1" applyFill="1" applyBorder="1" applyAlignment="1">
      <alignment horizontal="justify" vertical="center" wrapText="1"/>
    </xf>
    <xf numFmtId="164" fontId="13" fillId="0" borderId="0" xfId="0" applyNumberFormat="1" applyFont="1" applyFill="1"/>
    <xf numFmtId="0" fontId="11" fillId="0" borderId="0" xfId="0" applyFont="1" applyFill="1" applyAlignment="1">
      <alignment vertical="center"/>
    </xf>
    <xf numFmtId="43" fontId="13" fillId="0" borderId="0" xfId="0" applyNumberFormat="1" applyFont="1" applyFill="1"/>
    <xf numFmtId="167" fontId="11" fillId="0" borderId="2" xfId="0" applyNumberFormat="1" applyFont="1" applyFill="1" applyBorder="1" applyAlignment="1"/>
    <xf numFmtId="0" fontId="11" fillId="0" borderId="0" xfId="0" applyFont="1" applyFill="1" applyAlignment="1"/>
    <xf numFmtId="1" fontId="11" fillId="0" borderId="0" xfId="0" applyNumberFormat="1" applyFont="1" applyFill="1" applyBorder="1" applyAlignment="1"/>
    <xf numFmtId="0" fontId="11" fillId="0" borderId="6" xfId="0" applyFont="1" applyFill="1" applyBorder="1" applyAlignment="1">
      <alignment vertical="top"/>
    </xf>
    <xf numFmtId="170" fontId="11" fillId="0" borderId="0" xfId="0" applyNumberFormat="1" applyFont="1" applyFill="1" applyAlignment="1"/>
    <xf numFmtId="170" fontId="11" fillId="0" borderId="0" xfId="0" applyNumberFormat="1" applyFont="1" applyFill="1" applyBorder="1" applyAlignment="1"/>
    <xf numFmtId="16" fontId="11" fillId="0" borderId="0" xfId="0" applyNumberFormat="1" applyFont="1" applyFill="1" applyBorder="1" applyAlignment="1"/>
    <xf numFmtId="0" fontId="11" fillId="0" borderId="6" xfId="0" applyFont="1" applyFill="1" applyBorder="1" applyAlignment="1"/>
    <xf numFmtId="49" fontId="11" fillId="0" borderId="0" xfId="0" applyNumberFormat="1" applyFont="1" applyFill="1" applyBorder="1" applyAlignment="1">
      <alignment vertical="center"/>
    </xf>
    <xf numFmtId="21" fontId="11" fillId="0" borderId="0" xfId="0" applyNumberFormat="1" applyFont="1" applyFill="1" applyBorder="1" applyAlignment="1"/>
    <xf numFmtId="0" fontId="11" fillId="0" borderId="0" xfId="0" applyNumberFormat="1" applyFont="1" applyFill="1" applyBorder="1" applyAlignment="1"/>
    <xf numFmtId="0" fontId="11" fillId="0" borderId="0" xfId="0" applyFont="1" applyFill="1" applyBorder="1" applyAlignment="1">
      <alignment horizontal="center"/>
    </xf>
    <xf numFmtId="2" fontId="11" fillId="0" borderId="0" xfId="0" applyNumberFormat="1" applyFont="1" applyFill="1" applyBorder="1" applyAlignment="1">
      <alignment horizontal="center"/>
    </xf>
    <xf numFmtId="0" fontId="11" fillId="0" borderId="15" xfId="0" applyFont="1" applyFill="1" applyBorder="1" applyAlignment="1">
      <alignment horizontal="center" vertical="top"/>
    </xf>
    <xf numFmtId="0" fontId="11" fillId="0" borderId="5" xfId="0" applyFont="1" applyFill="1" applyBorder="1" applyAlignment="1">
      <alignment horizontal="center" vertical="top"/>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xf>
    <xf numFmtId="0" fontId="11" fillId="0" borderId="17" xfId="0" applyFont="1" applyFill="1" applyBorder="1" applyAlignment="1">
      <alignment horizontal="center" vertical="top"/>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xf>
    <xf numFmtId="0" fontId="11" fillId="0" borderId="19" xfId="0" applyFont="1" applyFill="1" applyBorder="1" applyAlignment="1">
      <alignment horizontal="center" vertical="top"/>
    </xf>
    <xf numFmtId="0" fontId="11" fillId="0" borderId="20" xfId="0" applyFont="1" applyFill="1" applyBorder="1" applyAlignment="1">
      <alignment horizontal="center" vertical="top"/>
    </xf>
    <xf numFmtId="0" fontId="11" fillId="0" borderId="20"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5" xfId="0" applyFont="1" applyFill="1" applyBorder="1" applyAlignment="1">
      <alignment horizontal="center" vertical="top" wrapText="1"/>
    </xf>
    <xf numFmtId="0" fontId="11" fillId="0" borderId="16" xfId="0" applyFont="1" applyFill="1" applyBorder="1" applyAlignment="1">
      <alignment horizontal="center" vertical="top" wrapText="1" shrinkToFit="1"/>
    </xf>
    <xf numFmtId="0" fontId="12" fillId="2" borderId="0" xfId="0" applyFont="1" applyFill="1" applyBorder="1" applyAlignment="1">
      <alignment horizontal="center"/>
    </xf>
    <xf numFmtId="0" fontId="11" fillId="0" borderId="0" xfId="0" applyFont="1" applyFill="1" applyAlignment="1">
      <alignment horizontal="center" vertical="top"/>
    </xf>
    <xf numFmtId="0" fontId="11" fillId="0" borderId="1" xfId="0" applyFont="1" applyFill="1" applyBorder="1" applyAlignment="1">
      <alignment horizontal="center" vertical="top"/>
    </xf>
    <xf numFmtId="0" fontId="11" fillId="0" borderId="21" xfId="0" applyFont="1" applyFill="1" applyBorder="1" applyAlignment="1">
      <alignment horizontal="center" vertical="top"/>
    </xf>
    <xf numFmtId="0" fontId="11" fillId="0" borderId="6" xfId="0" applyFont="1" applyFill="1" applyBorder="1" applyAlignment="1">
      <alignment horizontal="center" vertical="top"/>
    </xf>
    <xf numFmtId="0" fontId="11" fillId="0" borderId="21" xfId="0"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6" xfId="0" applyFont="1" applyFill="1" applyBorder="1" applyAlignment="1">
      <alignment horizontal="center" vertical="top" wrapText="1"/>
    </xf>
    <xf numFmtId="0" fontId="11" fillId="0" borderId="1" xfId="0" applyFont="1" applyFill="1" applyBorder="1" applyAlignment="1">
      <alignment horizontal="center" vertical="top" wrapText="1" shrinkToFit="1"/>
    </xf>
    <xf numFmtId="0" fontId="11" fillId="0" borderId="0" xfId="0" applyFont="1" applyFill="1" applyAlignment="1">
      <alignment horizontal="center"/>
    </xf>
    <xf numFmtId="0" fontId="11" fillId="0" borderId="2" xfId="0" applyFont="1" applyFill="1" applyBorder="1" applyAlignment="1">
      <alignment horizontal="center"/>
    </xf>
    <xf numFmtId="0" fontId="11" fillId="0" borderId="3" xfId="0" applyFont="1" applyFill="1" applyBorder="1" applyAlignment="1">
      <alignment horizontal="center"/>
    </xf>
    <xf numFmtId="0" fontId="11" fillId="0" borderId="3" xfId="0"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horizontal="center" vertical="top"/>
    </xf>
    <xf numFmtId="167" fontId="11" fillId="0" borderId="3" xfId="0" applyNumberFormat="1" applyFont="1" applyFill="1" applyBorder="1" applyAlignment="1">
      <alignment horizontal="center"/>
    </xf>
    <xf numFmtId="0" fontId="11" fillId="0" borderId="4" xfId="0" applyFont="1" applyFill="1" applyBorder="1" applyAlignment="1">
      <alignment horizontal="center"/>
    </xf>
    <xf numFmtId="2" fontId="11" fillId="0" borderId="3" xfId="0" applyNumberFormat="1" applyFont="1" applyFill="1" applyBorder="1" applyAlignment="1">
      <alignment horizontal="center" vertical="top"/>
    </xf>
    <xf numFmtId="0" fontId="11" fillId="0" borderId="0" xfId="0" applyFont="1" applyFill="1" applyBorder="1" applyAlignment="1">
      <alignment horizontal="center" vertical="center"/>
    </xf>
    <xf numFmtId="2" fontId="11" fillId="0" borderId="3" xfId="0" applyNumberFormat="1" applyFont="1" applyFill="1" applyBorder="1" applyAlignment="1">
      <alignment horizontal="center"/>
    </xf>
    <xf numFmtId="170" fontId="11" fillId="0" borderId="3" xfId="1" applyNumberFormat="1" applyFont="1" applyFill="1" applyBorder="1" applyAlignment="1">
      <alignment horizontal="center"/>
    </xf>
    <xf numFmtId="170" fontId="11" fillId="0" borderId="0" xfId="1" applyNumberFormat="1" applyFont="1" applyFill="1" applyBorder="1" applyAlignment="1">
      <alignment horizontal="center"/>
    </xf>
    <xf numFmtId="169" fontId="11" fillId="0" borderId="0" xfId="1" applyNumberFormat="1" applyFont="1" applyFill="1" applyBorder="1" applyAlignment="1">
      <alignment horizontal="center"/>
    </xf>
    <xf numFmtId="170" fontId="11" fillId="0" borderId="3" xfId="1" applyNumberFormat="1" applyFont="1" applyFill="1" applyBorder="1" applyAlignment="1">
      <alignment horizontal="center" vertical="center"/>
    </xf>
    <xf numFmtId="164" fontId="11" fillId="0" borderId="3" xfId="1" applyNumberFormat="1" applyFont="1" applyFill="1" applyBorder="1" applyAlignment="1">
      <alignment horizontal="center"/>
    </xf>
    <xf numFmtId="43" fontId="11" fillId="0" borderId="3" xfId="0" applyNumberFormat="1" applyFont="1" applyFill="1" applyBorder="1" applyAlignment="1">
      <alignment horizontal="center"/>
    </xf>
    <xf numFmtId="168" fontId="11" fillId="0" borderId="0" xfId="0" applyNumberFormat="1" applyFont="1" applyFill="1" applyBorder="1" applyAlignment="1">
      <alignment horizontal="center"/>
    </xf>
    <xf numFmtId="2" fontId="11" fillId="0" borderId="3" xfId="0" applyNumberFormat="1"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top"/>
    </xf>
    <xf numFmtId="0" fontId="11" fillId="0" borderId="18" xfId="0" applyFont="1" applyFill="1" applyBorder="1" applyAlignment="1">
      <alignment horizontal="center"/>
    </xf>
    <xf numFmtId="0" fontId="10" fillId="0" borderId="0" xfId="0" applyFont="1" applyFill="1" applyAlignment="1">
      <alignment horizontal="center"/>
    </xf>
    <xf numFmtId="0" fontId="11" fillId="0" borderId="0" xfId="0" applyFont="1" applyFill="1" applyBorder="1" applyAlignment="1">
      <alignment horizontal="right" vertical="top"/>
    </xf>
    <xf numFmtId="0" fontId="11" fillId="0" borderId="3" xfId="0" applyFont="1" applyFill="1" applyBorder="1" applyAlignment="1">
      <alignment horizontal="right" vertical="top"/>
    </xf>
    <xf numFmtId="0" fontId="11" fillId="0" borderId="4" xfId="0" applyFont="1" applyFill="1" applyBorder="1" applyAlignment="1">
      <alignment horizontal="right"/>
    </xf>
    <xf numFmtId="0" fontId="11" fillId="0" borderId="0" xfId="0" applyFont="1" applyFill="1" applyAlignment="1">
      <alignment horizontal="right"/>
    </xf>
    <xf numFmtId="1"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11" fillId="0" borderId="0" xfId="0" applyFont="1" applyFill="1" applyBorder="1" applyAlignment="1">
      <alignment horizontal="left" vertical="top"/>
    </xf>
    <xf numFmtId="0" fontId="11" fillId="0" borderId="0" xfId="0" applyFont="1" applyFill="1" applyBorder="1" applyAlignment="1">
      <alignment horizontal="left"/>
    </xf>
    <xf numFmtId="167" fontId="11" fillId="0" borderId="0" xfId="0" applyNumberFormat="1" applyFont="1" applyBorder="1" applyAlignment="1">
      <alignment horizontal="center"/>
    </xf>
    <xf numFmtId="0" fontId="11" fillId="0" borderId="0" xfId="0" applyFont="1" applyFill="1" applyBorder="1" applyAlignment="1">
      <alignment horizontal="left" vertical="center"/>
    </xf>
    <xf numFmtId="0" fontId="11" fillId="0" borderId="2" xfId="0" applyFont="1" applyFill="1" applyBorder="1" applyAlignment="1">
      <alignment horizontal="left"/>
    </xf>
    <xf numFmtId="0" fontId="11" fillId="0" borderId="3" xfId="0" applyFont="1" applyFill="1" applyBorder="1" applyAlignment="1">
      <alignment horizontal="left" vertical="top"/>
    </xf>
    <xf numFmtId="0" fontId="11" fillId="0" borderId="3" xfId="0" applyFont="1" applyFill="1" applyBorder="1" applyAlignment="1">
      <alignment horizontal="left" vertical="center"/>
    </xf>
    <xf numFmtId="0" fontId="12" fillId="0" borderId="0" xfId="0" applyFont="1" applyFill="1" applyAlignment="1">
      <alignment horizontal="center"/>
    </xf>
    <xf numFmtId="1" fontId="12" fillId="2" borderId="0" xfId="0" applyNumberFormat="1" applyFont="1" applyFill="1" applyAlignment="1">
      <alignment horizontal="center"/>
    </xf>
    <xf numFmtId="0" fontId="11" fillId="0" borderId="0" xfId="0" applyFont="1" applyAlignment="1"/>
    <xf numFmtId="0" fontId="11" fillId="0" borderId="22" xfId="0" applyFont="1" applyFill="1" applyBorder="1" applyAlignment="1">
      <alignment horizontal="center"/>
    </xf>
    <xf numFmtId="0" fontId="11" fillId="0" borderId="20" xfId="0" applyFont="1" applyFill="1" applyBorder="1" applyAlignment="1">
      <alignment horizontal="center"/>
    </xf>
    <xf numFmtId="0" fontId="11" fillId="0" borderId="22" xfId="0" applyFont="1" applyFill="1" applyBorder="1" applyAlignment="1">
      <alignment horizontal="center" vertical="top"/>
    </xf>
    <xf numFmtId="0" fontId="11" fillId="0" borderId="19" xfId="0" applyFont="1" applyFill="1" applyBorder="1" applyAlignment="1">
      <alignment horizontal="center"/>
    </xf>
    <xf numFmtId="0" fontId="11" fillId="0" borderId="20" xfId="0" applyFont="1" applyFill="1" applyBorder="1" applyAlignment="1">
      <alignment horizontal="center" vertical="center" wrapText="1"/>
    </xf>
    <xf numFmtId="0" fontId="11" fillId="2" borderId="0" xfId="0" applyFont="1" applyFill="1" applyBorder="1" applyAlignment="1">
      <alignment horizontal="center"/>
    </xf>
    <xf numFmtId="0" fontId="11" fillId="2" borderId="0" xfId="0" applyFont="1" applyFill="1" applyBorder="1" applyAlignment="1"/>
    <xf numFmtId="0" fontId="11" fillId="2" borderId="0" xfId="0" applyFont="1" applyFill="1" applyBorder="1" applyAlignment="1">
      <alignment horizontal="right"/>
    </xf>
    <xf numFmtId="0" fontId="12" fillId="0" borderId="0" xfId="3" applyFont="1"/>
    <xf numFmtId="1" fontId="25" fillId="0" borderId="5" xfId="3" applyNumberFormat="1" applyFont="1" applyBorder="1" applyAlignment="1">
      <alignment horizontal="center" vertical="center" wrapText="1"/>
    </xf>
    <xf numFmtId="0" fontId="25" fillId="0" borderId="5" xfId="3" applyFont="1" applyBorder="1" applyAlignment="1">
      <alignment horizontal="center" vertical="center" wrapText="1"/>
    </xf>
    <xf numFmtId="0" fontId="26" fillId="0" borderId="0" xfId="3" applyFont="1" applyAlignment="1">
      <alignment horizontal="center" vertical="center"/>
    </xf>
    <xf numFmtId="0" fontId="10" fillId="0" borderId="5" xfId="3" applyFont="1" applyBorder="1" applyAlignment="1">
      <alignment horizontal="center" vertical="center" wrapText="1"/>
    </xf>
    <xf numFmtId="0" fontId="25" fillId="0" borderId="5" xfId="3" applyFont="1" applyBorder="1" applyAlignment="1">
      <alignment horizontal="center" vertical="top" wrapText="1"/>
    </xf>
    <xf numFmtId="0" fontId="26" fillId="0" borderId="0" xfId="3" applyFont="1"/>
    <xf numFmtId="1" fontId="10" fillId="0" borderId="5" xfId="3" applyNumberFormat="1" applyFont="1" applyBorder="1" applyAlignment="1">
      <alignment horizontal="center" vertical="center"/>
    </xf>
    <xf numFmtId="0" fontId="10" fillId="0" borderId="5" xfId="3" applyFont="1" applyBorder="1" applyAlignment="1">
      <alignment horizontal="justify" vertical="center" wrapText="1"/>
    </xf>
    <xf numFmtId="0" fontId="30" fillId="0" borderId="0" xfId="3" applyFont="1"/>
    <xf numFmtId="164" fontId="28" fillId="0" borderId="0" xfId="2" applyFont="1" applyBorder="1"/>
    <xf numFmtId="0" fontId="10" fillId="0" borderId="5" xfId="3" applyFont="1" applyBorder="1" applyAlignment="1">
      <alignment horizontal="center" vertical="center"/>
    </xf>
    <xf numFmtId="0" fontId="10" fillId="0" borderId="5" xfId="3" applyFont="1" applyBorder="1" applyAlignment="1">
      <alignment horizontal="center"/>
    </xf>
    <xf numFmtId="0" fontId="26" fillId="0" borderId="0" xfId="3" applyFont="1" applyAlignment="1">
      <alignment horizontal="center"/>
    </xf>
    <xf numFmtId="2" fontId="25" fillId="0" borderId="5" xfId="3" applyNumberFormat="1" applyFont="1" applyBorder="1" applyAlignment="1">
      <alignment horizontal="center" vertical="center" wrapText="1"/>
    </xf>
    <xf numFmtId="2" fontId="10" fillId="0" borderId="5" xfId="3" applyNumberFormat="1" applyFont="1" applyBorder="1" applyAlignment="1">
      <alignment horizontal="center" vertical="center" wrapText="1"/>
    </xf>
    <xf numFmtId="2" fontId="26" fillId="0" borderId="0" xfId="3" applyNumberFormat="1" applyFont="1" applyAlignment="1">
      <alignment horizontal="center" vertical="center"/>
    </xf>
    <xf numFmtId="0" fontId="26" fillId="0" borderId="0" xfId="3" applyFont="1" applyBorder="1" applyAlignment="1">
      <alignment horizontal="center"/>
    </xf>
    <xf numFmtId="0" fontId="27" fillId="0" borderId="0" xfId="3" applyFont="1" applyBorder="1" applyAlignment="1">
      <alignment horizontal="center" vertical="center"/>
    </xf>
    <xf numFmtId="0" fontId="10" fillId="0" borderId="0" xfId="3" applyFont="1" applyBorder="1" applyAlignment="1">
      <alignment horizontal="justify" vertical="center" wrapText="1"/>
    </xf>
    <xf numFmtId="165" fontId="11" fillId="0" borderId="0" xfId="0" applyNumberFormat="1" applyFont="1" applyFill="1" applyBorder="1" applyAlignment="1">
      <alignment horizontal="center"/>
    </xf>
    <xf numFmtId="167" fontId="11" fillId="0" borderId="2" xfId="0" applyNumberFormat="1" applyFont="1" applyFill="1" applyBorder="1" applyAlignment="1">
      <alignment horizontal="center"/>
    </xf>
    <xf numFmtId="0" fontId="11" fillId="0" borderId="5" xfId="0" applyFont="1" applyFill="1" applyBorder="1" applyAlignment="1">
      <alignment horizontal="center" vertical="center"/>
    </xf>
    <xf numFmtId="0" fontId="11" fillId="0" borderId="22" xfId="0" applyFont="1" applyFill="1" applyBorder="1" applyAlignment="1">
      <alignment horizontal="center" vertical="center"/>
    </xf>
    <xf numFmtId="1" fontId="11" fillId="0" borderId="4" xfId="0" applyNumberFormat="1" applyFont="1" applyFill="1" applyBorder="1" applyAlignment="1">
      <alignment horizontal="center"/>
    </xf>
    <xf numFmtId="2" fontId="11" fillId="0" borderId="20" xfId="0" applyNumberFormat="1" applyFont="1" applyFill="1" applyBorder="1" applyAlignment="1">
      <alignment horizontal="center"/>
    </xf>
    <xf numFmtId="0" fontId="11" fillId="0" borderId="17"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left" vertical="center"/>
    </xf>
    <xf numFmtId="0" fontId="11" fillId="0" borderId="19" xfId="0" applyFont="1" applyFill="1" applyBorder="1" applyAlignment="1">
      <alignment horizontal="center" vertical="center"/>
    </xf>
    <xf numFmtId="0" fontId="11" fillId="0" borderId="17" xfId="0" applyFont="1" applyFill="1" applyBorder="1" applyAlignment="1">
      <alignment horizontal="center" vertical="center"/>
    </xf>
    <xf numFmtId="0" fontId="11" fillId="0" borderId="2" xfId="0" applyFont="1" applyFill="1" applyBorder="1" applyAlignment="1">
      <alignment horizontal="center" vertical="top"/>
    </xf>
    <xf numFmtId="0" fontId="10" fillId="0" borderId="22" xfId="0" applyFont="1" applyFill="1" applyBorder="1" applyAlignment="1">
      <alignment horizontal="center"/>
    </xf>
    <xf numFmtId="2" fontId="12" fillId="0" borderId="0" xfId="0" applyNumberFormat="1" applyFont="1" applyFill="1" applyAlignment="1">
      <alignment horizontal="center" vertical="center" wrapText="1"/>
    </xf>
    <xf numFmtId="2" fontId="12" fillId="0" borderId="0" xfId="0" applyNumberFormat="1" applyFont="1" applyFill="1" applyAlignment="1">
      <alignment horizontal="center" vertical="center"/>
    </xf>
    <xf numFmtId="0" fontId="13" fillId="0" borderId="0" xfId="0" applyFont="1" applyBorder="1" applyAlignment="1">
      <alignment horizontal="center" vertical="center"/>
    </xf>
    <xf numFmtId="2" fontId="13" fillId="0" borderId="0" xfId="0" applyNumberFormat="1" applyFont="1" applyBorder="1" applyAlignment="1">
      <alignment horizontal="center" vertical="center"/>
    </xf>
    <xf numFmtId="2" fontId="23" fillId="0" borderId="0" xfId="0" applyNumberFormat="1" applyFont="1" applyBorder="1" applyAlignment="1">
      <alignment horizontal="center" vertical="center"/>
    </xf>
    <xf numFmtId="2" fontId="13" fillId="0" borderId="0" xfId="0" applyNumberFormat="1" applyFont="1" applyFill="1" applyBorder="1" applyAlignment="1">
      <alignment horizontal="center" vertical="center"/>
    </xf>
    <xf numFmtId="0" fontId="4" fillId="0" borderId="0" xfId="0" applyFont="1" applyBorder="1" applyAlignment="1">
      <alignment horizontal="center" vertical="center"/>
    </xf>
    <xf numFmtId="2" fontId="5" fillId="0" borderId="0" xfId="0" applyNumberFormat="1" applyFont="1" applyBorder="1" applyAlignment="1">
      <alignment horizontal="center" vertical="center"/>
    </xf>
    <xf numFmtId="2" fontId="7" fillId="0" borderId="0" xfId="0" applyNumberFormat="1" applyFont="1" applyBorder="1" applyAlignment="1">
      <alignment horizontal="center" vertical="center"/>
    </xf>
    <xf numFmtId="2" fontId="5" fillId="0" borderId="0" xfId="0" applyNumberFormat="1" applyFont="1" applyFill="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5" fillId="0" borderId="0" xfId="0" applyFont="1" applyAlignment="1">
      <alignment horizontal="center" vertical="center"/>
    </xf>
    <xf numFmtId="0" fontId="13" fillId="0" borderId="0" xfId="0" applyFont="1" applyAlignment="1">
      <alignment horizontal="center" vertical="center"/>
    </xf>
    <xf numFmtId="0" fontId="13" fillId="0" borderId="0" xfId="0" applyFont="1" applyFill="1" applyBorder="1" applyAlignment="1">
      <alignment horizontal="center" vertical="center"/>
    </xf>
    <xf numFmtId="0" fontId="9" fillId="0" borderId="0" xfId="0" applyFont="1" applyBorder="1" applyAlignment="1">
      <alignment horizontal="center" vertical="center"/>
    </xf>
    <xf numFmtId="0" fontId="5" fillId="0" borderId="0" xfId="0" applyFont="1" applyBorder="1" applyAlignment="1">
      <alignment horizontal="left" vertical="center"/>
    </xf>
    <xf numFmtId="0" fontId="13" fillId="0" borderId="0" xfId="0" applyFont="1" applyBorder="1" applyAlignment="1">
      <alignment horizontal="left" vertical="center"/>
    </xf>
    <xf numFmtId="2" fontId="9" fillId="0" borderId="0" xfId="0" applyNumberFormat="1" applyFont="1" applyBorder="1" applyAlignment="1">
      <alignment horizontal="left" vertical="center"/>
    </xf>
    <xf numFmtId="2" fontId="5" fillId="0" borderId="0" xfId="0" applyNumberFormat="1" applyFont="1" applyBorder="1" applyAlignment="1">
      <alignment horizontal="left" vertical="center"/>
    </xf>
    <xf numFmtId="0" fontId="5" fillId="0" borderId="0" xfId="0" applyFont="1" applyAlignment="1">
      <alignment horizontal="left" vertical="center"/>
    </xf>
    <xf numFmtId="1" fontId="10" fillId="0" borderId="5" xfId="3" applyNumberFormat="1" applyFont="1" applyBorder="1" applyAlignment="1">
      <alignment horizontal="left" vertical="center"/>
    </xf>
    <xf numFmtId="2" fontId="27" fillId="0" borderId="0" xfId="3" applyNumberFormat="1" applyFont="1" applyBorder="1" applyAlignment="1">
      <alignment horizontal="center" vertical="center"/>
    </xf>
    <xf numFmtId="0" fontId="29" fillId="0" borderId="0" xfId="3" applyFont="1" applyBorder="1"/>
    <xf numFmtId="0" fontId="26" fillId="0" borderId="0" xfId="3" applyFont="1" applyBorder="1"/>
    <xf numFmtId="0" fontId="26" fillId="0" borderId="0" xfId="3" applyFont="1" applyBorder="1" applyAlignment="1">
      <alignment horizontal="center" vertical="center"/>
    </xf>
    <xf numFmtId="164" fontId="28" fillId="0" borderId="0" xfId="2" applyFont="1" applyBorder="1" applyAlignment="1">
      <alignment horizontal="center"/>
    </xf>
    <xf numFmtId="2" fontId="28" fillId="0" borderId="0" xfId="2" applyNumberFormat="1" applyFont="1" applyBorder="1" applyAlignment="1">
      <alignment horizontal="center"/>
    </xf>
    <xf numFmtId="0" fontId="30" fillId="0" borderId="0" xfId="3" applyFont="1" applyBorder="1"/>
    <xf numFmtId="164" fontId="31" fillId="0" borderId="0" xfId="2" applyFont="1" applyBorder="1"/>
    <xf numFmtId="0" fontId="26" fillId="0" borderId="0" xfId="3" applyFont="1" applyBorder="1" applyAlignment="1">
      <alignment horizontal="right"/>
    </xf>
    <xf numFmtId="164" fontId="32" fillId="0" borderId="0" xfId="2" applyFont="1" applyBorder="1"/>
    <xf numFmtId="164" fontId="33" fillId="0" borderId="0" xfId="2" applyFont="1" applyBorder="1"/>
    <xf numFmtId="43" fontId="34" fillId="0" borderId="0" xfId="3" applyNumberFormat="1" applyFont="1" applyBorder="1"/>
    <xf numFmtId="43" fontId="26" fillId="0" borderId="0" xfId="3" applyNumberFormat="1" applyFont="1" applyBorder="1"/>
    <xf numFmtId="0" fontId="32" fillId="0" borderId="0" xfId="3" applyFont="1" applyBorder="1"/>
    <xf numFmtId="170" fontId="35" fillId="0" borderId="0" xfId="2" applyNumberFormat="1" applyFont="1" applyBorder="1"/>
    <xf numFmtId="2" fontId="26" fillId="0" borderId="0" xfId="3" applyNumberFormat="1" applyFont="1" applyBorder="1" applyAlignment="1">
      <alignment horizontal="center" vertical="center"/>
    </xf>
    <xf numFmtId="43" fontId="33" fillId="0" borderId="0" xfId="3" applyNumberFormat="1" applyFont="1" applyBorder="1"/>
    <xf numFmtId="0" fontId="26" fillId="0" borderId="23" xfId="3" applyFont="1" applyBorder="1" applyAlignment="1">
      <alignment horizontal="center"/>
    </xf>
    <xf numFmtId="0" fontId="27" fillId="0" borderId="3" xfId="3" applyFont="1" applyBorder="1" applyAlignment="1">
      <alignment horizontal="center" vertical="center"/>
    </xf>
    <xf numFmtId="0" fontId="10" fillId="0" borderId="3" xfId="3" applyFont="1" applyBorder="1" applyAlignment="1">
      <alignment horizontal="justify" vertical="center" wrapText="1"/>
    </xf>
    <xf numFmtId="2" fontId="28" fillId="0" borderId="3" xfId="3" applyNumberFormat="1" applyFont="1" applyBorder="1" applyAlignment="1">
      <alignment horizontal="center" vertical="center"/>
    </xf>
    <xf numFmtId="0" fontId="13" fillId="0" borderId="5" xfId="0" applyFont="1" applyFill="1" applyBorder="1" applyAlignment="1">
      <alignment horizontal="center"/>
    </xf>
    <xf numFmtId="0" fontId="12" fillId="0" borderId="5" xfId="0" applyFont="1" applyFill="1" applyBorder="1" applyAlignment="1">
      <alignment horizontal="center"/>
    </xf>
    <xf numFmtId="164" fontId="12" fillId="0" borderId="5" xfId="1" applyFont="1" applyFill="1" applyBorder="1" applyAlignment="1">
      <alignment horizontal="center" vertical="top" wrapText="1"/>
    </xf>
    <xf numFmtId="164" fontId="12" fillId="0" borderId="5" xfId="1" applyNumberFormat="1" applyFont="1" applyFill="1" applyBorder="1" applyAlignment="1">
      <alignment horizontal="center" vertical="top" wrapText="1"/>
    </xf>
    <xf numFmtId="164" fontId="12" fillId="0" borderId="5" xfId="1" applyFont="1" applyFill="1" applyBorder="1" applyAlignment="1">
      <alignment horizontal="center" vertical="top"/>
    </xf>
    <xf numFmtId="0" fontId="12" fillId="2" borderId="0" xfId="0" applyFont="1" applyFill="1" applyAlignment="1">
      <alignment horizontal="center" vertical="top"/>
    </xf>
    <xf numFmtId="2" fontId="38" fillId="0" borderId="0" xfId="0" applyNumberFormat="1" applyFont="1" applyFill="1" applyBorder="1" applyAlignment="1">
      <alignment horizontal="center" vertical="center"/>
    </xf>
    <xf numFmtId="0" fontId="24" fillId="0" borderId="0" xfId="0" applyFont="1" applyFill="1" applyBorder="1" applyAlignment="1">
      <alignment horizontal="center" vertical="center"/>
    </xf>
    <xf numFmtId="2" fontId="13" fillId="0" borderId="0" xfId="0" applyNumberFormat="1" applyFont="1" applyFill="1" applyBorder="1" applyAlignment="1">
      <alignment horizontal="center" vertical="center" wrapText="1"/>
    </xf>
    <xf numFmtId="0" fontId="13" fillId="0" borderId="1" xfId="0" applyFont="1" applyBorder="1" applyAlignment="1">
      <alignment horizontal="center" vertical="center"/>
    </xf>
    <xf numFmtId="0" fontId="13" fillId="0" borderId="18" xfId="0" applyFont="1" applyBorder="1" applyAlignment="1">
      <alignment horizontal="left" vertical="center"/>
    </xf>
    <xf numFmtId="2" fontId="13"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8" xfId="0" applyFont="1" applyBorder="1" applyAlignment="1">
      <alignment horizontal="left" vertical="center"/>
    </xf>
    <xf numFmtId="2" fontId="5"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5" fillId="0" borderId="1" xfId="0" applyNumberFormat="1" applyFont="1" applyFill="1" applyBorder="1" applyAlignment="1">
      <alignment horizontal="center" vertical="center"/>
    </xf>
    <xf numFmtId="2" fontId="5" fillId="0" borderId="2" xfId="0" applyNumberFormat="1" applyFont="1" applyBorder="1" applyAlignment="1">
      <alignment horizontal="center" vertical="center"/>
    </xf>
    <xf numFmtId="0" fontId="6" fillId="0" borderId="2" xfId="0" applyFont="1" applyBorder="1" applyAlignment="1">
      <alignment horizontal="center" vertical="center"/>
    </xf>
    <xf numFmtId="2" fontId="5" fillId="0" borderId="2" xfId="0" applyNumberFormat="1" applyFont="1" applyFill="1" applyBorder="1" applyAlignment="1">
      <alignment horizontal="center" vertical="center"/>
    </xf>
    <xf numFmtId="0" fontId="5" fillId="0" borderId="19" xfId="0" applyFont="1" applyBorder="1" applyAlignment="1">
      <alignment horizontal="left" vertical="center"/>
    </xf>
    <xf numFmtId="2" fontId="24" fillId="0" borderId="0" xfId="0" applyNumberFormat="1" applyFont="1" applyFill="1" applyBorder="1" applyAlignment="1">
      <alignment horizontal="center" vertical="center"/>
    </xf>
    <xf numFmtId="0" fontId="5" fillId="0" borderId="2" xfId="0" applyFont="1" applyBorder="1" applyAlignment="1">
      <alignment horizontal="center" vertical="center"/>
    </xf>
    <xf numFmtId="2" fontId="13" fillId="0" borderId="1" xfId="0" applyNumberFormat="1" applyFont="1" applyFill="1" applyBorder="1" applyAlignment="1">
      <alignment horizontal="center" vertical="center"/>
    </xf>
    <xf numFmtId="0" fontId="13" fillId="0" borderId="18" xfId="0" applyFont="1" applyFill="1" applyBorder="1" applyAlignment="1">
      <alignment horizontal="left" vertical="center"/>
    </xf>
    <xf numFmtId="0" fontId="13" fillId="0" borderId="1" xfId="0" applyFont="1" applyFill="1" applyBorder="1" applyAlignment="1">
      <alignment horizontal="center" vertical="center"/>
    </xf>
    <xf numFmtId="0" fontId="40" fillId="0" borderId="0" xfId="0" applyFont="1" applyBorder="1" applyAlignment="1">
      <alignment horizontal="center" vertical="center"/>
    </xf>
    <xf numFmtId="2" fontId="41" fillId="0" borderId="0" xfId="0" applyNumberFormat="1" applyFont="1" applyBorder="1" applyAlignment="1">
      <alignment horizontal="center" vertical="center"/>
    </xf>
    <xf numFmtId="0" fontId="4" fillId="0" borderId="18" xfId="0" applyFont="1" applyBorder="1" applyAlignment="1">
      <alignment horizontal="left" vertical="center"/>
    </xf>
    <xf numFmtId="0" fontId="4" fillId="0" borderId="0" xfId="0" applyFont="1" applyBorder="1" applyAlignment="1">
      <alignment horizontal="left" vertical="center"/>
    </xf>
    <xf numFmtId="2" fontId="40" fillId="0" borderId="0" xfId="0" applyNumberFormat="1" applyFont="1" applyBorder="1" applyAlignment="1">
      <alignment horizontal="center" vertical="center"/>
    </xf>
    <xf numFmtId="2" fontId="12" fillId="0" borderId="5" xfId="0" applyNumberFormat="1" applyFont="1" applyFill="1" applyBorder="1" applyAlignment="1">
      <alignment horizontal="center" vertical="center" wrapText="1"/>
    </xf>
    <xf numFmtId="0" fontId="11" fillId="0" borderId="0" xfId="0" applyFont="1" applyFill="1" applyBorder="1" applyAlignment="1">
      <alignment horizontal="justify" vertical="top" wrapText="1"/>
    </xf>
    <xf numFmtId="170" fontId="11" fillId="0" borderId="0" xfId="0" applyNumberFormat="1" applyFont="1" applyFill="1" applyBorder="1" applyAlignment="1">
      <alignment horizontal="center"/>
    </xf>
    <xf numFmtId="0" fontId="26" fillId="0" borderId="0" xfId="0" applyFont="1"/>
    <xf numFmtId="2" fontId="13" fillId="0" borderId="0" xfId="0" applyNumberFormat="1" applyFont="1" applyBorder="1" applyAlignment="1">
      <alignment horizontal="left" vertical="center"/>
    </xf>
    <xf numFmtId="2" fontId="11" fillId="0" borderId="0" xfId="0" applyNumberFormat="1" applyFont="1" applyFill="1" applyAlignment="1"/>
    <xf numFmtId="2" fontId="11" fillId="0" borderId="4" xfId="0" applyNumberFormat="1" applyFont="1" applyFill="1" applyBorder="1" applyAlignment="1">
      <alignment horizontal="center"/>
    </xf>
    <xf numFmtId="0" fontId="11" fillId="0" borderId="7" xfId="0" applyFont="1" applyFill="1" applyBorder="1" applyAlignment="1">
      <alignment horizontal="center" vertical="top"/>
    </xf>
    <xf numFmtId="0" fontId="11" fillId="0" borderId="24" xfId="0" applyFont="1" applyFill="1" applyBorder="1" applyAlignment="1">
      <alignment horizontal="center" vertical="top" wrapText="1"/>
    </xf>
    <xf numFmtId="0" fontId="11" fillId="0" borderId="8" xfId="0" applyFont="1" applyFill="1" applyBorder="1" applyAlignment="1"/>
    <xf numFmtId="0" fontId="11" fillId="0" borderId="8" xfId="0" applyFont="1" applyFill="1" applyBorder="1" applyAlignment="1">
      <alignment horizontal="center"/>
    </xf>
    <xf numFmtId="0" fontId="11" fillId="0" borderId="9" xfId="0" applyFont="1" applyFill="1" applyBorder="1" applyAlignment="1">
      <alignment horizontal="center"/>
    </xf>
    <xf numFmtId="0" fontId="11" fillId="0" borderId="10" xfId="0" applyFont="1" applyFill="1" applyBorder="1" applyAlignment="1">
      <alignment horizontal="center" vertical="top"/>
    </xf>
    <xf numFmtId="0" fontId="11" fillId="0" borderId="11" xfId="0" applyFont="1" applyFill="1" applyBorder="1" applyAlignment="1">
      <alignment horizontal="center"/>
    </xf>
    <xf numFmtId="0" fontId="11" fillId="0" borderId="25" xfId="0" applyFont="1" applyFill="1" applyBorder="1" applyAlignment="1">
      <alignment horizontal="center"/>
    </xf>
    <xf numFmtId="0" fontId="11" fillId="0" borderId="11" xfId="0" applyFont="1" applyFill="1" applyBorder="1" applyAlignment="1"/>
    <xf numFmtId="0" fontId="11" fillId="0" borderId="12" xfId="0" applyFont="1" applyFill="1" applyBorder="1" applyAlignment="1">
      <alignment horizontal="center" vertical="top"/>
    </xf>
    <xf numFmtId="0" fontId="11" fillId="0" borderId="26" xfId="0" applyFont="1" applyFill="1" applyBorder="1" applyAlignment="1">
      <alignment horizontal="center" vertical="top"/>
    </xf>
    <xf numFmtId="0" fontId="11" fillId="0" borderId="13" xfId="0" applyFont="1" applyFill="1" applyBorder="1" applyAlignment="1"/>
    <xf numFmtId="0" fontId="11" fillId="0" borderId="27" xfId="0" applyFont="1" applyFill="1" applyBorder="1" applyAlignment="1"/>
    <xf numFmtId="0" fontId="11" fillId="0" borderId="28" xfId="0" applyFont="1" applyFill="1" applyBorder="1" applyAlignment="1">
      <alignment horizontal="center"/>
    </xf>
    <xf numFmtId="0" fontId="11" fillId="0" borderId="24" xfId="0" applyFont="1" applyFill="1" applyBorder="1" applyAlignment="1">
      <alignment horizontal="center" vertical="top"/>
    </xf>
    <xf numFmtId="0" fontId="11" fillId="0" borderId="29" xfId="0" applyFont="1" applyFill="1" applyBorder="1" applyAlignment="1">
      <alignment horizontal="center" vertical="top"/>
    </xf>
    <xf numFmtId="2" fontId="11" fillId="0" borderId="27" xfId="0" applyNumberFormat="1" applyFont="1" applyFill="1" applyBorder="1" applyAlignment="1">
      <alignment horizontal="center"/>
    </xf>
    <xf numFmtId="1" fontId="10" fillId="0" borderId="15" xfId="3" applyNumberFormat="1" applyFont="1" applyBorder="1" applyAlignment="1">
      <alignment horizontal="center" vertical="center"/>
    </xf>
    <xf numFmtId="0" fontId="10" fillId="0" borderId="15" xfId="3" applyFont="1" applyBorder="1" applyAlignment="1">
      <alignment horizontal="justify" vertical="center" wrapText="1"/>
    </xf>
    <xf numFmtId="0" fontId="10" fillId="0" borderId="15" xfId="3" applyFont="1" applyBorder="1" applyAlignment="1">
      <alignment horizontal="center" vertical="center" wrapText="1"/>
    </xf>
    <xf numFmtId="1" fontId="10" fillId="0" borderId="17" xfId="3" applyNumberFormat="1" applyFont="1" applyBorder="1" applyAlignment="1">
      <alignment horizontal="center" vertical="center"/>
    </xf>
    <xf numFmtId="0" fontId="10" fillId="0" borderId="17" xfId="3" applyFont="1" applyBorder="1" applyAlignment="1">
      <alignment horizontal="justify" vertical="center" wrapText="1"/>
    </xf>
    <xf numFmtId="0" fontId="10" fillId="0" borderId="17" xfId="3" applyFont="1" applyBorder="1" applyAlignment="1">
      <alignment horizontal="center" vertical="center" wrapText="1"/>
    </xf>
    <xf numFmtId="165" fontId="25" fillId="0" borderId="5" xfId="3" applyNumberFormat="1" applyFont="1" applyBorder="1" applyAlignment="1">
      <alignment horizontal="center" vertical="center" wrapText="1"/>
    </xf>
    <xf numFmtId="165" fontId="10" fillId="0" borderId="5" xfId="3" applyNumberFormat="1" applyFont="1" applyBorder="1" applyAlignment="1">
      <alignment horizontal="center" vertical="center" wrapText="1"/>
    </xf>
    <xf numFmtId="165" fontId="26" fillId="0" borderId="0" xfId="0" applyNumberFormat="1" applyFont="1"/>
    <xf numFmtId="165" fontId="27" fillId="0" borderId="0" xfId="3" applyNumberFormat="1" applyFont="1" applyBorder="1" applyAlignment="1">
      <alignment horizontal="center" vertical="center"/>
    </xf>
    <xf numFmtId="165" fontId="28" fillId="0" borderId="0" xfId="2" applyNumberFormat="1" applyFont="1" applyBorder="1" applyAlignment="1">
      <alignment horizontal="center"/>
    </xf>
    <xf numFmtId="165" fontId="26" fillId="0" borderId="0" xfId="3" applyNumberFormat="1" applyFont="1" applyBorder="1" applyAlignment="1">
      <alignment horizontal="center" vertical="center"/>
    </xf>
    <xf numFmtId="165" fontId="26" fillId="0" borderId="0" xfId="3" applyNumberFormat="1" applyFont="1" applyAlignment="1">
      <alignment horizontal="center" vertical="center"/>
    </xf>
    <xf numFmtId="165" fontId="26" fillId="0" borderId="3" xfId="3" applyNumberFormat="1" applyFont="1" applyBorder="1" applyAlignment="1">
      <alignment horizontal="center" vertical="center"/>
    </xf>
    <xf numFmtId="165" fontId="44" fillId="0" borderId="3" xfId="3" applyNumberFormat="1" applyFont="1" applyBorder="1" applyAlignment="1">
      <alignment horizontal="center" vertical="center"/>
    </xf>
    <xf numFmtId="2" fontId="44" fillId="0" borderId="5" xfId="2" applyNumberFormat="1" applyFont="1" applyBorder="1" applyAlignment="1">
      <alignment horizontal="center" vertical="center"/>
    </xf>
    <xf numFmtId="0" fontId="12" fillId="0" borderId="0" xfId="0" applyFont="1" applyAlignment="1">
      <alignment horizontal="right"/>
    </xf>
    <xf numFmtId="2" fontId="10" fillId="0" borderId="5" xfId="3" applyNumberFormat="1" applyFont="1" applyBorder="1" applyAlignment="1">
      <alignment horizontal="right" vertical="center" wrapText="1"/>
    </xf>
    <xf numFmtId="2" fontId="10" fillId="0" borderId="5" xfId="2" applyNumberFormat="1" applyFont="1" applyBorder="1" applyAlignment="1">
      <alignment horizontal="right" vertical="center" wrapText="1"/>
    </xf>
    <xf numFmtId="2" fontId="10" fillId="0" borderId="15" xfId="3" applyNumberFormat="1" applyFont="1" applyBorder="1" applyAlignment="1">
      <alignment horizontal="right" vertical="center" wrapText="1"/>
    </xf>
    <xf numFmtId="2" fontId="10" fillId="0" borderId="17" xfId="3" applyNumberFormat="1" applyFont="1" applyBorder="1" applyAlignment="1">
      <alignment horizontal="right" vertical="center" wrapText="1"/>
    </xf>
    <xf numFmtId="2" fontId="10" fillId="3" borderId="5" xfId="0" applyNumberFormat="1" applyFont="1" applyFill="1" applyBorder="1" applyAlignment="1">
      <alignment horizontal="right" vertical="center"/>
    </xf>
    <xf numFmtId="2" fontId="10" fillId="0" borderId="5" xfId="0" applyNumberFormat="1" applyFont="1" applyFill="1" applyBorder="1" applyAlignment="1">
      <alignment horizontal="right" vertical="center"/>
    </xf>
    <xf numFmtId="2" fontId="10" fillId="3" borderId="5" xfId="0" applyNumberFormat="1" applyFont="1" applyFill="1" applyBorder="1" applyAlignment="1">
      <alignment horizontal="right" vertical="center" wrapText="1"/>
    </xf>
    <xf numFmtId="2" fontId="10" fillId="0" borderId="5" xfId="0" applyNumberFormat="1" applyFont="1" applyFill="1" applyBorder="1" applyAlignment="1">
      <alignment horizontal="right" vertical="center" wrapText="1"/>
    </xf>
    <xf numFmtId="0" fontId="10" fillId="0" borderId="5" xfId="3" applyFont="1" applyBorder="1" applyAlignment="1">
      <alignment horizontal="left" vertical="center" wrapText="1"/>
    </xf>
    <xf numFmtId="0" fontId="19" fillId="0" borderId="0" xfId="0" applyFont="1" applyBorder="1" applyAlignment="1">
      <alignment horizontal="center" vertical="top"/>
    </xf>
    <xf numFmtId="0" fontId="16" fillId="0" borderId="0" xfId="0" applyFont="1" applyBorder="1" applyAlignment="1">
      <alignment horizontal="center" vertical="top"/>
    </xf>
    <xf numFmtId="0" fontId="17" fillId="0" borderId="0" xfId="0" applyFont="1" applyBorder="1" applyAlignment="1">
      <alignment horizontal="center" vertical="top"/>
    </xf>
    <xf numFmtId="0" fontId="18" fillId="0" borderId="0" xfId="0" applyFont="1" applyBorder="1" applyAlignment="1">
      <alignment horizontal="center" vertical="top"/>
    </xf>
    <xf numFmtId="0" fontId="21" fillId="0" borderId="10" xfId="0" applyFont="1" applyBorder="1" applyAlignment="1">
      <alignment horizontal="center" vertical="top" wrapText="1"/>
    </xf>
    <xf numFmtId="0" fontId="21" fillId="0" borderId="0" xfId="0" applyFont="1" applyBorder="1" applyAlignment="1">
      <alignment horizontal="center" vertical="top" wrapText="1"/>
    </xf>
    <xf numFmtId="0" fontId="21" fillId="0" borderId="11" xfId="0" applyFont="1" applyBorder="1" applyAlignment="1">
      <alignment horizontal="center" vertical="top" wrapText="1"/>
    </xf>
    <xf numFmtId="2" fontId="11" fillId="0" borderId="0" xfId="0" applyNumberFormat="1" applyFont="1" applyFill="1" applyBorder="1" applyAlignment="1">
      <alignment vertical="center"/>
    </xf>
    <xf numFmtId="2" fontId="11" fillId="0" borderId="0" xfId="0" applyNumberFormat="1" applyFont="1" applyFill="1" applyBorder="1" applyAlignment="1"/>
    <xf numFmtId="0" fontId="11" fillId="0" borderId="0" xfId="0" applyFont="1" applyFill="1" applyBorder="1" applyAlignment="1"/>
    <xf numFmtId="0" fontId="11" fillId="0" borderId="0" xfId="0" applyFont="1" applyFill="1" applyBorder="1" applyAlignment="1">
      <alignment horizontal="right"/>
    </xf>
    <xf numFmtId="0" fontId="11" fillId="0" borderId="3" xfId="0" applyFont="1" applyFill="1" applyBorder="1" applyAlignment="1">
      <alignment horizontal="right"/>
    </xf>
    <xf numFmtId="165" fontId="11" fillId="0" borderId="0" xfId="0" applyNumberFormat="1" applyFont="1" applyFill="1" applyBorder="1" applyAlignment="1"/>
    <xf numFmtId="167" fontId="11" fillId="0" borderId="0" xfId="0" applyNumberFormat="1" applyFont="1" applyFill="1" applyBorder="1" applyAlignment="1"/>
    <xf numFmtId="2" fontId="11" fillId="0" borderId="2" xfId="0" applyNumberFormat="1" applyFont="1" applyFill="1" applyBorder="1" applyAlignment="1"/>
    <xf numFmtId="167" fontId="11" fillId="0" borderId="2" xfId="0" applyNumberFormat="1" applyFont="1" applyFill="1" applyBorder="1" applyAlignment="1"/>
    <xf numFmtId="2" fontId="11" fillId="0" borderId="0" xfId="0" applyNumberFormat="1" applyFont="1" applyFill="1" applyBorder="1" applyAlignment="1">
      <alignment horizontal="center"/>
    </xf>
    <xf numFmtId="0" fontId="11" fillId="0" borderId="27" xfId="0" applyFont="1" applyFill="1" applyBorder="1" applyAlignment="1">
      <alignment horizontal="right"/>
    </xf>
    <xf numFmtId="0" fontId="11" fillId="0" borderId="0" xfId="0" applyFont="1" applyFill="1" applyBorder="1" applyAlignment="1">
      <alignment horizontal="center"/>
    </xf>
    <xf numFmtId="1" fontId="11" fillId="0" borderId="0" xfId="0" applyNumberFormat="1" applyFont="1" applyFill="1" applyBorder="1" applyAlignment="1">
      <alignment horizontal="center"/>
    </xf>
    <xf numFmtId="165" fontId="11" fillId="0" borderId="0" xfId="0" applyNumberFormat="1" applyFont="1" applyFill="1" applyBorder="1" applyAlignment="1">
      <alignment horizontal="center"/>
    </xf>
    <xf numFmtId="0" fontId="11" fillId="0" borderId="1" xfId="0" applyFont="1" applyFill="1" applyBorder="1" applyAlignment="1">
      <alignment horizontal="left"/>
    </xf>
    <xf numFmtId="0" fontId="11" fillId="0" borderId="0" xfId="0" applyFont="1" applyFill="1" applyBorder="1" applyAlignment="1">
      <alignment horizontal="left"/>
    </xf>
    <xf numFmtId="0" fontId="11" fillId="0" borderId="1" xfId="0" applyFont="1" applyFill="1" applyBorder="1" applyAlignment="1"/>
    <xf numFmtId="167" fontId="11" fillId="0" borderId="0" xfId="0" applyNumberFormat="1" applyFont="1" applyFill="1" applyBorder="1" applyAlignment="1">
      <alignment vertical="top" wrapText="1"/>
    </xf>
    <xf numFmtId="0" fontId="11" fillId="0" borderId="1" xfId="0" applyFont="1" applyFill="1" applyBorder="1" applyAlignment="1">
      <alignment horizontal="justify" vertical="top" wrapText="1"/>
    </xf>
    <xf numFmtId="0" fontId="11" fillId="0" borderId="0" xfId="0" applyFont="1" applyFill="1" applyBorder="1" applyAlignment="1">
      <alignment horizontal="justify" vertical="top" wrapText="1"/>
    </xf>
    <xf numFmtId="0" fontId="11" fillId="0" borderId="1" xfId="0" applyFont="1" applyFill="1" applyBorder="1" applyAlignment="1">
      <alignment horizontal="right"/>
    </xf>
    <xf numFmtId="0" fontId="11" fillId="0" borderId="0" xfId="0" applyFont="1" applyFill="1" applyBorder="1" applyAlignment="1">
      <alignment vertical="top" wrapText="1"/>
    </xf>
    <xf numFmtId="167" fontId="11" fillId="0" borderId="0" xfId="0" applyNumberFormat="1" applyFont="1" applyFill="1" applyBorder="1" applyAlignment="1">
      <alignment horizontal="center"/>
    </xf>
    <xf numFmtId="2" fontId="11" fillId="0" borderId="0" xfId="0" applyNumberFormat="1" applyFont="1" applyFill="1" applyBorder="1" applyAlignment="1">
      <alignment horizontal="center" vertical="center" wrapText="1"/>
    </xf>
    <xf numFmtId="2" fontId="11" fillId="0" borderId="0" xfId="0" applyNumberFormat="1" applyFont="1" applyFill="1" applyBorder="1" applyAlignment="1">
      <alignment horizontal="center" vertical="top"/>
    </xf>
    <xf numFmtId="2" fontId="11" fillId="0" borderId="2" xfId="0" applyNumberFormat="1" applyFont="1" applyFill="1" applyBorder="1" applyAlignment="1">
      <alignment horizontal="center"/>
    </xf>
    <xf numFmtId="0" fontId="11" fillId="0" borderId="2" xfId="0" applyFont="1" applyFill="1" applyBorder="1" applyAlignment="1"/>
    <xf numFmtId="0" fontId="11" fillId="0" borderId="23" xfId="0" applyFont="1" applyFill="1" applyBorder="1" applyAlignment="1">
      <alignment horizontal="justify" vertical="top" wrapText="1"/>
    </xf>
    <xf numFmtId="0" fontId="11" fillId="0" borderId="3" xfId="0" applyFont="1" applyFill="1" applyBorder="1" applyAlignment="1">
      <alignment horizontal="justify" vertical="top" wrapText="1"/>
    </xf>
    <xf numFmtId="0" fontId="11" fillId="0" borderId="0" xfId="0" applyFont="1" applyFill="1" applyBorder="1" applyAlignment="1">
      <alignment horizontal="center" vertical="top"/>
    </xf>
    <xf numFmtId="0" fontId="11" fillId="0" borderId="21" xfId="0" applyFont="1" applyFill="1" applyBorder="1" applyAlignment="1">
      <alignment horizontal="justify" vertical="top" wrapText="1"/>
    </xf>
    <xf numFmtId="0" fontId="11" fillId="0" borderId="4" xfId="0" applyFont="1" applyFill="1" applyBorder="1" applyAlignment="1">
      <alignment horizontal="justify" vertical="top" wrapText="1"/>
    </xf>
    <xf numFmtId="0" fontId="11" fillId="0" borderId="2" xfId="0" applyFont="1" applyFill="1" applyBorder="1" applyAlignment="1">
      <alignment horizontal="center"/>
    </xf>
    <xf numFmtId="170" fontId="11" fillId="0" borderId="0" xfId="0" applyNumberFormat="1" applyFont="1" applyFill="1" applyBorder="1" applyAlignment="1">
      <alignment horizontal="center"/>
    </xf>
    <xf numFmtId="0" fontId="11" fillId="0" borderId="4" xfId="0" applyFont="1" applyFill="1" applyBorder="1" applyAlignment="1">
      <alignment vertical="top" wrapText="1"/>
    </xf>
    <xf numFmtId="0" fontId="11" fillId="0" borderId="30" xfId="0" applyFont="1" applyFill="1" applyBorder="1" applyAlignment="1">
      <alignment horizontal="justify" vertical="top" wrapText="1"/>
    </xf>
    <xf numFmtId="0" fontId="11" fillId="0" borderId="8" xfId="0" applyFont="1" applyFill="1" applyBorder="1" applyAlignment="1">
      <alignment horizontal="justify" vertical="top" wrapText="1"/>
    </xf>
    <xf numFmtId="0" fontId="11" fillId="0" borderId="4" xfId="0" applyFont="1" applyFill="1" applyBorder="1" applyAlignment="1"/>
    <xf numFmtId="0" fontId="11" fillId="0" borderId="1"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1" fillId="0" borderId="1" xfId="0" applyFont="1" applyFill="1" applyBorder="1" applyAlignment="1">
      <alignment vertical="top" wrapText="1"/>
    </xf>
    <xf numFmtId="0" fontId="11" fillId="0" borderId="21" xfId="0" applyFont="1" applyFill="1" applyBorder="1" applyAlignment="1">
      <alignment vertical="top" wrapText="1"/>
    </xf>
    <xf numFmtId="167" fontId="11" fillId="0" borderId="2" xfId="0" applyNumberFormat="1" applyFont="1" applyFill="1" applyBorder="1" applyAlignment="1">
      <alignment horizontal="center"/>
    </xf>
    <xf numFmtId="0" fontId="11" fillId="0" borderId="0" xfId="0" applyFont="1" applyFill="1" applyBorder="1" applyAlignment="1">
      <alignment horizontal="left" vertical="top"/>
    </xf>
    <xf numFmtId="167" fontId="11" fillId="0" borderId="0" xfId="0" applyNumberFormat="1" applyFont="1" applyFill="1" applyBorder="1" applyAlignment="1">
      <alignment horizontal="center" vertical="top"/>
    </xf>
    <xf numFmtId="0" fontId="11" fillId="0" borderId="3" xfId="0" applyFont="1" applyFill="1" applyBorder="1" applyAlignment="1"/>
    <xf numFmtId="0" fontId="11" fillId="0" borderId="0" xfId="0" applyFont="1" applyFill="1" applyBorder="1" applyAlignment="1">
      <alignment vertical="top"/>
    </xf>
    <xf numFmtId="165" fontId="11" fillId="0" borderId="0" xfId="0" applyNumberFormat="1" applyFont="1" applyFill="1" applyBorder="1" applyAlignment="1">
      <alignment vertical="top"/>
    </xf>
    <xf numFmtId="167" fontId="11" fillId="0" borderId="0" xfId="0" applyNumberFormat="1" applyFont="1" applyBorder="1" applyAlignment="1">
      <alignment horizontal="center"/>
    </xf>
    <xf numFmtId="0" fontId="11" fillId="0" borderId="1"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21" xfId="0"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4" xfId="0" applyFont="1" applyFill="1" applyBorder="1" applyAlignment="1">
      <alignment horizontal="right"/>
    </xf>
    <xf numFmtId="0" fontId="11" fillId="0" borderId="1" xfId="0" applyFont="1" applyFill="1" applyBorder="1" applyAlignment="1">
      <alignment horizontal="left" vertical="top"/>
    </xf>
    <xf numFmtId="0" fontId="11" fillId="0" borderId="3" xfId="0" applyFont="1" applyFill="1" applyBorder="1" applyAlignment="1">
      <alignment horizontal="right" vertical="top"/>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167" fontId="11" fillId="0" borderId="2" xfId="0" applyNumberFormat="1" applyFont="1" applyFill="1" applyBorder="1" applyAlignment="1">
      <alignment horizontal="center" vertical="center"/>
    </xf>
    <xf numFmtId="0" fontId="24" fillId="0" borderId="0" xfId="0" applyFont="1" applyFill="1" applyBorder="1" applyAlignment="1">
      <alignment horizontal="center"/>
    </xf>
    <xf numFmtId="0" fontId="37" fillId="0" borderId="2" xfId="0" applyFont="1" applyFill="1" applyBorder="1" applyAlignment="1">
      <alignment horizontal="center" vertical="top" wrapText="1"/>
    </xf>
    <xf numFmtId="0" fontId="11" fillId="0" borderId="5" xfId="0" applyFont="1" applyFill="1" applyBorder="1" applyAlignment="1">
      <alignment horizontal="center" vertical="top"/>
    </xf>
    <xf numFmtId="0" fontId="11" fillId="0" borderId="2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0" borderId="15" xfId="0" applyFont="1" applyFill="1" applyBorder="1" applyAlignment="1">
      <alignment horizontal="center" vertical="top"/>
    </xf>
    <xf numFmtId="0" fontId="11" fillId="0" borderId="16" xfId="0" applyFont="1" applyFill="1" applyBorder="1" applyAlignment="1">
      <alignment horizontal="center" vertical="top"/>
    </xf>
    <xf numFmtId="0" fontId="11" fillId="0" borderId="17" xfId="0" applyFont="1" applyFill="1" applyBorder="1" applyAlignment="1">
      <alignment horizontal="center" vertical="top"/>
    </xf>
    <xf numFmtId="0" fontId="11" fillId="0" borderId="4" xfId="0" applyFont="1" applyFill="1" applyBorder="1" applyAlignment="1">
      <alignment horizontal="center"/>
    </xf>
    <xf numFmtId="2" fontId="11" fillId="0" borderId="0" xfId="0" applyNumberFormat="1" applyFont="1" applyFill="1" applyBorder="1" applyAlignment="1">
      <alignment horizontal="right"/>
    </xf>
    <xf numFmtId="1" fontId="11" fillId="0" borderId="0" xfId="0" applyNumberFormat="1" applyFont="1" applyFill="1" applyBorder="1" applyAlignment="1">
      <alignment vertical="top"/>
    </xf>
    <xf numFmtId="2" fontId="11" fillId="0" borderId="2" xfId="0" applyNumberFormat="1" applyFont="1" applyFill="1" applyBorder="1" applyAlignment="1">
      <alignment horizontal="right" vertical="center"/>
    </xf>
    <xf numFmtId="2" fontId="11" fillId="0" borderId="2" xfId="0" applyNumberFormat="1" applyFont="1" applyFill="1" applyBorder="1" applyAlignment="1">
      <alignment horizontal="center" vertical="center"/>
    </xf>
    <xf numFmtId="0" fontId="12" fillId="0" borderId="15" xfId="0" applyFont="1" applyFill="1" applyBorder="1" applyAlignment="1">
      <alignment horizontal="center" vertical="top"/>
    </xf>
    <xf numFmtId="0" fontId="12" fillId="0" borderId="16" xfId="0" applyFont="1" applyFill="1" applyBorder="1" applyAlignment="1">
      <alignment horizontal="center" vertical="top"/>
    </xf>
    <xf numFmtId="0" fontId="12" fillId="0" borderId="17" xfId="0" applyFont="1" applyFill="1" applyBorder="1" applyAlignment="1">
      <alignment horizontal="center" vertical="top"/>
    </xf>
    <xf numFmtId="0" fontId="24" fillId="0" borderId="0" xfId="0" applyFont="1" applyFill="1" applyBorder="1" applyAlignment="1">
      <alignment horizontal="center" vertical="top" wrapText="1"/>
    </xf>
    <xf numFmtId="0" fontId="13" fillId="0" borderId="0" xfId="0" applyFont="1" applyFill="1" applyBorder="1" applyAlignment="1">
      <alignment horizontal="center" vertical="top" wrapText="1"/>
    </xf>
    <xf numFmtId="0" fontId="12" fillId="0" borderId="0" xfId="0" applyFont="1" applyBorder="1" applyAlignment="1">
      <alignment horizontal="center" vertical="top" wrapText="1"/>
    </xf>
    <xf numFmtId="0" fontId="12" fillId="0" borderId="23" xfId="0" applyFont="1" applyFill="1" applyBorder="1" applyAlignment="1">
      <alignment horizontal="right"/>
    </xf>
    <xf numFmtId="0" fontId="12" fillId="0" borderId="3" xfId="0" applyFont="1" applyFill="1" applyBorder="1" applyAlignment="1">
      <alignment horizontal="right"/>
    </xf>
    <xf numFmtId="0" fontId="12" fillId="0" borderId="22" xfId="0" applyFont="1" applyFill="1" applyBorder="1" applyAlignment="1">
      <alignment horizontal="right"/>
    </xf>
    <xf numFmtId="0" fontId="36" fillId="0" borderId="0" xfId="0" applyFont="1" applyAlignment="1">
      <alignment horizontal="center"/>
    </xf>
    <xf numFmtId="2" fontId="24" fillId="0" borderId="21" xfId="0" applyNumberFormat="1" applyFont="1" applyFill="1" applyBorder="1" applyAlignment="1">
      <alignment horizontal="center" vertical="center"/>
    </xf>
    <xf numFmtId="2" fontId="24" fillId="0" borderId="4" xfId="0" applyNumberFormat="1" applyFont="1" applyFill="1" applyBorder="1" applyAlignment="1">
      <alignment horizontal="center" vertical="center"/>
    </xf>
    <xf numFmtId="2" fontId="24" fillId="0" borderId="20" xfId="0" applyNumberFormat="1" applyFont="1" applyFill="1" applyBorder="1" applyAlignment="1">
      <alignment horizontal="center" vertical="center"/>
    </xf>
    <xf numFmtId="2" fontId="13" fillId="0" borderId="1" xfId="0" applyNumberFormat="1" applyFont="1" applyFill="1" applyBorder="1" applyAlignment="1">
      <alignment horizontal="center" vertical="center" wrapText="1"/>
    </xf>
    <xf numFmtId="2" fontId="13" fillId="0" borderId="0" xfId="0" applyNumberFormat="1" applyFont="1" applyFill="1" applyBorder="1" applyAlignment="1">
      <alignment horizontal="center" vertical="center" wrapText="1"/>
    </xf>
    <xf numFmtId="2" fontId="13" fillId="0" borderId="18" xfId="0" applyNumberFormat="1" applyFont="1" applyFill="1" applyBorder="1" applyAlignment="1">
      <alignment horizontal="center" vertical="center" wrapText="1"/>
    </xf>
    <xf numFmtId="2" fontId="13" fillId="0" borderId="0" xfId="0" applyNumberFormat="1" applyFont="1" applyBorder="1" applyAlignment="1">
      <alignment horizontal="center" vertical="center"/>
    </xf>
    <xf numFmtId="2" fontId="13" fillId="0" borderId="6" xfId="0" applyNumberFormat="1" applyFont="1" applyBorder="1" applyAlignment="1">
      <alignment horizontal="center" vertical="center"/>
    </xf>
    <xf numFmtId="2" fontId="13" fillId="0" borderId="2" xfId="0" applyNumberFormat="1" applyFont="1" applyBorder="1" applyAlignment="1">
      <alignment horizontal="center" vertical="center"/>
    </xf>
    <xf numFmtId="2" fontId="38" fillId="0" borderId="1" xfId="0" applyNumberFormat="1" applyFont="1" applyFill="1" applyBorder="1" applyAlignment="1">
      <alignment horizontal="center" vertical="center"/>
    </xf>
    <xf numFmtId="2" fontId="38" fillId="0" borderId="0" xfId="0" applyNumberFormat="1" applyFont="1" applyFill="1" applyBorder="1" applyAlignment="1">
      <alignment horizontal="center" vertical="center"/>
    </xf>
    <xf numFmtId="2" fontId="38" fillId="0" borderId="18" xfId="0" applyNumberFormat="1" applyFont="1" applyFill="1" applyBorder="1" applyAlignment="1">
      <alignment horizontal="center" vertical="center"/>
    </xf>
    <xf numFmtId="2" fontId="13" fillId="0" borderId="1"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0" fontId="24" fillId="0" borderId="1" xfId="0" applyFont="1" applyFill="1" applyBorder="1" applyAlignment="1">
      <alignment horizontal="center" vertical="center"/>
    </xf>
    <xf numFmtId="0" fontId="24" fillId="0" borderId="0" xfId="0" applyFont="1" applyFill="1" applyBorder="1" applyAlignment="1">
      <alignment horizontal="center" vertical="center"/>
    </xf>
    <xf numFmtId="0" fontId="24" fillId="0" borderId="18" xfId="0" applyFont="1" applyFill="1" applyBorder="1" applyAlignment="1">
      <alignment horizontal="center" vertical="center"/>
    </xf>
    <xf numFmtId="0" fontId="24" fillId="0" borderId="21"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20" xfId="0" applyFont="1" applyFill="1" applyBorder="1" applyAlignment="1">
      <alignment horizontal="center" vertical="center"/>
    </xf>
    <xf numFmtId="2" fontId="13" fillId="0" borderId="1" xfId="0" applyNumberFormat="1" applyFont="1" applyBorder="1" applyAlignment="1">
      <alignment horizontal="center" vertical="center"/>
    </xf>
    <xf numFmtId="0" fontId="5" fillId="0" borderId="0" xfId="0" applyFont="1" applyBorder="1" applyAlignment="1">
      <alignment horizontal="center" vertical="center"/>
    </xf>
    <xf numFmtId="1" fontId="10" fillId="0" borderId="5" xfId="3" applyNumberFormat="1" applyFont="1" applyBorder="1" applyAlignment="1">
      <alignment horizontal="center" vertical="center"/>
    </xf>
    <xf numFmtId="1" fontId="10" fillId="0" borderId="15" xfId="3" applyNumberFormat="1" applyFont="1" applyBorder="1" applyAlignment="1">
      <alignment horizontal="center" vertical="center"/>
    </xf>
    <xf numFmtId="1" fontId="10" fillId="0" borderId="17" xfId="3" applyNumberFormat="1" applyFont="1" applyBorder="1" applyAlignment="1">
      <alignment horizontal="center" vertical="center"/>
    </xf>
    <xf numFmtId="0" fontId="43" fillId="2" borderId="0" xfId="3" applyFont="1" applyFill="1" applyBorder="1" applyAlignment="1">
      <alignment horizontal="center" vertical="top" wrapText="1"/>
    </xf>
    <xf numFmtId="0" fontId="42" fillId="2" borderId="2" xfId="3" applyFont="1" applyFill="1" applyBorder="1" applyAlignment="1">
      <alignment horizontal="center" vertical="top" wrapText="1"/>
    </xf>
    <xf numFmtId="1" fontId="10" fillId="0" borderId="23" xfId="3" applyNumberFormat="1" applyFont="1" applyBorder="1" applyAlignment="1">
      <alignment horizontal="center" vertical="center"/>
    </xf>
  </cellXfs>
  <cellStyles count="5">
    <cellStyle name="Comma" xfId="1" builtinId="3"/>
    <cellStyle name="Comma_G-01" xfId="2"/>
    <cellStyle name="Normal" xfId="0" builtinId="0"/>
    <cellStyle name="Normal 2" xfId="3"/>
    <cellStyle name="Normal_G-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1"/>
          <c:order val="0"/>
          <c:spPr>
            <a:ln w="12700">
              <a:solidFill>
                <a:srgbClr val="FF00FF"/>
              </a:solidFill>
              <a:prstDash val="solid"/>
            </a:ln>
          </c:spPr>
          <c:marker>
            <c:symbol val="square"/>
            <c:size val="5"/>
            <c:spPr>
              <a:solidFill>
                <a:srgbClr val="FF00FF"/>
              </a:solidFill>
              <a:ln>
                <a:solidFill>
                  <a:srgbClr val="FF00FF"/>
                </a:solidFill>
                <a:prstDash val="solid"/>
              </a:ln>
            </c:spPr>
          </c:marker>
          <c:xVal>
            <c:numLit>
              <c:formatCode>General</c:formatCode>
              <c:ptCount val="6"/>
              <c:pt idx="0">
                <c:v>1</c:v>
              </c:pt>
              <c:pt idx="1">
                <c:v>3.5</c:v>
              </c:pt>
              <c:pt idx="2">
                <c:v>4.5999999999999996</c:v>
              </c:pt>
              <c:pt idx="3">
                <c:v>5.5</c:v>
              </c:pt>
              <c:pt idx="4">
                <c:v>6</c:v>
              </c:pt>
              <c:pt idx="5">
                <c:v>9</c:v>
              </c:pt>
            </c:numLit>
          </c:xVal>
          <c:yVal>
            <c:numLit>
              <c:formatCode>General</c:formatCode>
              <c:ptCount val="6"/>
              <c:pt idx="0">
                <c:v>12.51</c:v>
              </c:pt>
              <c:pt idx="1">
                <c:v>12.58</c:v>
              </c:pt>
              <c:pt idx="2">
                <c:v>13.2</c:v>
              </c:pt>
              <c:pt idx="3">
                <c:v>13.2</c:v>
              </c:pt>
              <c:pt idx="4">
                <c:v>13.2</c:v>
              </c:pt>
              <c:pt idx="5">
                <c:v>13.2</c:v>
              </c:pt>
            </c:numLit>
          </c:yVal>
        </c:ser>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5"/>
              <c:pt idx="0">
                <c:v>1</c:v>
              </c:pt>
              <c:pt idx="1">
                <c:v>2.3649999999999998</c:v>
              </c:pt>
              <c:pt idx="2">
                <c:v>6.0249999999999968</c:v>
              </c:pt>
              <c:pt idx="3">
                <c:v>6.4049999999999985</c:v>
              </c:pt>
              <c:pt idx="4">
                <c:v>9</c:v>
              </c:pt>
            </c:numLit>
          </c:xVal>
          <c:yVal>
            <c:numLit>
              <c:formatCode>General</c:formatCode>
              <c:ptCount val="5"/>
              <c:pt idx="0">
                <c:v>12.5</c:v>
              </c:pt>
              <c:pt idx="1">
                <c:v>13.41</c:v>
              </c:pt>
              <c:pt idx="2">
                <c:v>13.41</c:v>
              </c:pt>
              <c:pt idx="3">
                <c:v>13.22</c:v>
              </c:pt>
              <c:pt idx="4">
                <c:v>13.22</c:v>
              </c:pt>
            </c:numLit>
          </c:yVal>
        </c:ser>
        <c:axId val="127969152"/>
        <c:axId val="127975424"/>
      </c:scatterChart>
      <c:valAx>
        <c:axId val="127969152"/>
        <c:scaling>
          <c:orientation val="minMax"/>
        </c:scaling>
        <c:axPos val="b"/>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7975424"/>
        <c:crosses val="autoZero"/>
        <c:crossBetween val="midCat"/>
      </c:valAx>
      <c:valAx>
        <c:axId val="12797542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7969152"/>
        <c:crosses val="autoZero"/>
        <c:crossBetween val="midCat"/>
      </c:valAx>
      <c:spPr>
        <a:solidFill>
          <a:srgbClr val="C0C0C0"/>
        </a:solidFill>
        <a:ln w="12700">
          <a:solidFill>
            <a:srgbClr val="808080"/>
          </a:solidFill>
          <a:prstDash val="solid"/>
        </a:ln>
      </c:spPr>
    </c:plotArea>
    <c:legend>
      <c:legendPos val="r"/>
      <c:layout>
        <c:manualLayout>
          <c:xMode val="edge"/>
          <c:yMode val="edge"/>
          <c:x val="0.41666666666666696"/>
          <c:y val="0"/>
          <c:w val="0.66666666666666663"/>
          <c:h val="0"/>
        </c:manualLayout>
      </c:layout>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1"/>
          <c:order val="0"/>
          <c:spPr>
            <a:ln w="12700">
              <a:solidFill>
                <a:srgbClr val="FF00FF"/>
              </a:solidFill>
              <a:prstDash val="solid"/>
            </a:ln>
          </c:spPr>
          <c:marker>
            <c:symbol val="square"/>
            <c:size val="5"/>
            <c:spPr>
              <a:solidFill>
                <a:srgbClr val="FF00FF"/>
              </a:solidFill>
              <a:ln>
                <a:solidFill>
                  <a:srgbClr val="FF00FF"/>
                </a:solidFill>
                <a:prstDash val="solid"/>
              </a:ln>
            </c:spPr>
          </c:marker>
          <c:xVal>
            <c:numLit>
              <c:formatCode>General</c:formatCode>
              <c:ptCount val="6"/>
              <c:pt idx="0">
                <c:v>1</c:v>
              </c:pt>
              <c:pt idx="1">
                <c:v>3.5</c:v>
              </c:pt>
              <c:pt idx="2">
                <c:v>4.5999999999999996</c:v>
              </c:pt>
              <c:pt idx="3">
                <c:v>5.5</c:v>
              </c:pt>
              <c:pt idx="4">
                <c:v>6</c:v>
              </c:pt>
              <c:pt idx="5">
                <c:v>9</c:v>
              </c:pt>
            </c:numLit>
          </c:xVal>
          <c:yVal>
            <c:numLit>
              <c:formatCode>General</c:formatCode>
              <c:ptCount val="6"/>
              <c:pt idx="0">
                <c:v>12.51</c:v>
              </c:pt>
              <c:pt idx="1">
                <c:v>12.58</c:v>
              </c:pt>
              <c:pt idx="2">
                <c:v>13.2</c:v>
              </c:pt>
              <c:pt idx="3">
                <c:v>13.2</c:v>
              </c:pt>
              <c:pt idx="4">
                <c:v>13.2</c:v>
              </c:pt>
              <c:pt idx="5">
                <c:v>13.2</c:v>
              </c:pt>
            </c:numLit>
          </c:yVal>
        </c:ser>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5"/>
              <c:pt idx="0">
                <c:v>1</c:v>
              </c:pt>
              <c:pt idx="1">
                <c:v>2.3649999999999998</c:v>
              </c:pt>
              <c:pt idx="2">
                <c:v>6.0249999999999968</c:v>
              </c:pt>
              <c:pt idx="3">
                <c:v>6.4049999999999985</c:v>
              </c:pt>
              <c:pt idx="4">
                <c:v>9</c:v>
              </c:pt>
            </c:numLit>
          </c:xVal>
          <c:yVal>
            <c:numLit>
              <c:formatCode>General</c:formatCode>
              <c:ptCount val="5"/>
              <c:pt idx="0">
                <c:v>12.5</c:v>
              </c:pt>
              <c:pt idx="1">
                <c:v>13.41</c:v>
              </c:pt>
              <c:pt idx="2">
                <c:v>13.41</c:v>
              </c:pt>
              <c:pt idx="3">
                <c:v>13.22</c:v>
              </c:pt>
              <c:pt idx="4">
                <c:v>13.22</c:v>
              </c:pt>
            </c:numLit>
          </c:yVal>
        </c:ser>
        <c:axId val="129101824"/>
        <c:axId val="129103744"/>
      </c:scatterChart>
      <c:valAx>
        <c:axId val="129101824"/>
        <c:scaling>
          <c:orientation val="minMax"/>
        </c:scaling>
        <c:axPos val="b"/>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9103744"/>
        <c:crosses val="autoZero"/>
        <c:crossBetween val="midCat"/>
      </c:valAx>
      <c:valAx>
        <c:axId val="12910374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9101824"/>
        <c:crosses val="autoZero"/>
        <c:crossBetween val="midCat"/>
      </c:valAx>
      <c:spPr>
        <a:solidFill>
          <a:srgbClr val="C0C0C0"/>
        </a:solidFill>
        <a:ln w="12700">
          <a:solidFill>
            <a:srgbClr val="808080"/>
          </a:solidFill>
          <a:prstDash val="solid"/>
        </a:ln>
      </c:spPr>
    </c:plotArea>
    <c:legend>
      <c:legendPos val="r"/>
      <c:layout>
        <c:manualLayout>
          <c:xMode val="edge"/>
          <c:yMode val="edge"/>
          <c:x val="0.41666666666666696"/>
          <c:y val="0"/>
          <c:w val="0.66666666666666663"/>
          <c:h val="0"/>
        </c:manualLayout>
      </c:layout>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1"/>
          <c:order val="0"/>
          <c:spPr>
            <a:ln w="12700">
              <a:solidFill>
                <a:srgbClr val="FF00FF"/>
              </a:solidFill>
              <a:prstDash val="solid"/>
            </a:ln>
          </c:spPr>
          <c:marker>
            <c:symbol val="square"/>
            <c:size val="5"/>
            <c:spPr>
              <a:solidFill>
                <a:srgbClr val="FF00FF"/>
              </a:solidFill>
              <a:ln>
                <a:solidFill>
                  <a:srgbClr val="FF00FF"/>
                </a:solidFill>
                <a:prstDash val="solid"/>
              </a:ln>
            </c:spPr>
          </c:marker>
          <c:xVal>
            <c:numLit>
              <c:formatCode>General</c:formatCode>
              <c:ptCount val="6"/>
              <c:pt idx="0">
                <c:v>1</c:v>
              </c:pt>
              <c:pt idx="1">
                <c:v>3.5</c:v>
              </c:pt>
              <c:pt idx="2">
                <c:v>4.5999999999999996</c:v>
              </c:pt>
              <c:pt idx="3">
                <c:v>5.5</c:v>
              </c:pt>
              <c:pt idx="4">
                <c:v>6</c:v>
              </c:pt>
              <c:pt idx="5">
                <c:v>9</c:v>
              </c:pt>
            </c:numLit>
          </c:xVal>
          <c:yVal>
            <c:numLit>
              <c:formatCode>General</c:formatCode>
              <c:ptCount val="6"/>
              <c:pt idx="0">
                <c:v>12.51</c:v>
              </c:pt>
              <c:pt idx="1">
                <c:v>12.58</c:v>
              </c:pt>
              <c:pt idx="2">
                <c:v>13.2</c:v>
              </c:pt>
              <c:pt idx="3">
                <c:v>13.2</c:v>
              </c:pt>
              <c:pt idx="4">
                <c:v>13.2</c:v>
              </c:pt>
              <c:pt idx="5">
                <c:v>13.2</c:v>
              </c:pt>
            </c:numLit>
          </c:yVal>
        </c:ser>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5"/>
              <c:pt idx="0">
                <c:v>1</c:v>
              </c:pt>
              <c:pt idx="1">
                <c:v>2.3649999999999998</c:v>
              </c:pt>
              <c:pt idx="2">
                <c:v>6.0249999999999968</c:v>
              </c:pt>
              <c:pt idx="3">
                <c:v>6.4049999999999985</c:v>
              </c:pt>
              <c:pt idx="4">
                <c:v>9</c:v>
              </c:pt>
            </c:numLit>
          </c:xVal>
          <c:yVal>
            <c:numLit>
              <c:formatCode>General</c:formatCode>
              <c:ptCount val="5"/>
              <c:pt idx="0">
                <c:v>12.5</c:v>
              </c:pt>
              <c:pt idx="1">
                <c:v>13.41</c:v>
              </c:pt>
              <c:pt idx="2">
                <c:v>13.41</c:v>
              </c:pt>
              <c:pt idx="3">
                <c:v>13.22</c:v>
              </c:pt>
              <c:pt idx="4">
                <c:v>13.22</c:v>
              </c:pt>
            </c:numLit>
          </c:yVal>
        </c:ser>
        <c:axId val="129555456"/>
        <c:axId val="129557632"/>
      </c:scatterChart>
      <c:valAx>
        <c:axId val="129555456"/>
        <c:scaling>
          <c:orientation val="minMax"/>
        </c:scaling>
        <c:axPos val="b"/>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9557632"/>
        <c:crosses val="autoZero"/>
        <c:crossBetween val="midCat"/>
      </c:valAx>
      <c:valAx>
        <c:axId val="12955763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9555456"/>
        <c:crosses val="autoZero"/>
        <c:crossBetween val="midCat"/>
      </c:valAx>
      <c:spPr>
        <a:solidFill>
          <a:srgbClr val="C0C0C0"/>
        </a:solidFill>
        <a:ln w="12700">
          <a:solidFill>
            <a:srgbClr val="808080"/>
          </a:solidFill>
          <a:prstDash val="solid"/>
        </a:ln>
      </c:spPr>
    </c:plotArea>
    <c:legend>
      <c:legendPos val="r"/>
      <c:layout>
        <c:manualLayout>
          <c:xMode val="edge"/>
          <c:yMode val="edge"/>
          <c:x val="0"/>
          <c:y val="0"/>
          <c:w val="0"/>
          <c:h val="0"/>
        </c:manualLayout>
      </c:layout>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1"/>
          <c:order val="0"/>
          <c:spPr>
            <a:ln w="12700">
              <a:solidFill>
                <a:srgbClr val="FF00FF"/>
              </a:solidFill>
              <a:prstDash val="solid"/>
            </a:ln>
          </c:spPr>
          <c:marker>
            <c:symbol val="square"/>
            <c:size val="5"/>
            <c:spPr>
              <a:solidFill>
                <a:srgbClr val="FF00FF"/>
              </a:solidFill>
              <a:ln>
                <a:solidFill>
                  <a:srgbClr val="FF00FF"/>
                </a:solidFill>
                <a:prstDash val="solid"/>
              </a:ln>
            </c:spPr>
          </c:marker>
          <c:xVal>
            <c:numLit>
              <c:formatCode>General</c:formatCode>
              <c:ptCount val="6"/>
              <c:pt idx="0">
                <c:v>1</c:v>
              </c:pt>
              <c:pt idx="1">
                <c:v>3.5</c:v>
              </c:pt>
              <c:pt idx="2">
                <c:v>4.5999999999999996</c:v>
              </c:pt>
              <c:pt idx="3">
                <c:v>5.5</c:v>
              </c:pt>
              <c:pt idx="4">
                <c:v>6</c:v>
              </c:pt>
              <c:pt idx="5">
                <c:v>9</c:v>
              </c:pt>
            </c:numLit>
          </c:xVal>
          <c:yVal>
            <c:numLit>
              <c:formatCode>General</c:formatCode>
              <c:ptCount val="6"/>
              <c:pt idx="0">
                <c:v>12.51</c:v>
              </c:pt>
              <c:pt idx="1">
                <c:v>12.58</c:v>
              </c:pt>
              <c:pt idx="2">
                <c:v>13.2</c:v>
              </c:pt>
              <c:pt idx="3">
                <c:v>13.2</c:v>
              </c:pt>
              <c:pt idx="4">
                <c:v>13.2</c:v>
              </c:pt>
              <c:pt idx="5">
                <c:v>13.2</c:v>
              </c:pt>
            </c:numLit>
          </c:yVal>
        </c:ser>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5"/>
              <c:pt idx="0">
                <c:v>1</c:v>
              </c:pt>
              <c:pt idx="1">
                <c:v>2.3649999999999998</c:v>
              </c:pt>
              <c:pt idx="2">
                <c:v>6.0249999999999968</c:v>
              </c:pt>
              <c:pt idx="3">
                <c:v>6.4049999999999985</c:v>
              </c:pt>
              <c:pt idx="4">
                <c:v>9</c:v>
              </c:pt>
            </c:numLit>
          </c:xVal>
          <c:yVal>
            <c:numLit>
              <c:formatCode>General</c:formatCode>
              <c:ptCount val="5"/>
              <c:pt idx="0">
                <c:v>12.5</c:v>
              </c:pt>
              <c:pt idx="1">
                <c:v>13.41</c:v>
              </c:pt>
              <c:pt idx="2">
                <c:v>13.41</c:v>
              </c:pt>
              <c:pt idx="3">
                <c:v>13.22</c:v>
              </c:pt>
              <c:pt idx="4">
                <c:v>13.22</c:v>
              </c:pt>
            </c:numLit>
          </c:yVal>
        </c:ser>
        <c:axId val="129614976"/>
        <c:axId val="129616896"/>
      </c:scatterChart>
      <c:valAx>
        <c:axId val="129614976"/>
        <c:scaling>
          <c:orientation val="minMax"/>
        </c:scaling>
        <c:axPos val="b"/>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9616896"/>
        <c:crosses val="autoZero"/>
        <c:crossBetween val="midCat"/>
      </c:valAx>
      <c:valAx>
        <c:axId val="12961689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29614976"/>
        <c:crosses val="autoZero"/>
        <c:crossBetween val="midCat"/>
      </c:valAx>
      <c:spPr>
        <a:solidFill>
          <a:srgbClr val="C0C0C0"/>
        </a:solidFill>
        <a:ln w="12700">
          <a:solidFill>
            <a:srgbClr val="808080"/>
          </a:solidFill>
          <a:prstDash val="solid"/>
        </a:ln>
      </c:spPr>
    </c:plotArea>
    <c:legend>
      <c:legendPos val="r"/>
      <c:layout>
        <c:manualLayout>
          <c:xMode val="edge"/>
          <c:yMode val="edge"/>
          <c:x val="0"/>
          <c:y val="0"/>
          <c:w val="0"/>
          <c:h val="0"/>
        </c:manualLayout>
      </c:layout>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732939632545932"/>
          <c:y val="6.9707877424412909E-2"/>
          <c:w val="0.63670603674540738"/>
          <c:h val="0.81132733408323954"/>
        </c:manualLayout>
      </c:layout>
      <c:scatterChart>
        <c:scatterStyle val="lineMarker"/>
        <c:ser>
          <c:idx val="0"/>
          <c:order val="0"/>
          <c:xVal>
            <c:numRef>
              <c:f>'E Work'!$A$15:$A$21</c:f>
              <c:numCache>
                <c:formatCode>0.00</c:formatCode>
                <c:ptCount val="7"/>
                <c:pt idx="0">
                  <c:v>0</c:v>
                </c:pt>
                <c:pt idx="1">
                  <c:v>5</c:v>
                </c:pt>
                <c:pt idx="2">
                  <c:v>7</c:v>
                </c:pt>
                <c:pt idx="3">
                  <c:v>10</c:v>
                </c:pt>
                <c:pt idx="4">
                  <c:v>12</c:v>
                </c:pt>
                <c:pt idx="5">
                  <c:v>15</c:v>
                </c:pt>
                <c:pt idx="6">
                  <c:v>19.96</c:v>
                </c:pt>
              </c:numCache>
            </c:numRef>
          </c:xVal>
          <c:yVal>
            <c:numRef>
              <c:f>'E Work'!$B$15:$B$21</c:f>
              <c:numCache>
                <c:formatCode>0.00</c:formatCode>
                <c:ptCount val="7"/>
                <c:pt idx="0">
                  <c:v>16.63</c:v>
                </c:pt>
                <c:pt idx="1">
                  <c:v>16.68</c:v>
                </c:pt>
                <c:pt idx="2">
                  <c:v>13.675000000000001</c:v>
                </c:pt>
                <c:pt idx="3">
                  <c:v>10.9</c:v>
                </c:pt>
                <c:pt idx="4">
                  <c:v>10.6</c:v>
                </c:pt>
                <c:pt idx="5">
                  <c:v>10.105</c:v>
                </c:pt>
                <c:pt idx="6">
                  <c:v>9.25</c:v>
                </c:pt>
              </c:numCache>
            </c:numRef>
          </c:yVal>
        </c:ser>
        <c:ser>
          <c:idx val="1"/>
          <c:order val="1"/>
          <c:xVal>
            <c:numRef>
              <c:f>'E Work'!$D$15:$D$18</c:f>
              <c:numCache>
                <c:formatCode>0.00</c:formatCode>
                <c:ptCount val="4"/>
                <c:pt idx="0">
                  <c:v>0</c:v>
                </c:pt>
                <c:pt idx="1">
                  <c:v>4.4000000000000004</c:v>
                </c:pt>
                <c:pt idx="2">
                  <c:v>5</c:v>
                </c:pt>
                <c:pt idx="3">
                  <c:v>19.96</c:v>
                </c:pt>
              </c:numCache>
            </c:numRef>
          </c:xVal>
          <c:yVal>
            <c:numRef>
              <c:f>'E Work'!$E$15:$E$18</c:f>
              <c:numCache>
                <c:formatCode>0.00</c:formatCode>
                <c:ptCount val="4"/>
                <c:pt idx="0">
                  <c:v>16.63</c:v>
                </c:pt>
                <c:pt idx="1">
                  <c:v>16.48</c:v>
                </c:pt>
                <c:pt idx="2">
                  <c:v>16.48</c:v>
                </c:pt>
                <c:pt idx="3">
                  <c:v>9</c:v>
                </c:pt>
              </c:numCache>
            </c:numRef>
          </c:yVal>
        </c:ser>
        <c:axId val="129812352"/>
        <c:axId val="129813888"/>
      </c:scatterChart>
      <c:valAx>
        <c:axId val="1298123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813888"/>
        <c:crosses val="autoZero"/>
        <c:crossBetween val="midCat"/>
      </c:valAx>
      <c:valAx>
        <c:axId val="129813888"/>
        <c:scaling>
          <c:orientation val="minMax"/>
        </c:scaling>
        <c:axPos val="l"/>
        <c:majorGridlines/>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812352"/>
        <c:crosses val="autoZero"/>
        <c:crossBetween val="midCat"/>
      </c:valAx>
    </c:plotArea>
    <c:legend>
      <c:legendPos val="r"/>
      <c:layout>
        <c:manualLayout>
          <c:xMode val="edge"/>
          <c:yMode val="edge"/>
          <c:x val="0.81034482758620685"/>
          <c:y val="0.36559309118618233"/>
          <c:w val="0.17025862068965503"/>
          <c:h val="0.25806564502017876"/>
        </c:manualLayout>
      </c:layout>
      <c:txPr>
        <a:bodyPr/>
        <a:lstStyle/>
        <a:p>
          <a:pPr>
            <a:defRPr sz="77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805084745762712"/>
          <c:y val="7.4866310160427857E-2"/>
          <c:w val="0.64830508474576276"/>
          <c:h val="0.73796791443850318"/>
        </c:manualLayout>
      </c:layout>
      <c:scatterChart>
        <c:scatterStyle val="lineMarker"/>
        <c:ser>
          <c:idx val="0"/>
          <c:order val="0"/>
          <c:xVal>
            <c:numRef>
              <c:f>'E Work'!$A$5:$A$11</c:f>
              <c:numCache>
                <c:formatCode>0.00</c:formatCode>
                <c:ptCount val="7"/>
                <c:pt idx="0">
                  <c:v>0</c:v>
                </c:pt>
                <c:pt idx="1">
                  <c:v>5</c:v>
                </c:pt>
                <c:pt idx="2">
                  <c:v>7</c:v>
                </c:pt>
                <c:pt idx="3">
                  <c:v>10</c:v>
                </c:pt>
                <c:pt idx="4">
                  <c:v>12</c:v>
                </c:pt>
                <c:pt idx="5">
                  <c:v>15</c:v>
                </c:pt>
                <c:pt idx="6">
                  <c:v>19.96</c:v>
                </c:pt>
              </c:numCache>
            </c:numRef>
          </c:xVal>
          <c:yVal>
            <c:numRef>
              <c:f>'E Work'!$B$5:$B$11</c:f>
              <c:numCache>
                <c:formatCode>0.00</c:formatCode>
                <c:ptCount val="7"/>
                <c:pt idx="0">
                  <c:v>16.63</c:v>
                </c:pt>
                <c:pt idx="1">
                  <c:v>16.68</c:v>
                </c:pt>
                <c:pt idx="2">
                  <c:v>13.675000000000001</c:v>
                </c:pt>
                <c:pt idx="3">
                  <c:v>12.5</c:v>
                </c:pt>
                <c:pt idx="4">
                  <c:v>11.205</c:v>
                </c:pt>
                <c:pt idx="5">
                  <c:v>10.105</c:v>
                </c:pt>
                <c:pt idx="6">
                  <c:v>9.1050000000000004</c:v>
                </c:pt>
              </c:numCache>
            </c:numRef>
          </c:yVal>
        </c:ser>
        <c:ser>
          <c:idx val="1"/>
          <c:order val="1"/>
          <c:xVal>
            <c:numRef>
              <c:f>'E Work'!$D$5:$D$8</c:f>
              <c:numCache>
                <c:formatCode>0.00</c:formatCode>
                <c:ptCount val="4"/>
                <c:pt idx="0">
                  <c:v>0</c:v>
                </c:pt>
                <c:pt idx="1">
                  <c:v>4.4000000000000004</c:v>
                </c:pt>
                <c:pt idx="2">
                  <c:v>5</c:v>
                </c:pt>
                <c:pt idx="3">
                  <c:v>19.96</c:v>
                </c:pt>
              </c:numCache>
            </c:numRef>
          </c:xVal>
          <c:yVal>
            <c:numRef>
              <c:f>'E Work'!$E$5:$E$8</c:f>
              <c:numCache>
                <c:formatCode>0.00</c:formatCode>
                <c:ptCount val="4"/>
                <c:pt idx="0">
                  <c:v>16.63</c:v>
                </c:pt>
                <c:pt idx="1">
                  <c:v>16.48</c:v>
                </c:pt>
                <c:pt idx="2">
                  <c:v>16.48</c:v>
                </c:pt>
                <c:pt idx="3">
                  <c:v>9</c:v>
                </c:pt>
              </c:numCache>
            </c:numRef>
          </c:yVal>
        </c:ser>
        <c:axId val="129850752"/>
        <c:axId val="129856640"/>
      </c:scatterChart>
      <c:valAx>
        <c:axId val="1298507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856640"/>
        <c:crosses val="autoZero"/>
        <c:crossBetween val="midCat"/>
      </c:valAx>
      <c:valAx>
        <c:axId val="129856640"/>
        <c:scaling>
          <c:orientation val="minMax"/>
        </c:scaling>
        <c:axPos val="l"/>
        <c:majorGridlines/>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850752"/>
        <c:crosses val="autoZero"/>
        <c:crossBetween val="midCat"/>
      </c:valAx>
    </c:plotArea>
    <c:legend>
      <c:legendPos val="r"/>
      <c:layout/>
      <c:txPr>
        <a:bodyPr/>
        <a:lstStyle/>
        <a:p>
          <a:pPr>
            <a:defRPr sz="77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625000000000002"/>
          <c:y val="4.4728434504792393E-2"/>
          <c:w val="0.65416666666666667"/>
          <c:h val="0.8434504792332268"/>
        </c:manualLayout>
      </c:layout>
      <c:scatterChart>
        <c:scatterStyle val="lineMarker"/>
        <c:ser>
          <c:idx val="0"/>
          <c:order val="0"/>
          <c:xVal>
            <c:numRef>
              <c:f>'E Work'!$A$40:$A$44</c:f>
              <c:numCache>
                <c:formatCode>0.00</c:formatCode>
                <c:ptCount val="5"/>
                <c:pt idx="0">
                  <c:v>52</c:v>
                </c:pt>
                <c:pt idx="1">
                  <c:v>54</c:v>
                </c:pt>
                <c:pt idx="2">
                  <c:v>56</c:v>
                </c:pt>
                <c:pt idx="3">
                  <c:v>60</c:v>
                </c:pt>
                <c:pt idx="4">
                  <c:v>65</c:v>
                </c:pt>
              </c:numCache>
            </c:numRef>
          </c:xVal>
          <c:yVal>
            <c:numRef>
              <c:f>'E Work'!$B$40:$B$44</c:f>
              <c:numCache>
                <c:formatCode>0.00</c:formatCode>
                <c:ptCount val="5"/>
                <c:pt idx="0">
                  <c:v>16</c:v>
                </c:pt>
                <c:pt idx="1">
                  <c:v>15</c:v>
                </c:pt>
                <c:pt idx="2">
                  <c:v>12.9</c:v>
                </c:pt>
                <c:pt idx="3">
                  <c:v>11.3</c:v>
                </c:pt>
                <c:pt idx="4">
                  <c:v>10.700000000000003</c:v>
                </c:pt>
              </c:numCache>
            </c:numRef>
          </c:yVal>
        </c:ser>
        <c:axId val="129877504"/>
        <c:axId val="129879040"/>
      </c:scatterChart>
      <c:scatterChart>
        <c:scatterStyle val="smoothMarker"/>
        <c:ser>
          <c:idx val="1"/>
          <c:order val="1"/>
          <c:marker>
            <c:symbol val="none"/>
          </c:marker>
          <c:xVal>
            <c:numRef>
              <c:f>'E Work'!$D$31:$D$35</c:f>
              <c:numCache>
                <c:formatCode>0.00</c:formatCode>
                <c:ptCount val="5"/>
                <c:pt idx="0">
                  <c:v>52</c:v>
                </c:pt>
                <c:pt idx="1">
                  <c:v>54</c:v>
                </c:pt>
                <c:pt idx="2">
                  <c:v>56</c:v>
                </c:pt>
                <c:pt idx="3">
                  <c:v>60</c:v>
                </c:pt>
                <c:pt idx="4">
                  <c:v>65</c:v>
                </c:pt>
              </c:numCache>
            </c:numRef>
          </c:xVal>
          <c:yVal>
            <c:numRef>
              <c:f>'E Work'!$E$31:$E$35</c:f>
              <c:numCache>
                <c:formatCode>0.00</c:formatCode>
                <c:ptCount val="5"/>
                <c:pt idx="0">
                  <c:v>16.200000000000003</c:v>
                </c:pt>
                <c:pt idx="1">
                  <c:v>16.200000000000003</c:v>
                </c:pt>
                <c:pt idx="2">
                  <c:v>15.200000000000003</c:v>
                </c:pt>
                <c:pt idx="3">
                  <c:v>13.200000000000003</c:v>
                </c:pt>
                <c:pt idx="4">
                  <c:v>10.700000000000003</c:v>
                </c:pt>
              </c:numCache>
            </c:numRef>
          </c:yVal>
          <c:smooth val="1"/>
        </c:ser>
        <c:axId val="129877504"/>
        <c:axId val="129879040"/>
      </c:scatterChart>
      <c:valAx>
        <c:axId val="1298775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879040"/>
        <c:crosses val="autoZero"/>
        <c:crossBetween val="midCat"/>
      </c:valAx>
      <c:valAx>
        <c:axId val="129879040"/>
        <c:scaling>
          <c:orientation val="minMax"/>
        </c:scaling>
        <c:axPos val="l"/>
        <c:majorGridlines/>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877504"/>
        <c:crosses val="autoZero"/>
        <c:crossBetween val="midCat"/>
      </c:valAx>
    </c:plotArea>
    <c:legend>
      <c:legendPos val="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625000000000002"/>
          <c:y val="4.8611111111111112E-2"/>
          <c:w val="0.65416666666666667"/>
          <c:h val="0.8298611111111116"/>
        </c:manualLayout>
      </c:layout>
      <c:scatterChart>
        <c:scatterStyle val="lineMarker"/>
        <c:ser>
          <c:idx val="0"/>
          <c:order val="0"/>
          <c:xVal>
            <c:numRef>
              <c:f>'E Work'!$A$25:$A$44</c:f>
              <c:numCache>
                <c:formatCode>0.00</c:formatCode>
                <c:ptCount val="20"/>
                <c:pt idx="0">
                  <c:v>0</c:v>
                </c:pt>
                <c:pt idx="1">
                  <c:v>5</c:v>
                </c:pt>
                <c:pt idx="2">
                  <c:v>7</c:v>
                </c:pt>
                <c:pt idx="3">
                  <c:v>10</c:v>
                </c:pt>
                <c:pt idx="4">
                  <c:v>12</c:v>
                </c:pt>
                <c:pt idx="5">
                  <c:v>15</c:v>
                </c:pt>
                <c:pt idx="6">
                  <c:v>20</c:v>
                </c:pt>
                <c:pt idx="7">
                  <c:v>25</c:v>
                </c:pt>
                <c:pt idx="8">
                  <c:v>30</c:v>
                </c:pt>
                <c:pt idx="9">
                  <c:v>35</c:v>
                </c:pt>
                <c:pt idx="10">
                  <c:v>40.799999999999997</c:v>
                </c:pt>
                <c:pt idx="11">
                  <c:v>44</c:v>
                </c:pt>
                <c:pt idx="12">
                  <c:v>46</c:v>
                </c:pt>
                <c:pt idx="13">
                  <c:v>48</c:v>
                </c:pt>
                <c:pt idx="14">
                  <c:v>50</c:v>
                </c:pt>
                <c:pt idx="15">
                  <c:v>52</c:v>
                </c:pt>
                <c:pt idx="16">
                  <c:v>54</c:v>
                </c:pt>
                <c:pt idx="17">
                  <c:v>56</c:v>
                </c:pt>
                <c:pt idx="18">
                  <c:v>60</c:v>
                </c:pt>
                <c:pt idx="19">
                  <c:v>65</c:v>
                </c:pt>
              </c:numCache>
            </c:numRef>
          </c:xVal>
          <c:yVal>
            <c:numRef>
              <c:f>'E Work'!$B$25:$B$44</c:f>
              <c:numCache>
                <c:formatCode>0.00</c:formatCode>
                <c:ptCount val="20"/>
                <c:pt idx="0">
                  <c:v>16.63</c:v>
                </c:pt>
                <c:pt idx="1">
                  <c:v>16.68</c:v>
                </c:pt>
                <c:pt idx="2">
                  <c:v>13.675000000000001</c:v>
                </c:pt>
                <c:pt idx="3">
                  <c:v>12</c:v>
                </c:pt>
                <c:pt idx="4">
                  <c:v>11.205</c:v>
                </c:pt>
                <c:pt idx="5">
                  <c:v>10.105</c:v>
                </c:pt>
                <c:pt idx="6">
                  <c:v>9.1050000000000004</c:v>
                </c:pt>
                <c:pt idx="7">
                  <c:v>9</c:v>
                </c:pt>
                <c:pt idx="8">
                  <c:v>9.2550000000000008</c:v>
                </c:pt>
                <c:pt idx="9">
                  <c:v>8.7449999999999992</c:v>
                </c:pt>
                <c:pt idx="10">
                  <c:v>10.7</c:v>
                </c:pt>
                <c:pt idx="11">
                  <c:v>12.38</c:v>
                </c:pt>
                <c:pt idx="12">
                  <c:v>13.5</c:v>
                </c:pt>
                <c:pt idx="13">
                  <c:v>16</c:v>
                </c:pt>
                <c:pt idx="14">
                  <c:v>16</c:v>
                </c:pt>
                <c:pt idx="15">
                  <c:v>16</c:v>
                </c:pt>
                <c:pt idx="16">
                  <c:v>15</c:v>
                </c:pt>
                <c:pt idx="17">
                  <c:v>12.9</c:v>
                </c:pt>
                <c:pt idx="18">
                  <c:v>11.3</c:v>
                </c:pt>
                <c:pt idx="19">
                  <c:v>10.700000000000003</c:v>
                </c:pt>
              </c:numCache>
            </c:numRef>
          </c:yVal>
        </c:ser>
        <c:ser>
          <c:idx val="1"/>
          <c:order val="1"/>
          <c:marker>
            <c:symbol val="none"/>
          </c:marker>
          <c:xVal>
            <c:numRef>
              <c:f>'E Work'!$D$26:$D$35</c:f>
              <c:numCache>
                <c:formatCode>0.00</c:formatCode>
                <c:ptCount val="10"/>
                <c:pt idx="0">
                  <c:v>0</c:v>
                </c:pt>
                <c:pt idx="1">
                  <c:v>5</c:v>
                </c:pt>
                <c:pt idx="2">
                  <c:v>19.400000000000006</c:v>
                </c:pt>
                <c:pt idx="3">
                  <c:v>37.400000000000006</c:v>
                </c:pt>
                <c:pt idx="4">
                  <c:v>51.400000000000006</c:v>
                </c:pt>
                <c:pt idx="5">
                  <c:v>52</c:v>
                </c:pt>
                <c:pt idx="6">
                  <c:v>54</c:v>
                </c:pt>
                <c:pt idx="7">
                  <c:v>56</c:v>
                </c:pt>
                <c:pt idx="8">
                  <c:v>60</c:v>
                </c:pt>
                <c:pt idx="9">
                  <c:v>65</c:v>
                </c:pt>
              </c:numCache>
            </c:numRef>
          </c:xVal>
          <c:yVal>
            <c:numRef>
              <c:f>'E Work'!$E$26:$E$35</c:f>
              <c:numCache>
                <c:formatCode>0.00</c:formatCode>
                <c:ptCount val="10"/>
                <c:pt idx="0">
                  <c:v>16.600000000000001</c:v>
                </c:pt>
                <c:pt idx="1">
                  <c:v>16.200000000000003</c:v>
                </c:pt>
                <c:pt idx="2">
                  <c:v>9</c:v>
                </c:pt>
                <c:pt idx="3">
                  <c:v>9</c:v>
                </c:pt>
                <c:pt idx="4">
                  <c:v>16.200000000000003</c:v>
                </c:pt>
                <c:pt idx="5">
                  <c:v>16.200000000000003</c:v>
                </c:pt>
                <c:pt idx="6">
                  <c:v>16.200000000000003</c:v>
                </c:pt>
                <c:pt idx="7">
                  <c:v>15.200000000000003</c:v>
                </c:pt>
                <c:pt idx="8">
                  <c:v>13.200000000000003</c:v>
                </c:pt>
                <c:pt idx="9">
                  <c:v>10.700000000000003</c:v>
                </c:pt>
              </c:numCache>
            </c:numRef>
          </c:yVal>
        </c:ser>
        <c:axId val="130042880"/>
        <c:axId val="130048768"/>
      </c:scatterChart>
      <c:valAx>
        <c:axId val="13004288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0048768"/>
        <c:crosses val="autoZero"/>
        <c:crossBetween val="midCat"/>
      </c:valAx>
      <c:valAx>
        <c:axId val="130048768"/>
        <c:scaling>
          <c:orientation val="minMax"/>
        </c:scaling>
        <c:axPos val="l"/>
        <c:majorGridlines/>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0042880"/>
        <c:crosses val="autoZero"/>
        <c:crossBetween val="midCat"/>
      </c:valAx>
    </c:plotArea>
    <c:legend>
      <c:legendPos val="r"/>
      <c:layout/>
      <c:txPr>
        <a:bodyPr/>
        <a:lstStyle/>
        <a:p>
          <a:pPr>
            <a:defRPr sz="77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4463840399002506"/>
          <c:y val="9.5588235294117641E-2"/>
          <c:w val="0.59600997506234366"/>
          <c:h val="0.73529411764705932"/>
        </c:manualLayout>
      </c:layout>
      <c:scatterChart>
        <c:scatterStyle val="lineMarker"/>
        <c:ser>
          <c:idx val="0"/>
          <c:order val="0"/>
          <c:xVal>
            <c:numRef>
              <c:f>'E Work'!$A$48:$A$66</c:f>
              <c:numCache>
                <c:formatCode>0.00</c:formatCode>
                <c:ptCount val="19"/>
                <c:pt idx="0">
                  <c:v>0</c:v>
                </c:pt>
                <c:pt idx="1">
                  <c:v>3.5</c:v>
                </c:pt>
                <c:pt idx="2">
                  <c:v>6.5</c:v>
                </c:pt>
                <c:pt idx="3">
                  <c:v>8.5</c:v>
                </c:pt>
                <c:pt idx="4">
                  <c:v>12.5</c:v>
                </c:pt>
                <c:pt idx="5">
                  <c:v>15.5</c:v>
                </c:pt>
                <c:pt idx="6">
                  <c:v>16.5</c:v>
                </c:pt>
                <c:pt idx="7">
                  <c:v>17.600000000000001</c:v>
                </c:pt>
                <c:pt idx="8">
                  <c:v>20.5</c:v>
                </c:pt>
                <c:pt idx="9">
                  <c:v>25.5</c:v>
                </c:pt>
                <c:pt idx="10">
                  <c:v>30.5</c:v>
                </c:pt>
                <c:pt idx="11">
                  <c:v>35.5</c:v>
                </c:pt>
                <c:pt idx="12">
                  <c:v>37.5</c:v>
                </c:pt>
                <c:pt idx="13">
                  <c:v>38</c:v>
                </c:pt>
                <c:pt idx="14">
                  <c:v>38.5</c:v>
                </c:pt>
                <c:pt idx="15">
                  <c:v>40.5</c:v>
                </c:pt>
                <c:pt idx="16">
                  <c:v>44.5</c:v>
                </c:pt>
                <c:pt idx="17">
                  <c:v>46</c:v>
                </c:pt>
                <c:pt idx="18">
                  <c:v>48.78</c:v>
                </c:pt>
              </c:numCache>
            </c:numRef>
          </c:xVal>
          <c:yVal>
            <c:numRef>
              <c:f>'E Work'!$B$48:$B$66</c:f>
              <c:numCache>
                <c:formatCode>0.00</c:formatCode>
                <c:ptCount val="19"/>
                <c:pt idx="0">
                  <c:v>16.625</c:v>
                </c:pt>
                <c:pt idx="1">
                  <c:v>16.625</c:v>
                </c:pt>
                <c:pt idx="2">
                  <c:v>16.454999999999998</c:v>
                </c:pt>
                <c:pt idx="3">
                  <c:v>16.274999999999999</c:v>
                </c:pt>
                <c:pt idx="4">
                  <c:v>13.835000000000001</c:v>
                </c:pt>
                <c:pt idx="5">
                  <c:v>11.984999999999999</c:v>
                </c:pt>
                <c:pt idx="6">
                  <c:v>11.225</c:v>
                </c:pt>
                <c:pt idx="7">
                  <c:v>11.25</c:v>
                </c:pt>
                <c:pt idx="8">
                  <c:v>10.5</c:v>
                </c:pt>
                <c:pt idx="9">
                  <c:v>9.5</c:v>
                </c:pt>
                <c:pt idx="10">
                  <c:v>10.5</c:v>
                </c:pt>
                <c:pt idx="11">
                  <c:v>10.725</c:v>
                </c:pt>
                <c:pt idx="12">
                  <c:v>11.705</c:v>
                </c:pt>
                <c:pt idx="13">
                  <c:v>12.305</c:v>
                </c:pt>
                <c:pt idx="14">
                  <c:v>12.8</c:v>
                </c:pt>
                <c:pt idx="15">
                  <c:v>13.99</c:v>
                </c:pt>
                <c:pt idx="16">
                  <c:v>16</c:v>
                </c:pt>
                <c:pt idx="17">
                  <c:v>16</c:v>
                </c:pt>
                <c:pt idx="18">
                  <c:v>16</c:v>
                </c:pt>
              </c:numCache>
            </c:numRef>
          </c:yVal>
        </c:ser>
        <c:ser>
          <c:idx val="1"/>
          <c:order val="1"/>
          <c:xVal>
            <c:numRef>
              <c:f>'E Work'!$D$48:$D$54</c:f>
              <c:numCache>
                <c:formatCode>0.00</c:formatCode>
                <c:ptCount val="7"/>
                <c:pt idx="0">
                  <c:v>0</c:v>
                </c:pt>
                <c:pt idx="1">
                  <c:v>3.5</c:v>
                </c:pt>
                <c:pt idx="2">
                  <c:v>6.5</c:v>
                </c:pt>
                <c:pt idx="3">
                  <c:v>6.5</c:v>
                </c:pt>
                <c:pt idx="4">
                  <c:v>18.97</c:v>
                </c:pt>
                <c:pt idx="5">
                  <c:v>36.32</c:v>
                </c:pt>
                <c:pt idx="6" formatCode="General">
                  <c:v>48.78</c:v>
                </c:pt>
              </c:numCache>
            </c:numRef>
          </c:xVal>
          <c:yVal>
            <c:numRef>
              <c:f>'E Work'!$E$48:$E$54</c:f>
              <c:numCache>
                <c:formatCode>0.00</c:formatCode>
                <c:ptCount val="7"/>
                <c:pt idx="0">
                  <c:v>16.625</c:v>
                </c:pt>
                <c:pt idx="1">
                  <c:v>16.625</c:v>
                </c:pt>
                <c:pt idx="2">
                  <c:v>16.055</c:v>
                </c:pt>
                <c:pt idx="3">
                  <c:v>16.055</c:v>
                </c:pt>
                <c:pt idx="4" formatCode="General">
                  <c:v>9.82</c:v>
                </c:pt>
                <c:pt idx="5" formatCode="General">
                  <c:v>9.82</c:v>
                </c:pt>
                <c:pt idx="6" formatCode="General">
                  <c:v>16.05</c:v>
                </c:pt>
              </c:numCache>
            </c:numRef>
          </c:yVal>
        </c:ser>
        <c:axId val="130077440"/>
        <c:axId val="130078976"/>
      </c:scatterChart>
      <c:valAx>
        <c:axId val="1300774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0078976"/>
        <c:crosses val="autoZero"/>
        <c:crossBetween val="midCat"/>
      </c:valAx>
      <c:valAx>
        <c:axId val="130078976"/>
        <c:scaling>
          <c:orientation val="minMax"/>
        </c:scaling>
        <c:axPos val="l"/>
        <c:majorGridlines/>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0077440"/>
        <c:crosses val="autoZero"/>
        <c:crossBetween val="midCat"/>
      </c:valAx>
    </c:plotArea>
    <c:legend>
      <c:legendPos val="r"/>
      <c:layout>
        <c:manualLayout>
          <c:xMode val="edge"/>
          <c:yMode val="edge"/>
          <c:wMode val="edge"/>
          <c:hMode val="edge"/>
          <c:x val="0.79301745635910292"/>
          <c:y val="0.40441176470588264"/>
          <c:w val="0.99002493765586064"/>
          <c:h val="0.58088235294117652"/>
        </c:manualLayout>
      </c:layout>
      <c:txPr>
        <a:bodyPr/>
        <a:lstStyle/>
        <a:p>
          <a:pPr>
            <a:defRPr sz="77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152400</xdr:colOff>
      <xdr:row>2</xdr:row>
      <xdr:rowOff>123825</xdr:rowOff>
    </xdr:from>
    <xdr:to>
      <xdr:col>21</xdr:col>
      <xdr:colOff>57150</xdr:colOff>
      <xdr:row>8</xdr:row>
      <xdr:rowOff>123825</xdr:rowOff>
    </xdr:to>
    <xdr:pic>
      <xdr:nvPicPr>
        <xdr:cNvPr id="786617" name="Picture 1"/>
        <xdr:cNvPicPr>
          <a:picLocks noChangeAspect="1" noChangeArrowheads="1"/>
        </xdr:cNvPicPr>
      </xdr:nvPicPr>
      <xdr:blipFill>
        <a:blip xmlns:r="http://schemas.openxmlformats.org/officeDocument/2006/relationships" r:embed="rId1"/>
        <a:srcRect/>
        <a:stretch>
          <a:fillRect/>
        </a:stretch>
      </xdr:blipFill>
      <xdr:spPr bwMode="auto">
        <a:xfrm>
          <a:off x="2447925" y="447675"/>
          <a:ext cx="1200150" cy="971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xdr:colOff>
      <xdr:row>3</xdr:row>
      <xdr:rowOff>0</xdr:rowOff>
    </xdr:from>
    <xdr:to>
      <xdr:col>22</xdr:col>
      <xdr:colOff>85725</xdr:colOff>
      <xdr:row>3</xdr:row>
      <xdr:rowOff>0</xdr:rowOff>
    </xdr:to>
    <xdr:sp macro="" textlink="">
      <xdr:nvSpPr>
        <xdr:cNvPr id="4097" name="Text Box 1"/>
        <xdr:cNvSpPr txBox="1">
          <a:spLocks noChangeArrowheads="1"/>
        </xdr:cNvSpPr>
      </xdr:nvSpPr>
      <xdr:spPr bwMode="auto">
        <a:xfrm>
          <a:off x="1266825" y="561975"/>
          <a:ext cx="158115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 Sub-Divisional Engineer,                                     Kushtia O&amp;M Sub-Division-2,                      BWDB, Kushtia</a:t>
          </a:r>
        </a:p>
      </xdr:txBody>
    </xdr:sp>
    <xdr:clientData/>
  </xdr:twoCellAnchor>
  <xdr:twoCellAnchor>
    <xdr:from>
      <xdr:col>29</xdr:col>
      <xdr:colOff>38100</xdr:colOff>
      <xdr:row>3</xdr:row>
      <xdr:rowOff>0</xdr:rowOff>
    </xdr:from>
    <xdr:to>
      <xdr:col>46</xdr:col>
      <xdr:colOff>9525</xdr:colOff>
      <xdr:row>3</xdr:row>
      <xdr:rowOff>0</xdr:rowOff>
    </xdr:to>
    <xdr:sp macro="" textlink="">
      <xdr:nvSpPr>
        <xdr:cNvPr id="4098" name="Text Box 2"/>
        <xdr:cNvSpPr txBox="1">
          <a:spLocks noChangeArrowheads="1"/>
        </xdr:cNvSpPr>
      </xdr:nvSpPr>
      <xdr:spPr bwMode="auto">
        <a:xfrm>
          <a:off x="3600450" y="561975"/>
          <a:ext cx="1952625"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Md. Abdul Gafur Miah                               Sub-Asstt. Engineer/Sectional Officer,    Kushtia O&amp;M Section - 3,                      BWDB, Kushtia</a:t>
          </a:r>
        </a:p>
      </xdr:txBody>
    </xdr:sp>
    <xdr:clientData/>
  </xdr:twoCellAnchor>
  <xdr:twoCellAnchor>
    <xdr:from>
      <xdr:col>8</xdr:col>
      <xdr:colOff>304800</xdr:colOff>
      <xdr:row>3</xdr:row>
      <xdr:rowOff>0</xdr:rowOff>
    </xdr:from>
    <xdr:to>
      <xdr:col>9</xdr:col>
      <xdr:colOff>304800</xdr:colOff>
      <xdr:row>3</xdr:row>
      <xdr:rowOff>0</xdr:rowOff>
    </xdr:to>
    <xdr:graphicFrame macro="">
      <xdr:nvGraphicFramePr>
        <xdr:cNvPr id="263073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9525</xdr:colOff>
      <xdr:row>3</xdr:row>
      <xdr:rowOff>0</xdr:rowOff>
    </xdr:from>
    <xdr:to>
      <xdr:col>49</xdr:col>
      <xdr:colOff>0</xdr:colOff>
      <xdr:row>3</xdr:row>
      <xdr:rowOff>0</xdr:rowOff>
    </xdr:to>
    <xdr:sp macro="" textlink="">
      <xdr:nvSpPr>
        <xdr:cNvPr id="4100" name="Text Box 4"/>
        <xdr:cNvSpPr txBox="1">
          <a:spLocks noChangeArrowheads="1"/>
        </xdr:cNvSpPr>
      </xdr:nvSpPr>
      <xdr:spPr bwMode="auto">
        <a:xfrm>
          <a:off x="4943475" y="561975"/>
          <a:ext cx="171450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39</xdr:col>
      <xdr:colOff>66675</xdr:colOff>
      <xdr:row>3</xdr:row>
      <xdr:rowOff>0</xdr:rowOff>
    </xdr:from>
    <xdr:to>
      <xdr:col>49</xdr:col>
      <xdr:colOff>0</xdr:colOff>
      <xdr:row>3</xdr:row>
      <xdr:rowOff>0</xdr:rowOff>
    </xdr:to>
    <xdr:sp macro="" textlink="">
      <xdr:nvSpPr>
        <xdr:cNvPr id="4101" name="Text Box 5"/>
        <xdr:cNvSpPr txBox="1">
          <a:spLocks noChangeArrowheads="1"/>
        </xdr:cNvSpPr>
      </xdr:nvSpPr>
      <xdr:spPr bwMode="auto">
        <a:xfrm>
          <a:off x="4772025" y="561975"/>
          <a:ext cx="188595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Md. Abdul Gafur Miah </a:t>
          </a:r>
        </a:p>
        <a:p>
          <a:pPr algn="ctr" rtl="0">
            <a:defRPr sz="1000"/>
          </a:pPr>
          <a:r>
            <a:rPr lang="en-US" sz="1000" b="0" i="1" strike="noStrike">
              <a:solidFill>
                <a:srgbClr val="000000"/>
              </a:solidFill>
              <a:latin typeface="Arial Narrow"/>
            </a:rPr>
            <a:t> Sub-Asstt. Engineer/Sectional Officer, Kushtia O&amp;M Section - 3,</a:t>
          </a:r>
        </a:p>
        <a:p>
          <a:pPr algn="ctr" rtl="0">
            <a:defRPr sz="1000"/>
          </a:pPr>
          <a:r>
            <a:rPr lang="en-US" sz="1000" b="0" i="1" strike="noStrike">
              <a:solidFill>
                <a:srgbClr val="000000"/>
              </a:solidFill>
              <a:latin typeface="Arial Narrow"/>
            </a:rPr>
            <a:t> BWDB, Kushtia</a:t>
          </a:r>
        </a:p>
      </xdr:txBody>
    </xdr:sp>
    <xdr:clientData/>
  </xdr:twoCellAnchor>
  <xdr:twoCellAnchor>
    <xdr:from>
      <xdr:col>39</xdr:col>
      <xdr:colOff>0</xdr:colOff>
      <xdr:row>3</xdr:row>
      <xdr:rowOff>0</xdr:rowOff>
    </xdr:from>
    <xdr:to>
      <xdr:col>48</xdr:col>
      <xdr:colOff>66675</xdr:colOff>
      <xdr:row>3</xdr:row>
      <xdr:rowOff>0</xdr:rowOff>
    </xdr:to>
    <xdr:sp macro="" textlink="">
      <xdr:nvSpPr>
        <xdr:cNvPr id="4102" name="Text Box 6"/>
        <xdr:cNvSpPr txBox="1">
          <a:spLocks noChangeArrowheads="1"/>
        </xdr:cNvSpPr>
      </xdr:nvSpPr>
      <xdr:spPr bwMode="auto">
        <a:xfrm>
          <a:off x="4705350" y="561975"/>
          <a:ext cx="1781175" cy="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900" b="0" i="1" strike="noStrike">
              <a:solidFill>
                <a:srgbClr val="000000"/>
              </a:solidFill>
              <a:latin typeface="Arial Narrow"/>
            </a:rPr>
            <a:t>Md. Abdul Gafur Miah </a:t>
          </a:r>
        </a:p>
        <a:p>
          <a:pPr algn="ctr" rtl="0">
            <a:defRPr sz="1000"/>
          </a:pPr>
          <a:r>
            <a:rPr lang="en-US" sz="900" b="0" i="1" strike="noStrike">
              <a:solidFill>
                <a:srgbClr val="000000"/>
              </a:solidFill>
              <a:latin typeface="Arial Narrow"/>
            </a:rPr>
            <a:t> Sub-Asstt. Engineer/Sectional Officer, Kushtia O&amp;M Section - 3,</a:t>
          </a:r>
        </a:p>
        <a:p>
          <a:pPr algn="ctr" rtl="0">
            <a:defRPr sz="1000"/>
          </a:pPr>
          <a:r>
            <a:rPr lang="en-US" sz="900" b="0" i="1" strike="noStrike">
              <a:solidFill>
                <a:srgbClr val="000000"/>
              </a:solidFill>
              <a:latin typeface="Arial Narrow"/>
            </a:rPr>
            <a:t> BWDB, Kushtia</a:t>
          </a:r>
        </a:p>
      </xdr:txBody>
    </xdr:sp>
    <xdr:clientData/>
  </xdr:twoCellAnchor>
  <xdr:twoCellAnchor>
    <xdr:from>
      <xdr:col>17</xdr:col>
      <xdr:colOff>57150</xdr:colOff>
      <xdr:row>3</xdr:row>
      <xdr:rowOff>0</xdr:rowOff>
    </xdr:from>
    <xdr:to>
      <xdr:col>31</xdr:col>
      <xdr:colOff>104775</xdr:colOff>
      <xdr:row>3</xdr:row>
      <xdr:rowOff>0</xdr:rowOff>
    </xdr:to>
    <xdr:sp macro="" textlink="">
      <xdr:nvSpPr>
        <xdr:cNvPr id="4103" name="Text Box 7"/>
        <xdr:cNvSpPr txBox="1">
          <a:spLocks noChangeArrowheads="1"/>
        </xdr:cNvSpPr>
      </xdr:nvSpPr>
      <xdr:spPr bwMode="auto">
        <a:xfrm>
          <a:off x="2181225" y="561975"/>
          <a:ext cx="171450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41</xdr:col>
      <xdr:colOff>9525</xdr:colOff>
      <xdr:row>3</xdr:row>
      <xdr:rowOff>0</xdr:rowOff>
    </xdr:from>
    <xdr:to>
      <xdr:col>49</xdr:col>
      <xdr:colOff>0</xdr:colOff>
      <xdr:row>3</xdr:row>
      <xdr:rowOff>0</xdr:rowOff>
    </xdr:to>
    <xdr:sp macro="" textlink="">
      <xdr:nvSpPr>
        <xdr:cNvPr id="4104" name="Text Box 8"/>
        <xdr:cNvSpPr txBox="1">
          <a:spLocks noChangeArrowheads="1"/>
        </xdr:cNvSpPr>
      </xdr:nvSpPr>
      <xdr:spPr bwMode="auto">
        <a:xfrm>
          <a:off x="4943475" y="561975"/>
          <a:ext cx="171450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49</xdr:col>
      <xdr:colOff>0</xdr:colOff>
      <xdr:row>3</xdr:row>
      <xdr:rowOff>0</xdr:rowOff>
    </xdr:from>
    <xdr:to>
      <xdr:col>49</xdr:col>
      <xdr:colOff>0</xdr:colOff>
      <xdr:row>3</xdr:row>
      <xdr:rowOff>0</xdr:rowOff>
    </xdr:to>
    <xdr:sp macro="" textlink="">
      <xdr:nvSpPr>
        <xdr:cNvPr id="4105" name="Text Box 9"/>
        <xdr:cNvSpPr txBox="1">
          <a:spLocks noChangeArrowheads="1"/>
        </xdr:cNvSpPr>
      </xdr:nvSpPr>
      <xdr:spPr bwMode="auto">
        <a:xfrm>
          <a:off x="7991475" y="561975"/>
          <a:ext cx="609600" cy="0"/>
        </a:xfrm>
        <a:prstGeom prst="rect">
          <a:avLst/>
        </a:prstGeom>
        <a:solidFill>
          <a:srgbClr val="FFFFFF"/>
        </a:solidFill>
        <a:ln w="9525">
          <a:noFill/>
          <a:miter lim="800000"/>
          <a:headEnd/>
          <a:tailEnd/>
        </a:ln>
      </xdr:spPr>
      <xdr:txBody>
        <a:bodyPr vertOverflow="clip" wrap="square" lIns="91440" tIns="45720" rIns="91440" bIns="45720" anchor="t" upright="1"/>
        <a:lstStyle/>
        <a:p>
          <a:pPr algn="ctr" rtl="0">
            <a:defRPr sz="1000"/>
          </a:pPr>
          <a:r>
            <a:rPr lang="en-US" sz="1000" b="0" i="0" strike="noStrike">
              <a:solidFill>
                <a:srgbClr val="000000"/>
              </a:solidFill>
              <a:latin typeface="Arial Narrow"/>
            </a:rPr>
            <a:t>Executive Engineer</a:t>
          </a:r>
          <a:endParaRPr lang="en-US" sz="1300" b="0" i="0" strike="noStrike">
            <a:solidFill>
              <a:srgbClr val="000000"/>
            </a:solidFill>
            <a:latin typeface="SutonnyMJ"/>
          </a:endParaRPr>
        </a:p>
        <a:p>
          <a:pPr algn="ctr" rtl="0">
            <a:defRPr sz="1000"/>
          </a:pPr>
          <a:r>
            <a:rPr lang="en-US" sz="1000" b="0" i="0" strike="noStrike">
              <a:solidFill>
                <a:srgbClr val="000000"/>
              </a:solidFill>
              <a:latin typeface="Arial Narrow"/>
            </a:rPr>
            <a:t>Kushtia Division</a:t>
          </a:r>
          <a:endParaRPr lang="en-US" sz="1300" b="0" i="0" strike="noStrike">
            <a:solidFill>
              <a:srgbClr val="000000"/>
            </a:solidFill>
            <a:latin typeface="SutonnyMJ"/>
          </a:endParaRPr>
        </a:p>
        <a:p>
          <a:pPr algn="ctr" rtl="0">
            <a:defRPr sz="1000"/>
          </a:pPr>
          <a:r>
            <a:rPr lang="en-US" sz="1000" b="0" i="0" strike="noStrike">
              <a:solidFill>
                <a:srgbClr val="000000"/>
              </a:solidFill>
              <a:latin typeface="Arial Narrow"/>
            </a:rPr>
            <a:t>BWDB,Kushtia</a:t>
          </a:r>
        </a:p>
      </xdr:txBody>
    </xdr:sp>
    <xdr:clientData/>
  </xdr:twoCellAnchor>
  <xdr:twoCellAnchor>
    <xdr:from>
      <xdr:col>41</xdr:col>
      <xdr:colOff>0</xdr:colOff>
      <xdr:row>3</xdr:row>
      <xdr:rowOff>0</xdr:rowOff>
    </xdr:from>
    <xdr:to>
      <xdr:col>49</xdr:col>
      <xdr:colOff>0</xdr:colOff>
      <xdr:row>3</xdr:row>
      <xdr:rowOff>0</xdr:rowOff>
    </xdr:to>
    <xdr:sp macro="" textlink="">
      <xdr:nvSpPr>
        <xdr:cNvPr id="4106" name="Text Box 10"/>
        <xdr:cNvSpPr txBox="1">
          <a:spLocks noChangeArrowheads="1"/>
        </xdr:cNvSpPr>
      </xdr:nvSpPr>
      <xdr:spPr bwMode="auto">
        <a:xfrm>
          <a:off x="4933950" y="561975"/>
          <a:ext cx="1724025"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9</xdr:col>
      <xdr:colOff>57150</xdr:colOff>
      <xdr:row>3</xdr:row>
      <xdr:rowOff>0</xdr:rowOff>
    </xdr:from>
    <xdr:to>
      <xdr:col>22</xdr:col>
      <xdr:colOff>85725</xdr:colOff>
      <xdr:row>3</xdr:row>
      <xdr:rowOff>0</xdr:rowOff>
    </xdr:to>
    <xdr:sp macro="" textlink="">
      <xdr:nvSpPr>
        <xdr:cNvPr id="4107" name="Text Box 11"/>
        <xdr:cNvSpPr txBox="1">
          <a:spLocks noChangeArrowheads="1"/>
        </xdr:cNvSpPr>
      </xdr:nvSpPr>
      <xdr:spPr bwMode="auto">
        <a:xfrm>
          <a:off x="1266825" y="561975"/>
          <a:ext cx="158115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 Sub-Divisional Engineer,                                     Kushtia O&amp;M Sub-Division-2,                      BWDB, Kushtia</a:t>
          </a:r>
        </a:p>
      </xdr:txBody>
    </xdr:sp>
    <xdr:clientData/>
  </xdr:twoCellAnchor>
  <xdr:twoCellAnchor>
    <xdr:from>
      <xdr:col>29</xdr:col>
      <xdr:colOff>38100</xdr:colOff>
      <xdr:row>3</xdr:row>
      <xdr:rowOff>0</xdr:rowOff>
    </xdr:from>
    <xdr:to>
      <xdr:col>46</xdr:col>
      <xdr:colOff>9525</xdr:colOff>
      <xdr:row>3</xdr:row>
      <xdr:rowOff>0</xdr:rowOff>
    </xdr:to>
    <xdr:sp macro="" textlink="">
      <xdr:nvSpPr>
        <xdr:cNvPr id="4108" name="Text Box 12"/>
        <xdr:cNvSpPr txBox="1">
          <a:spLocks noChangeArrowheads="1"/>
        </xdr:cNvSpPr>
      </xdr:nvSpPr>
      <xdr:spPr bwMode="auto">
        <a:xfrm>
          <a:off x="3600450" y="561975"/>
          <a:ext cx="1952625"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Md. Abdul Gafur Miah                               Sub-Asstt. Engineer/Sectional Officer,    Kushtia O&amp;M Section - 3,                      BWDB, Kushtia</a:t>
          </a:r>
        </a:p>
      </xdr:txBody>
    </xdr:sp>
    <xdr:clientData/>
  </xdr:twoCellAnchor>
  <xdr:twoCellAnchor>
    <xdr:from>
      <xdr:col>8</xdr:col>
      <xdr:colOff>304800</xdr:colOff>
      <xdr:row>3</xdr:row>
      <xdr:rowOff>0</xdr:rowOff>
    </xdr:from>
    <xdr:to>
      <xdr:col>9</xdr:col>
      <xdr:colOff>304800</xdr:colOff>
      <xdr:row>3</xdr:row>
      <xdr:rowOff>0</xdr:rowOff>
    </xdr:to>
    <xdr:graphicFrame macro="">
      <xdr:nvGraphicFramePr>
        <xdr:cNvPr id="263074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66675</xdr:colOff>
      <xdr:row>3</xdr:row>
      <xdr:rowOff>0</xdr:rowOff>
    </xdr:from>
    <xdr:to>
      <xdr:col>49</xdr:col>
      <xdr:colOff>0</xdr:colOff>
      <xdr:row>3</xdr:row>
      <xdr:rowOff>0</xdr:rowOff>
    </xdr:to>
    <xdr:sp macro="" textlink="">
      <xdr:nvSpPr>
        <xdr:cNvPr id="4110" name="Text Box 14"/>
        <xdr:cNvSpPr txBox="1">
          <a:spLocks noChangeArrowheads="1"/>
        </xdr:cNvSpPr>
      </xdr:nvSpPr>
      <xdr:spPr bwMode="auto">
        <a:xfrm>
          <a:off x="5114925" y="561975"/>
          <a:ext cx="154305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Executive Engineer</a:t>
          </a:r>
        </a:p>
        <a:p>
          <a:pPr algn="ctr" rtl="0">
            <a:defRPr sz="1000"/>
          </a:pPr>
          <a:r>
            <a:rPr lang="en-US" sz="1000" b="0" i="1" strike="noStrike">
              <a:solidFill>
                <a:srgbClr val="000000"/>
              </a:solidFill>
              <a:latin typeface="Arial Narrow"/>
            </a:rPr>
            <a:t>  Kushtia O&amp;M  Division,</a:t>
          </a:r>
        </a:p>
        <a:p>
          <a:pPr algn="ctr" rtl="0">
            <a:defRPr sz="1000"/>
          </a:pPr>
          <a:r>
            <a:rPr lang="en-US" sz="1000" b="0" i="1" strike="noStrike">
              <a:solidFill>
                <a:srgbClr val="000000"/>
              </a:solidFill>
              <a:latin typeface="Arial Narrow"/>
            </a:rPr>
            <a:t> BWDB, Kushtia</a:t>
          </a:r>
        </a:p>
      </xdr:txBody>
    </xdr:sp>
    <xdr:clientData/>
  </xdr:twoCellAnchor>
  <xdr:twoCellAnchor>
    <xdr:from>
      <xdr:col>24</xdr:col>
      <xdr:colOff>104775</xdr:colOff>
      <xdr:row>133</xdr:row>
      <xdr:rowOff>0</xdr:rowOff>
    </xdr:from>
    <xdr:to>
      <xdr:col>24</xdr:col>
      <xdr:colOff>104775</xdr:colOff>
      <xdr:row>133</xdr:row>
      <xdr:rowOff>0</xdr:rowOff>
    </xdr:to>
    <xdr:sp macro="" textlink="">
      <xdr:nvSpPr>
        <xdr:cNvPr id="2630750" name="Line 42"/>
        <xdr:cNvSpPr>
          <a:spLocks noChangeShapeType="1"/>
        </xdr:cNvSpPr>
      </xdr:nvSpPr>
      <xdr:spPr bwMode="auto">
        <a:xfrm flipV="1">
          <a:off x="3419475" y="24574500"/>
          <a:ext cx="0" cy="0"/>
        </a:xfrm>
        <a:prstGeom prst="line">
          <a:avLst/>
        </a:prstGeom>
        <a:noFill/>
        <a:ln w="9525">
          <a:solidFill>
            <a:srgbClr val="000000"/>
          </a:solidFill>
          <a:round/>
          <a:headEnd/>
          <a:tailEnd/>
        </a:ln>
      </xdr:spPr>
    </xdr:sp>
    <xdr:clientData/>
  </xdr:twoCellAnchor>
  <xdr:twoCellAnchor>
    <xdr:from>
      <xdr:col>7</xdr:col>
      <xdr:colOff>76200</xdr:colOff>
      <xdr:row>132</xdr:row>
      <xdr:rowOff>142875</xdr:rowOff>
    </xdr:from>
    <xdr:to>
      <xdr:col>21</xdr:col>
      <xdr:colOff>104775</xdr:colOff>
      <xdr:row>138</xdr:row>
      <xdr:rowOff>133350</xdr:rowOff>
    </xdr:to>
    <xdr:grpSp>
      <xdr:nvGrpSpPr>
        <xdr:cNvPr id="2630751" name="Group 77"/>
        <xdr:cNvGrpSpPr>
          <a:grpSpLocks/>
        </xdr:cNvGrpSpPr>
      </xdr:nvGrpSpPr>
      <xdr:grpSpPr bwMode="auto">
        <a:xfrm>
          <a:off x="1263162" y="24644106"/>
          <a:ext cx="1735748" cy="1001590"/>
          <a:chOff x="1284410" y="25951962"/>
          <a:chExt cx="1751134" cy="994996"/>
        </a:xfrm>
      </xdr:grpSpPr>
      <xdr:sp macro="" textlink="">
        <xdr:nvSpPr>
          <xdr:cNvPr id="2630795" name="Freeform 51"/>
          <xdr:cNvSpPr>
            <a:spLocks/>
          </xdr:cNvSpPr>
        </xdr:nvSpPr>
        <xdr:spPr bwMode="auto">
          <a:xfrm>
            <a:off x="1284410" y="25959288"/>
            <a:ext cx="1751134" cy="947371"/>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96" name="Freeform 52"/>
          <xdr:cNvSpPr>
            <a:spLocks/>
          </xdr:cNvSpPr>
        </xdr:nvSpPr>
        <xdr:spPr bwMode="auto">
          <a:xfrm>
            <a:off x="1511544" y="25951962"/>
            <a:ext cx="1082187" cy="994996"/>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clientData/>
  </xdr:twoCellAnchor>
  <xdr:twoCellAnchor>
    <xdr:from>
      <xdr:col>8</xdr:col>
      <xdr:colOff>9525</xdr:colOff>
      <xdr:row>140</xdr:row>
      <xdr:rowOff>161925</xdr:rowOff>
    </xdr:from>
    <xdr:to>
      <xdr:col>22</xdr:col>
      <xdr:colOff>9525</xdr:colOff>
      <xdr:row>146</xdr:row>
      <xdr:rowOff>152400</xdr:rowOff>
    </xdr:to>
    <xdr:grpSp>
      <xdr:nvGrpSpPr>
        <xdr:cNvPr id="2630752" name="Group 78"/>
        <xdr:cNvGrpSpPr>
          <a:grpSpLocks/>
        </xdr:cNvGrpSpPr>
      </xdr:nvGrpSpPr>
      <xdr:grpSpPr bwMode="auto">
        <a:xfrm>
          <a:off x="1313717" y="25938040"/>
          <a:ext cx="1736481" cy="1001591"/>
          <a:chOff x="1277083" y="27256154"/>
          <a:chExt cx="1751134" cy="1004521"/>
        </a:xfrm>
      </xdr:grpSpPr>
      <xdr:sp macro="" textlink="">
        <xdr:nvSpPr>
          <xdr:cNvPr id="2630793" name="Freeform 51"/>
          <xdr:cNvSpPr>
            <a:spLocks/>
          </xdr:cNvSpPr>
        </xdr:nvSpPr>
        <xdr:spPr bwMode="auto">
          <a:xfrm>
            <a:off x="1277083" y="27256154"/>
            <a:ext cx="1751134" cy="947371"/>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94" name="Freeform 52"/>
          <xdr:cNvSpPr>
            <a:spLocks/>
          </xdr:cNvSpPr>
        </xdr:nvSpPr>
        <xdr:spPr bwMode="auto">
          <a:xfrm>
            <a:off x="1511544" y="27256154"/>
            <a:ext cx="1082187" cy="1004521"/>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6350">
            <a:solidFill>
              <a:srgbClr val="000000"/>
            </a:solidFill>
            <a:round/>
            <a:headEnd/>
            <a:tailEnd/>
          </a:ln>
        </xdr:spPr>
      </xdr:sp>
    </xdr:grpSp>
    <xdr:clientData/>
  </xdr:twoCellAnchor>
  <xdr:twoCellAnchor>
    <xdr:from>
      <xdr:col>18</xdr:col>
      <xdr:colOff>19050</xdr:colOff>
      <xdr:row>133</xdr:row>
      <xdr:rowOff>0</xdr:rowOff>
    </xdr:from>
    <xdr:to>
      <xdr:col>18</xdr:col>
      <xdr:colOff>28575</xdr:colOff>
      <xdr:row>133</xdr:row>
      <xdr:rowOff>0</xdr:rowOff>
    </xdr:to>
    <xdr:sp macro="" textlink="">
      <xdr:nvSpPr>
        <xdr:cNvPr id="2630753" name="Freeform 3984"/>
        <xdr:cNvSpPr>
          <a:spLocks/>
        </xdr:cNvSpPr>
      </xdr:nvSpPr>
      <xdr:spPr bwMode="auto">
        <a:xfrm>
          <a:off x="2447925" y="24574500"/>
          <a:ext cx="9525" cy="0"/>
        </a:xfrm>
        <a:custGeom>
          <a:avLst/>
          <a:gdLst>
            <a:gd name="T0" fmla="*/ 0 w 1"/>
            <a:gd name="T1" fmla="*/ 0 h 80"/>
            <a:gd name="T2" fmla="*/ 0 w 1"/>
            <a:gd name="T3" fmla="*/ 0 h 80"/>
            <a:gd name="T4" fmla="*/ 0 60000 65536"/>
            <a:gd name="T5" fmla="*/ 0 60000 65536"/>
            <a:gd name="T6" fmla="*/ 0 w 1"/>
            <a:gd name="T7" fmla="*/ 0 h 80"/>
            <a:gd name="T8" fmla="*/ 1 w 1"/>
            <a:gd name="T9" fmla="*/ 0 h 80"/>
          </a:gdLst>
          <a:ahLst/>
          <a:cxnLst>
            <a:cxn ang="T4">
              <a:pos x="T0" y="T1"/>
            </a:cxn>
            <a:cxn ang="T5">
              <a:pos x="T2" y="T3"/>
            </a:cxn>
          </a:cxnLst>
          <a:rect l="T6" t="T7" r="T8" b="T9"/>
          <a:pathLst>
            <a:path w="1" h="80">
              <a:moveTo>
                <a:pt x="0" y="0"/>
              </a:moveTo>
              <a:cubicBezTo>
                <a:pt x="0" y="33"/>
                <a:pt x="0" y="66"/>
                <a:pt x="0" y="80"/>
              </a:cubicBezTo>
            </a:path>
          </a:pathLst>
        </a:custGeom>
        <a:noFill/>
        <a:ln w="9525">
          <a:solidFill>
            <a:srgbClr val="000000"/>
          </a:solidFill>
          <a:round/>
          <a:headEnd/>
          <a:tailEnd/>
        </a:ln>
      </xdr:spPr>
    </xdr:sp>
    <xdr:clientData/>
  </xdr:twoCellAnchor>
  <xdr:twoCellAnchor>
    <xdr:from>
      <xdr:col>8</xdr:col>
      <xdr:colOff>85725</xdr:colOff>
      <xdr:row>166</xdr:row>
      <xdr:rowOff>57150</xdr:rowOff>
    </xdr:from>
    <xdr:to>
      <xdr:col>22</xdr:col>
      <xdr:colOff>38100</xdr:colOff>
      <xdr:row>172</xdr:row>
      <xdr:rowOff>19050</xdr:rowOff>
    </xdr:to>
    <xdr:grpSp>
      <xdr:nvGrpSpPr>
        <xdr:cNvPr id="2630754" name="Group 70"/>
        <xdr:cNvGrpSpPr>
          <a:grpSpLocks/>
        </xdr:cNvGrpSpPr>
      </xdr:nvGrpSpPr>
      <xdr:grpSpPr bwMode="auto">
        <a:xfrm>
          <a:off x="1389917" y="30236746"/>
          <a:ext cx="1688856" cy="973016"/>
          <a:chOff x="1354748" y="30241875"/>
          <a:chExt cx="1700579" cy="970817"/>
        </a:xfrm>
      </xdr:grpSpPr>
      <xdr:sp macro="" textlink="">
        <xdr:nvSpPr>
          <xdr:cNvPr id="2630791" name="Freeform 51"/>
          <xdr:cNvSpPr>
            <a:spLocks/>
          </xdr:cNvSpPr>
        </xdr:nvSpPr>
        <xdr:spPr bwMode="auto">
          <a:xfrm>
            <a:off x="1354748" y="30241875"/>
            <a:ext cx="1700579" cy="963490"/>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92" name="Freeform 52"/>
          <xdr:cNvSpPr>
            <a:spLocks/>
          </xdr:cNvSpPr>
        </xdr:nvSpPr>
        <xdr:spPr bwMode="auto">
          <a:xfrm>
            <a:off x="1550376" y="30253598"/>
            <a:ext cx="1497623" cy="959094"/>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clientData/>
  </xdr:twoCellAnchor>
  <xdr:twoCellAnchor>
    <xdr:from>
      <xdr:col>6</xdr:col>
      <xdr:colOff>0</xdr:colOff>
      <xdr:row>201</xdr:row>
      <xdr:rowOff>38100</xdr:rowOff>
    </xdr:from>
    <xdr:to>
      <xdr:col>28</xdr:col>
      <xdr:colOff>200025</xdr:colOff>
      <xdr:row>208</xdr:row>
      <xdr:rowOff>152400</xdr:rowOff>
    </xdr:to>
    <xdr:grpSp>
      <xdr:nvGrpSpPr>
        <xdr:cNvPr id="2630755" name="Group 88"/>
        <xdr:cNvGrpSpPr>
          <a:grpSpLocks/>
        </xdr:cNvGrpSpPr>
      </xdr:nvGrpSpPr>
      <xdr:grpSpPr bwMode="auto">
        <a:xfrm>
          <a:off x="1091712" y="37317485"/>
          <a:ext cx="3101486" cy="1293934"/>
          <a:chOff x="1025770" y="43154844"/>
          <a:chExt cx="3130794" cy="1304925"/>
        </a:xfrm>
      </xdr:grpSpPr>
      <xdr:sp macro="" textlink="">
        <xdr:nvSpPr>
          <xdr:cNvPr id="2630783" name="Freeform 52"/>
          <xdr:cNvSpPr>
            <a:spLocks/>
          </xdr:cNvSpPr>
        </xdr:nvSpPr>
        <xdr:spPr bwMode="auto">
          <a:xfrm>
            <a:off x="1262429" y="43294788"/>
            <a:ext cx="1082187" cy="1004521"/>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nvGrpSpPr>
          <xdr:cNvPr id="2630784" name="Group 4017"/>
          <xdr:cNvGrpSpPr>
            <a:grpSpLocks/>
          </xdr:cNvGrpSpPr>
        </xdr:nvGrpSpPr>
        <xdr:grpSpPr bwMode="auto">
          <a:xfrm>
            <a:off x="1025770" y="43154844"/>
            <a:ext cx="3130794" cy="1304925"/>
            <a:chOff x="124" y="5039"/>
            <a:chExt cx="276" cy="145"/>
          </a:xfrm>
        </xdr:grpSpPr>
        <xdr:sp macro="" textlink="">
          <xdr:nvSpPr>
            <xdr:cNvPr id="2630785" name="Freeform 51"/>
            <xdr:cNvSpPr>
              <a:spLocks/>
            </xdr:cNvSpPr>
          </xdr:nvSpPr>
          <xdr:spPr bwMode="auto">
            <a:xfrm>
              <a:off x="137" y="5054"/>
              <a:ext cx="170" cy="101"/>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86" name="Line 4012"/>
            <xdr:cNvSpPr>
              <a:spLocks noChangeShapeType="1"/>
            </xdr:cNvSpPr>
          </xdr:nvSpPr>
          <xdr:spPr bwMode="auto">
            <a:xfrm>
              <a:off x="306" y="5183"/>
              <a:ext cx="94" cy="0"/>
            </a:xfrm>
            <a:prstGeom prst="line">
              <a:avLst/>
            </a:prstGeom>
            <a:noFill/>
            <a:ln w="22225">
              <a:solidFill>
                <a:srgbClr val="000000"/>
              </a:solidFill>
              <a:round/>
              <a:headEnd/>
              <a:tailEnd/>
            </a:ln>
          </xdr:spPr>
        </xdr:sp>
        <xdr:sp macro="" textlink="">
          <xdr:nvSpPr>
            <xdr:cNvPr id="2630787" name="Line 4013"/>
            <xdr:cNvSpPr>
              <a:spLocks noChangeShapeType="1"/>
            </xdr:cNvSpPr>
          </xdr:nvSpPr>
          <xdr:spPr bwMode="auto">
            <a:xfrm>
              <a:off x="306" y="5157"/>
              <a:ext cx="0" cy="27"/>
            </a:xfrm>
            <a:prstGeom prst="line">
              <a:avLst/>
            </a:prstGeom>
            <a:noFill/>
            <a:ln w="19050">
              <a:solidFill>
                <a:srgbClr val="000000"/>
              </a:solidFill>
              <a:round/>
              <a:headEnd/>
              <a:tailEnd/>
            </a:ln>
          </xdr:spPr>
        </xdr:sp>
        <xdr:sp macro="" textlink="">
          <xdr:nvSpPr>
            <xdr:cNvPr id="2630788" name="Line 4014"/>
            <xdr:cNvSpPr>
              <a:spLocks noChangeShapeType="1"/>
            </xdr:cNvSpPr>
          </xdr:nvSpPr>
          <xdr:spPr bwMode="auto">
            <a:xfrm>
              <a:off x="139" y="5054"/>
              <a:ext cx="0" cy="16"/>
            </a:xfrm>
            <a:prstGeom prst="line">
              <a:avLst/>
            </a:prstGeom>
            <a:noFill/>
            <a:ln w="19050">
              <a:solidFill>
                <a:srgbClr val="000000"/>
              </a:solidFill>
              <a:round/>
              <a:headEnd/>
              <a:tailEnd/>
            </a:ln>
          </xdr:spPr>
        </xdr:sp>
        <xdr:sp macro="" textlink="">
          <xdr:nvSpPr>
            <xdr:cNvPr id="2630789" name="Line 4015"/>
            <xdr:cNvSpPr>
              <a:spLocks noChangeShapeType="1"/>
            </xdr:cNvSpPr>
          </xdr:nvSpPr>
          <xdr:spPr bwMode="auto">
            <a:xfrm flipH="1">
              <a:off x="124" y="5071"/>
              <a:ext cx="16" cy="0"/>
            </a:xfrm>
            <a:prstGeom prst="line">
              <a:avLst/>
            </a:prstGeom>
            <a:noFill/>
            <a:ln w="19050">
              <a:solidFill>
                <a:srgbClr val="000000"/>
              </a:solidFill>
              <a:round/>
              <a:headEnd/>
              <a:tailEnd/>
            </a:ln>
          </xdr:spPr>
        </xdr:sp>
        <xdr:sp macro="" textlink="">
          <xdr:nvSpPr>
            <xdr:cNvPr id="2630790" name="Line 4016"/>
            <xdr:cNvSpPr>
              <a:spLocks noChangeShapeType="1"/>
            </xdr:cNvSpPr>
          </xdr:nvSpPr>
          <xdr:spPr bwMode="auto">
            <a:xfrm flipV="1">
              <a:off x="124" y="5039"/>
              <a:ext cx="0" cy="31"/>
            </a:xfrm>
            <a:prstGeom prst="line">
              <a:avLst/>
            </a:prstGeom>
            <a:noFill/>
            <a:ln w="19050">
              <a:solidFill>
                <a:srgbClr val="000000"/>
              </a:solidFill>
              <a:round/>
              <a:headEnd/>
              <a:tailEnd/>
            </a:ln>
          </xdr:spPr>
        </xdr:sp>
      </xdr:grpSp>
    </xdr:grpSp>
    <xdr:clientData/>
  </xdr:twoCellAnchor>
  <xdr:twoCellAnchor>
    <xdr:from>
      <xdr:col>3</xdr:col>
      <xdr:colOff>342900</xdr:colOff>
      <xdr:row>315</xdr:row>
      <xdr:rowOff>0</xdr:rowOff>
    </xdr:from>
    <xdr:to>
      <xdr:col>4</xdr:col>
      <xdr:colOff>0</xdr:colOff>
      <xdr:row>315</xdr:row>
      <xdr:rowOff>0</xdr:rowOff>
    </xdr:to>
    <xdr:sp macro="" textlink="">
      <xdr:nvSpPr>
        <xdr:cNvPr id="2630756" name="Line 422"/>
        <xdr:cNvSpPr>
          <a:spLocks noChangeShapeType="1"/>
        </xdr:cNvSpPr>
      </xdr:nvSpPr>
      <xdr:spPr bwMode="auto">
        <a:xfrm flipV="1">
          <a:off x="971550" y="57921525"/>
          <a:ext cx="0" cy="0"/>
        </a:xfrm>
        <a:prstGeom prst="line">
          <a:avLst/>
        </a:prstGeom>
        <a:noFill/>
        <a:ln w="9525">
          <a:solidFill>
            <a:srgbClr val="000000"/>
          </a:solidFill>
          <a:round/>
          <a:headEnd/>
          <a:tailEnd/>
        </a:ln>
      </xdr:spPr>
    </xdr:sp>
    <xdr:clientData/>
  </xdr:twoCellAnchor>
  <xdr:twoCellAnchor>
    <xdr:from>
      <xdr:col>20</xdr:col>
      <xdr:colOff>28575</xdr:colOff>
      <xdr:row>294</xdr:row>
      <xdr:rowOff>114300</xdr:rowOff>
    </xdr:from>
    <xdr:to>
      <xdr:col>31</xdr:col>
      <xdr:colOff>95250</xdr:colOff>
      <xdr:row>299</xdr:row>
      <xdr:rowOff>0</xdr:rowOff>
    </xdr:to>
    <xdr:grpSp>
      <xdr:nvGrpSpPr>
        <xdr:cNvPr id="2630757" name="Group 436"/>
        <xdr:cNvGrpSpPr>
          <a:grpSpLocks/>
        </xdr:cNvGrpSpPr>
      </xdr:nvGrpSpPr>
      <xdr:grpSpPr bwMode="auto">
        <a:xfrm>
          <a:off x="2761517" y="54487396"/>
          <a:ext cx="1839791" cy="545123"/>
          <a:chOff x="230" y="1549"/>
          <a:chExt cx="210" cy="56"/>
        </a:xfrm>
      </xdr:grpSpPr>
      <xdr:sp macro="" textlink="">
        <xdr:nvSpPr>
          <xdr:cNvPr id="2630779" name="Line 432"/>
          <xdr:cNvSpPr>
            <a:spLocks noChangeShapeType="1"/>
          </xdr:cNvSpPr>
        </xdr:nvSpPr>
        <xdr:spPr bwMode="auto">
          <a:xfrm>
            <a:off x="282" y="1549"/>
            <a:ext cx="114" cy="0"/>
          </a:xfrm>
          <a:prstGeom prst="line">
            <a:avLst/>
          </a:prstGeom>
          <a:noFill/>
          <a:ln w="9525">
            <a:solidFill>
              <a:srgbClr val="000000"/>
            </a:solidFill>
            <a:round/>
            <a:headEnd/>
            <a:tailEnd/>
          </a:ln>
        </xdr:spPr>
      </xdr:sp>
      <xdr:sp macro="" textlink="">
        <xdr:nvSpPr>
          <xdr:cNvPr id="2630780" name="Line 433"/>
          <xdr:cNvSpPr>
            <a:spLocks noChangeShapeType="1"/>
          </xdr:cNvSpPr>
        </xdr:nvSpPr>
        <xdr:spPr bwMode="auto">
          <a:xfrm flipH="1">
            <a:off x="230" y="1549"/>
            <a:ext cx="53" cy="56"/>
          </a:xfrm>
          <a:prstGeom prst="line">
            <a:avLst/>
          </a:prstGeom>
          <a:noFill/>
          <a:ln w="9525">
            <a:solidFill>
              <a:srgbClr val="000000"/>
            </a:solidFill>
            <a:round/>
            <a:headEnd/>
            <a:tailEnd/>
          </a:ln>
        </xdr:spPr>
      </xdr:sp>
      <xdr:sp macro="" textlink="">
        <xdr:nvSpPr>
          <xdr:cNvPr id="2630781" name="Line 434"/>
          <xdr:cNvSpPr>
            <a:spLocks noChangeShapeType="1"/>
          </xdr:cNvSpPr>
        </xdr:nvSpPr>
        <xdr:spPr bwMode="auto">
          <a:xfrm>
            <a:off x="395" y="1549"/>
            <a:ext cx="45" cy="54"/>
          </a:xfrm>
          <a:prstGeom prst="line">
            <a:avLst/>
          </a:prstGeom>
          <a:noFill/>
          <a:ln w="9525">
            <a:solidFill>
              <a:srgbClr val="000000"/>
            </a:solidFill>
            <a:round/>
            <a:headEnd/>
            <a:tailEnd/>
          </a:ln>
        </xdr:spPr>
      </xdr:sp>
      <xdr:sp macro="" textlink="">
        <xdr:nvSpPr>
          <xdr:cNvPr id="2630782" name="Line 435"/>
          <xdr:cNvSpPr>
            <a:spLocks noChangeShapeType="1"/>
          </xdr:cNvSpPr>
        </xdr:nvSpPr>
        <xdr:spPr bwMode="auto">
          <a:xfrm>
            <a:off x="232" y="1605"/>
            <a:ext cx="208" cy="0"/>
          </a:xfrm>
          <a:prstGeom prst="line">
            <a:avLst/>
          </a:prstGeom>
          <a:noFill/>
          <a:ln w="9525">
            <a:solidFill>
              <a:srgbClr val="000000"/>
            </a:solidFill>
            <a:round/>
            <a:headEnd/>
            <a:tailEnd/>
          </a:ln>
        </xdr:spPr>
      </xdr:sp>
    </xdr:grpSp>
    <xdr:clientData/>
  </xdr:twoCellAnchor>
  <xdr:twoCellAnchor>
    <xdr:from>
      <xdr:col>3</xdr:col>
      <xdr:colOff>57150</xdr:colOff>
      <xdr:row>209</xdr:row>
      <xdr:rowOff>38100</xdr:rowOff>
    </xdr:from>
    <xdr:to>
      <xdr:col>28</xdr:col>
      <xdr:colOff>66675</xdr:colOff>
      <xdr:row>216</xdr:row>
      <xdr:rowOff>114300</xdr:rowOff>
    </xdr:to>
    <xdr:grpSp>
      <xdr:nvGrpSpPr>
        <xdr:cNvPr id="2630758" name="Group 89"/>
        <xdr:cNvGrpSpPr>
          <a:grpSpLocks/>
        </xdr:cNvGrpSpPr>
      </xdr:nvGrpSpPr>
      <xdr:grpSpPr bwMode="auto">
        <a:xfrm>
          <a:off x="973015" y="38665638"/>
          <a:ext cx="3086833" cy="1255835"/>
          <a:chOff x="1150327" y="48085863"/>
          <a:chExt cx="3130794" cy="1202349"/>
        </a:xfrm>
      </xdr:grpSpPr>
      <xdr:sp macro="" textlink="">
        <xdr:nvSpPr>
          <xdr:cNvPr id="2630771" name="Freeform 52"/>
          <xdr:cNvSpPr>
            <a:spLocks/>
          </xdr:cNvSpPr>
        </xdr:nvSpPr>
        <xdr:spPr bwMode="auto">
          <a:xfrm>
            <a:off x="1511544" y="48211154"/>
            <a:ext cx="1082187" cy="921727"/>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nvGrpSpPr>
          <xdr:cNvPr id="2630772" name="Group 4017"/>
          <xdr:cNvGrpSpPr>
            <a:grpSpLocks/>
          </xdr:cNvGrpSpPr>
        </xdr:nvGrpSpPr>
        <xdr:grpSpPr bwMode="auto">
          <a:xfrm>
            <a:off x="1150327" y="48085863"/>
            <a:ext cx="3130794" cy="1202349"/>
            <a:chOff x="124" y="5039"/>
            <a:chExt cx="276" cy="145"/>
          </a:xfrm>
        </xdr:grpSpPr>
        <xdr:sp macro="" textlink="">
          <xdr:nvSpPr>
            <xdr:cNvPr id="2630773" name="Freeform 51"/>
            <xdr:cNvSpPr>
              <a:spLocks/>
            </xdr:cNvSpPr>
          </xdr:nvSpPr>
          <xdr:spPr bwMode="auto">
            <a:xfrm>
              <a:off x="137" y="5054"/>
              <a:ext cx="170" cy="101"/>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74" name="Line 4012"/>
            <xdr:cNvSpPr>
              <a:spLocks noChangeShapeType="1"/>
            </xdr:cNvSpPr>
          </xdr:nvSpPr>
          <xdr:spPr bwMode="auto">
            <a:xfrm>
              <a:off x="306" y="5183"/>
              <a:ext cx="94" cy="0"/>
            </a:xfrm>
            <a:prstGeom prst="line">
              <a:avLst/>
            </a:prstGeom>
            <a:noFill/>
            <a:ln w="22225">
              <a:solidFill>
                <a:srgbClr val="000000"/>
              </a:solidFill>
              <a:round/>
              <a:headEnd/>
              <a:tailEnd/>
            </a:ln>
          </xdr:spPr>
        </xdr:sp>
        <xdr:sp macro="" textlink="">
          <xdr:nvSpPr>
            <xdr:cNvPr id="2630775" name="Line 4013"/>
            <xdr:cNvSpPr>
              <a:spLocks noChangeShapeType="1"/>
            </xdr:cNvSpPr>
          </xdr:nvSpPr>
          <xdr:spPr bwMode="auto">
            <a:xfrm>
              <a:off x="306" y="5157"/>
              <a:ext cx="0" cy="27"/>
            </a:xfrm>
            <a:prstGeom prst="line">
              <a:avLst/>
            </a:prstGeom>
            <a:noFill/>
            <a:ln w="19050">
              <a:solidFill>
                <a:srgbClr val="000000"/>
              </a:solidFill>
              <a:round/>
              <a:headEnd/>
              <a:tailEnd/>
            </a:ln>
          </xdr:spPr>
        </xdr:sp>
        <xdr:sp macro="" textlink="">
          <xdr:nvSpPr>
            <xdr:cNvPr id="2630776" name="Line 4014"/>
            <xdr:cNvSpPr>
              <a:spLocks noChangeShapeType="1"/>
            </xdr:cNvSpPr>
          </xdr:nvSpPr>
          <xdr:spPr bwMode="auto">
            <a:xfrm>
              <a:off x="139" y="5054"/>
              <a:ext cx="0" cy="16"/>
            </a:xfrm>
            <a:prstGeom prst="line">
              <a:avLst/>
            </a:prstGeom>
            <a:noFill/>
            <a:ln w="19050">
              <a:solidFill>
                <a:srgbClr val="000000"/>
              </a:solidFill>
              <a:round/>
              <a:headEnd/>
              <a:tailEnd/>
            </a:ln>
          </xdr:spPr>
        </xdr:sp>
        <xdr:sp macro="" textlink="">
          <xdr:nvSpPr>
            <xdr:cNvPr id="2630777" name="Line 4015"/>
            <xdr:cNvSpPr>
              <a:spLocks noChangeShapeType="1"/>
            </xdr:cNvSpPr>
          </xdr:nvSpPr>
          <xdr:spPr bwMode="auto">
            <a:xfrm flipH="1">
              <a:off x="124" y="5071"/>
              <a:ext cx="16" cy="0"/>
            </a:xfrm>
            <a:prstGeom prst="line">
              <a:avLst/>
            </a:prstGeom>
            <a:noFill/>
            <a:ln w="19050">
              <a:solidFill>
                <a:srgbClr val="000000"/>
              </a:solidFill>
              <a:round/>
              <a:headEnd/>
              <a:tailEnd/>
            </a:ln>
          </xdr:spPr>
        </xdr:sp>
        <xdr:sp macro="" textlink="">
          <xdr:nvSpPr>
            <xdr:cNvPr id="2630778" name="Line 4016"/>
            <xdr:cNvSpPr>
              <a:spLocks noChangeShapeType="1"/>
            </xdr:cNvSpPr>
          </xdr:nvSpPr>
          <xdr:spPr bwMode="auto">
            <a:xfrm flipV="1">
              <a:off x="124" y="5039"/>
              <a:ext cx="0" cy="31"/>
            </a:xfrm>
            <a:prstGeom prst="line">
              <a:avLst/>
            </a:prstGeom>
            <a:noFill/>
            <a:ln w="19050">
              <a:solidFill>
                <a:srgbClr val="000000"/>
              </a:solidFill>
              <a:round/>
              <a:headEnd/>
              <a:tailEnd/>
            </a:ln>
          </xdr:spPr>
        </xdr:sp>
      </xdr:grpSp>
    </xdr:grpSp>
    <xdr:clientData/>
  </xdr:twoCellAnchor>
  <xdr:twoCellAnchor>
    <xdr:from>
      <xdr:col>8</xdr:col>
      <xdr:colOff>104775</xdr:colOff>
      <xdr:row>173</xdr:row>
      <xdr:rowOff>161925</xdr:rowOff>
    </xdr:from>
    <xdr:to>
      <xdr:col>22</xdr:col>
      <xdr:colOff>104775</xdr:colOff>
      <xdr:row>179</xdr:row>
      <xdr:rowOff>152400</xdr:rowOff>
    </xdr:to>
    <xdr:grpSp>
      <xdr:nvGrpSpPr>
        <xdr:cNvPr id="2630759" name="Group 71"/>
        <xdr:cNvGrpSpPr>
          <a:grpSpLocks/>
        </xdr:cNvGrpSpPr>
      </xdr:nvGrpSpPr>
      <xdr:grpSpPr bwMode="auto">
        <a:xfrm>
          <a:off x="1408967" y="31506502"/>
          <a:ext cx="1736481" cy="1001590"/>
          <a:chOff x="1277083" y="33007788"/>
          <a:chExt cx="1751134" cy="1004522"/>
        </a:xfrm>
      </xdr:grpSpPr>
      <xdr:sp macro="" textlink="">
        <xdr:nvSpPr>
          <xdr:cNvPr id="2630769" name="Freeform 51"/>
          <xdr:cNvSpPr>
            <a:spLocks/>
          </xdr:cNvSpPr>
        </xdr:nvSpPr>
        <xdr:spPr bwMode="auto">
          <a:xfrm>
            <a:off x="1277083" y="33007788"/>
            <a:ext cx="1751134" cy="947372"/>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70" name="Freeform 52"/>
          <xdr:cNvSpPr>
            <a:spLocks/>
          </xdr:cNvSpPr>
        </xdr:nvSpPr>
        <xdr:spPr bwMode="auto">
          <a:xfrm>
            <a:off x="1511544" y="33007788"/>
            <a:ext cx="1082187" cy="1004522"/>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6350">
            <a:solidFill>
              <a:srgbClr val="000000"/>
            </a:solidFill>
            <a:round/>
            <a:headEnd/>
            <a:tailEnd/>
          </a:ln>
        </xdr:spPr>
      </xdr:sp>
    </xdr:grpSp>
    <xdr:clientData/>
  </xdr:twoCellAnchor>
  <xdr:twoCellAnchor>
    <xdr:from>
      <xdr:col>8</xdr:col>
      <xdr:colOff>9525</xdr:colOff>
      <xdr:row>150</xdr:row>
      <xdr:rowOff>171450</xdr:rowOff>
    </xdr:from>
    <xdr:to>
      <xdr:col>22</xdr:col>
      <xdr:colOff>9525</xdr:colOff>
      <xdr:row>157</xdr:row>
      <xdr:rowOff>123825</xdr:rowOff>
    </xdr:to>
    <xdr:grpSp>
      <xdr:nvGrpSpPr>
        <xdr:cNvPr id="2630760" name="Group 79"/>
        <xdr:cNvGrpSpPr>
          <a:grpSpLocks/>
        </xdr:cNvGrpSpPr>
      </xdr:nvGrpSpPr>
      <xdr:grpSpPr bwMode="auto">
        <a:xfrm>
          <a:off x="1313717" y="27588796"/>
          <a:ext cx="1736481" cy="1132010"/>
          <a:chOff x="1277083" y="28875404"/>
          <a:chExt cx="1751134" cy="1136406"/>
        </a:xfrm>
      </xdr:grpSpPr>
      <xdr:sp macro="" textlink="">
        <xdr:nvSpPr>
          <xdr:cNvPr id="2630767" name="Freeform 51"/>
          <xdr:cNvSpPr>
            <a:spLocks/>
          </xdr:cNvSpPr>
        </xdr:nvSpPr>
        <xdr:spPr bwMode="auto">
          <a:xfrm>
            <a:off x="1277083" y="28875404"/>
            <a:ext cx="1751134" cy="1057275"/>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68" name="Freeform 52"/>
          <xdr:cNvSpPr>
            <a:spLocks/>
          </xdr:cNvSpPr>
        </xdr:nvSpPr>
        <xdr:spPr bwMode="auto">
          <a:xfrm>
            <a:off x="1511544" y="28897385"/>
            <a:ext cx="1082187" cy="1114425"/>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clientData/>
  </xdr:twoCellAnchor>
  <xdr:twoCellAnchor>
    <xdr:from>
      <xdr:col>7</xdr:col>
      <xdr:colOff>95250</xdr:colOff>
      <xdr:row>220</xdr:row>
      <xdr:rowOff>19050</xdr:rowOff>
    </xdr:from>
    <xdr:to>
      <xdr:col>22</xdr:col>
      <xdr:colOff>47625</xdr:colOff>
      <xdr:row>226</xdr:row>
      <xdr:rowOff>19050</xdr:rowOff>
    </xdr:to>
    <xdr:grpSp>
      <xdr:nvGrpSpPr>
        <xdr:cNvPr id="2630761" name="Group 73"/>
        <xdr:cNvGrpSpPr>
          <a:grpSpLocks/>
        </xdr:cNvGrpSpPr>
      </xdr:nvGrpSpPr>
      <xdr:grpSpPr bwMode="auto">
        <a:xfrm>
          <a:off x="1282212" y="40470992"/>
          <a:ext cx="1806086" cy="1011116"/>
          <a:chOff x="1247776" y="40473922"/>
          <a:chExt cx="1814878" cy="1018443"/>
        </a:xfrm>
      </xdr:grpSpPr>
      <xdr:sp macro="" textlink="">
        <xdr:nvSpPr>
          <xdr:cNvPr id="2630765" name="Freeform 51"/>
          <xdr:cNvSpPr>
            <a:spLocks/>
          </xdr:cNvSpPr>
        </xdr:nvSpPr>
        <xdr:spPr bwMode="auto">
          <a:xfrm>
            <a:off x="1247776" y="40481249"/>
            <a:ext cx="1814878" cy="974482"/>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66" name="Freeform 52"/>
          <xdr:cNvSpPr>
            <a:spLocks/>
          </xdr:cNvSpPr>
        </xdr:nvSpPr>
        <xdr:spPr bwMode="auto">
          <a:xfrm>
            <a:off x="1496891" y="40473922"/>
            <a:ext cx="1082187" cy="1018443"/>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clientData/>
  </xdr:twoCellAnchor>
  <xdr:twoCellAnchor>
    <xdr:from>
      <xdr:col>6</xdr:col>
      <xdr:colOff>28575</xdr:colOff>
      <xdr:row>182</xdr:row>
      <xdr:rowOff>161925</xdr:rowOff>
    </xdr:from>
    <xdr:to>
      <xdr:col>20</xdr:col>
      <xdr:colOff>152400</xdr:colOff>
      <xdr:row>188</xdr:row>
      <xdr:rowOff>142875</xdr:rowOff>
    </xdr:to>
    <xdr:grpSp>
      <xdr:nvGrpSpPr>
        <xdr:cNvPr id="2630762" name="Group 72"/>
        <xdr:cNvGrpSpPr>
          <a:grpSpLocks/>
        </xdr:cNvGrpSpPr>
      </xdr:nvGrpSpPr>
      <xdr:grpSpPr bwMode="auto">
        <a:xfrm>
          <a:off x="1120287" y="32993867"/>
          <a:ext cx="1765055" cy="992066"/>
          <a:chOff x="1277083" y="34495154"/>
          <a:chExt cx="1751134" cy="2328496"/>
        </a:xfrm>
      </xdr:grpSpPr>
      <xdr:sp macro="" textlink="">
        <xdr:nvSpPr>
          <xdr:cNvPr id="2630763" name="Freeform 51"/>
          <xdr:cNvSpPr>
            <a:spLocks/>
          </xdr:cNvSpPr>
        </xdr:nvSpPr>
        <xdr:spPr bwMode="auto">
          <a:xfrm>
            <a:off x="1277083" y="34495154"/>
            <a:ext cx="1751134" cy="2280871"/>
          </a:xfrm>
          <a:custGeom>
            <a:avLst/>
            <a:gdLst>
              <a:gd name="T0" fmla="*/ 0 w 112"/>
              <a:gd name="T1" fmla="*/ 0 h 54"/>
              <a:gd name="T2" fmla="*/ 2147483647 w 112"/>
              <a:gd name="T3" fmla="*/ 0 h 54"/>
              <a:gd name="T4" fmla="*/ 2147483647 w 112"/>
              <a:gd name="T5" fmla="*/ 2147483647 h 54"/>
              <a:gd name="T6" fmla="*/ 0 60000 65536"/>
              <a:gd name="T7" fmla="*/ 0 60000 65536"/>
              <a:gd name="T8" fmla="*/ 0 60000 65536"/>
              <a:gd name="T9" fmla="*/ 0 w 112"/>
              <a:gd name="T10" fmla="*/ 0 h 54"/>
              <a:gd name="T11" fmla="*/ 112 w 112"/>
              <a:gd name="T12" fmla="*/ 54 h 54"/>
            </a:gdLst>
            <a:ahLst/>
            <a:cxnLst>
              <a:cxn ang="T6">
                <a:pos x="T0" y="T1"/>
              </a:cxn>
              <a:cxn ang="T7">
                <a:pos x="T2" y="T3"/>
              </a:cxn>
              <a:cxn ang="T8">
                <a:pos x="T4" y="T5"/>
              </a:cxn>
            </a:cxnLst>
            <a:rect l="T9" t="T10" r="T11" b="T12"/>
            <a:pathLst>
              <a:path w="112" h="54">
                <a:moveTo>
                  <a:pt x="0" y="0"/>
                </a:moveTo>
                <a:lnTo>
                  <a:pt x="15" y="0"/>
                </a:lnTo>
                <a:lnTo>
                  <a:pt x="112" y="54"/>
                </a:lnTo>
              </a:path>
            </a:pathLst>
          </a:custGeom>
          <a:noFill/>
          <a:ln w="28575">
            <a:solidFill>
              <a:srgbClr val="000000"/>
            </a:solidFill>
            <a:round/>
            <a:headEnd/>
            <a:tailEnd/>
          </a:ln>
        </xdr:spPr>
      </xdr:sp>
      <xdr:sp macro="" textlink="">
        <xdr:nvSpPr>
          <xdr:cNvPr id="2630764" name="Freeform 52"/>
          <xdr:cNvSpPr>
            <a:spLocks/>
          </xdr:cNvSpPr>
        </xdr:nvSpPr>
        <xdr:spPr bwMode="auto">
          <a:xfrm>
            <a:off x="1511544" y="34495154"/>
            <a:ext cx="1082187" cy="2328496"/>
          </a:xfrm>
          <a:custGeom>
            <a:avLst/>
            <a:gdLst>
              <a:gd name="T0" fmla="*/ 0 w 96"/>
              <a:gd name="T1" fmla="*/ 0 h 54"/>
              <a:gd name="T2" fmla="*/ 0 w 96"/>
              <a:gd name="T3" fmla="*/ 2147483647 h 54"/>
              <a:gd name="T4" fmla="*/ 2147483647 w 96"/>
              <a:gd name="T5" fmla="*/ 2147483647 h 54"/>
              <a:gd name="T6" fmla="*/ 0 60000 65536"/>
              <a:gd name="T7" fmla="*/ 0 60000 65536"/>
              <a:gd name="T8" fmla="*/ 0 60000 65536"/>
              <a:gd name="T9" fmla="*/ 0 w 96"/>
              <a:gd name="T10" fmla="*/ 0 h 54"/>
              <a:gd name="T11" fmla="*/ 96 w 96"/>
              <a:gd name="T12" fmla="*/ 54 h 54"/>
            </a:gdLst>
            <a:ahLst/>
            <a:cxnLst>
              <a:cxn ang="T6">
                <a:pos x="T0" y="T1"/>
              </a:cxn>
              <a:cxn ang="T7">
                <a:pos x="T2" y="T3"/>
              </a:cxn>
              <a:cxn ang="T8">
                <a:pos x="T4" y="T5"/>
              </a:cxn>
            </a:cxnLst>
            <a:rect l="T9" t="T10" r="T11" b="T12"/>
            <a:pathLst>
              <a:path w="96" h="54">
                <a:moveTo>
                  <a:pt x="0" y="0"/>
                </a:moveTo>
                <a:lnTo>
                  <a:pt x="0" y="54"/>
                </a:lnTo>
                <a:lnTo>
                  <a:pt x="96" y="54"/>
                </a:lnTo>
              </a:path>
            </a:pathLst>
          </a:custGeom>
          <a:noFill/>
          <a:ln w="3175">
            <a:solidFill>
              <a:srgbClr val="000000"/>
            </a:solidFill>
            <a:round/>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819150</xdr:colOff>
      <xdr:row>3</xdr:row>
      <xdr:rowOff>0</xdr:rowOff>
    </xdr:from>
    <xdr:to>
      <xdr:col>6</xdr:col>
      <xdr:colOff>819150</xdr:colOff>
      <xdr:row>3</xdr:row>
      <xdr:rowOff>0</xdr:rowOff>
    </xdr:to>
    <xdr:sp macro="" textlink="">
      <xdr:nvSpPr>
        <xdr:cNvPr id="5121" name="Text Box 1"/>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 Sub-Divisional Engineer,                                     Kushtia O&amp;M Sub-Division-2,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22" name="Text Box 2"/>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Md. Abdul Gafur Miah                               Sub-Asstt. Engineer/Sectional Officer,    Kushtia O&amp;M Section - 3,                      BWDB, Kushtia</a:t>
          </a:r>
        </a:p>
      </xdr:txBody>
    </xdr:sp>
    <xdr:clientData/>
  </xdr:twoCellAnchor>
  <xdr:twoCellAnchor>
    <xdr:from>
      <xdr:col>7</xdr:col>
      <xdr:colOff>0</xdr:colOff>
      <xdr:row>3</xdr:row>
      <xdr:rowOff>0</xdr:rowOff>
    </xdr:from>
    <xdr:to>
      <xdr:col>7</xdr:col>
      <xdr:colOff>0</xdr:colOff>
      <xdr:row>3</xdr:row>
      <xdr:rowOff>0</xdr:rowOff>
    </xdr:to>
    <xdr:graphicFrame macro="">
      <xdr:nvGraphicFramePr>
        <xdr:cNvPr id="254020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819150</xdr:colOff>
      <xdr:row>3</xdr:row>
      <xdr:rowOff>0</xdr:rowOff>
    </xdr:from>
    <xdr:to>
      <xdr:col>6</xdr:col>
      <xdr:colOff>819150</xdr:colOff>
      <xdr:row>3</xdr:row>
      <xdr:rowOff>0</xdr:rowOff>
    </xdr:to>
    <xdr:sp macro="" textlink="">
      <xdr:nvSpPr>
        <xdr:cNvPr id="5124" name="Text Box 4"/>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25" name="Text Box 5"/>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Md. Abdul Gafur Miah </a:t>
          </a:r>
        </a:p>
        <a:p>
          <a:pPr algn="ctr" rtl="0">
            <a:defRPr sz="1000"/>
          </a:pPr>
          <a:r>
            <a:rPr lang="en-US" sz="1000" b="0" i="1" strike="noStrike">
              <a:solidFill>
                <a:srgbClr val="000000"/>
              </a:solidFill>
              <a:latin typeface="Arial Narrow"/>
            </a:rPr>
            <a:t> Sub-Asstt. Engineer/Sectional Officer, Kushtia O&amp;M Section - 3,</a:t>
          </a:r>
        </a:p>
        <a:p>
          <a:pPr algn="ctr" rtl="0">
            <a:defRPr sz="1000"/>
          </a:pPr>
          <a:r>
            <a:rPr lang="en-US" sz="1000" b="0" i="1" strike="noStrike">
              <a:solidFill>
                <a:srgbClr val="000000"/>
              </a:solidFill>
              <a:latin typeface="Arial Narrow"/>
            </a:rPr>
            <a:t>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26" name="Text Box 6"/>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7432" rIns="27432" bIns="0" anchor="t" upright="1"/>
        <a:lstStyle/>
        <a:p>
          <a:pPr algn="ctr" rtl="0">
            <a:defRPr sz="1000"/>
          </a:pPr>
          <a:r>
            <a:rPr lang="en-US" sz="900" b="0" i="1" strike="noStrike">
              <a:solidFill>
                <a:srgbClr val="000000"/>
              </a:solidFill>
              <a:latin typeface="Arial Narrow"/>
            </a:rPr>
            <a:t>Md. Abdul Gafur Miah </a:t>
          </a:r>
        </a:p>
        <a:p>
          <a:pPr algn="ctr" rtl="0">
            <a:defRPr sz="1000"/>
          </a:pPr>
          <a:r>
            <a:rPr lang="en-US" sz="900" b="0" i="1" strike="noStrike">
              <a:solidFill>
                <a:srgbClr val="000000"/>
              </a:solidFill>
              <a:latin typeface="Arial Narrow"/>
            </a:rPr>
            <a:t> Sub-Asstt. Engineer/Sectional Officer, Kushtia O&amp;M Section - 3,</a:t>
          </a:r>
        </a:p>
        <a:p>
          <a:pPr algn="ctr" rtl="0">
            <a:defRPr sz="1000"/>
          </a:pPr>
          <a:r>
            <a:rPr lang="en-US" sz="900" b="0" i="1" strike="noStrike">
              <a:solidFill>
                <a:srgbClr val="000000"/>
              </a:solidFill>
              <a:latin typeface="Arial Narrow"/>
            </a:rPr>
            <a:t>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27" name="Text Box 7"/>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28" name="Text Box 8"/>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29" name="Text Box 9"/>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91440" tIns="45720" rIns="91440" bIns="45720" anchor="t" upright="1"/>
        <a:lstStyle/>
        <a:p>
          <a:pPr algn="ctr" rtl="0">
            <a:defRPr sz="1000"/>
          </a:pPr>
          <a:r>
            <a:rPr lang="en-US" sz="1000" b="0" i="0" strike="noStrike">
              <a:solidFill>
                <a:srgbClr val="000000"/>
              </a:solidFill>
              <a:latin typeface="Arial Narrow"/>
            </a:rPr>
            <a:t>Executive Engineer</a:t>
          </a:r>
          <a:endParaRPr lang="en-US" sz="1300" b="0" i="0" strike="noStrike">
            <a:solidFill>
              <a:srgbClr val="000000"/>
            </a:solidFill>
            <a:latin typeface="SutonnyMJ"/>
          </a:endParaRPr>
        </a:p>
        <a:p>
          <a:pPr algn="ctr" rtl="0">
            <a:defRPr sz="1000"/>
          </a:pPr>
          <a:r>
            <a:rPr lang="en-US" sz="1000" b="0" i="0" strike="noStrike">
              <a:solidFill>
                <a:srgbClr val="000000"/>
              </a:solidFill>
              <a:latin typeface="Arial Narrow"/>
            </a:rPr>
            <a:t>Kushtia Division</a:t>
          </a:r>
          <a:endParaRPr lang="en-US" sz="1300" b="0" i="0" strike="noStrike">
            <a:solidFill>
              <a:srgbClr val="000000"/>
            </a:solidFill>
            <a:latin typeface="SutonnyMJ"/>
          </a:endParaRPr>
        </a:p>
        <a:p>
          <a:pPr algn="ctr" rtl="0">
            <a:defRPr sz="1000"/>
          </a:pPr>
          <a:r>
            <a:rPr lang="en-US" sz="1000" b="0" i="0" strike="noStrike">
              <a:solidFill>
                <a:srgbClr val="000000"/>
              </a:solidFill>
              <a:latin typeface="Arial Narrow"/>
            </a:rPr>
            <a:t>BWDB,Kushtia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30" name="Text Box 10"/>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 Sub-Divisional Engineer, </a:t>
          </a:r>
        </a:p>
        <a:p>
          <a:pPr algn="ctr" rtl="0">
            <a:defRPr sz="1000"/>
          </a:pPr>
          <a:r>
            <a:rPr lang="en-US" sz="1000" b="0" i="1" strike="noStrike">
              <a:solidFill>
                <a:srgbClr val="000000"/>
              </a:solidFill>
              <a:latin typeface="Arial Narrow"/>
            </a:rPr>
            <a:t> Kushtia O&amp;M Sub-Division-2</a:t>
          </a:r>
        </a:p>
        <a:p>
          <a:pPr algn="ctr" rtl="0">
            <a:defRPr sz="1000"/>
          </a:pPr>
          <a:r>
            <a:rPr lang="en-US" sz="1000" b="0" i="1" strike="noStrike">
              <a:solidFill>
                <a:srgbClr val="000000"/>
              </a:solidFill>
              <a:latin typeface="Arial Narrow"/>
            </a:rPr>
            <a:t>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31" name="Text Box 11"/>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 Sub-Divisional Engineer,                                     Kushtia O&amp;M Sub-Division-2,                      BWDB, Kushtia</a:t>
          </a:r>
        </a:p>
      </xdr:txBody>
    </xdr:sp>
    <xdr:clientData/>
  </xdr:twoCellAnchor>
  <xdr:twoCellAnchor>
    <xdr:from>
      <xdr:col>6</xdr:col>
      <xdr:colOff>819150</xdr:colOff>
      <xdr:row>3</xdr:row>
      <xdr:rowOff>0</xdr:rowOff>
    </xdr:from>
    <xdr:to>
      <xdr:col>6</xdr:col>
      <xdr:colOff>819150</xdr:colOff>
      <xdr:row>3</xdr:row>
      <xdr:rowOff>0</xdr:rowOff>
    </xdr:to>
    <xdr:sp macro="" textlink="">
      <xdr:nvSpPr>
        <xdr:cNvPr id="5132" name="Text Box 12"/>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Narrow"/>
            </a:rPr>
            <a:t>Md. Abdul Gafur Miah                               Sub-Asstt. Engineer/Sectional Officer,    Kushtia O&amp;M Section - 3,                      BWDB, Kushtia</a:t>
          </a:r>
        </a:p>
      </xdr:txBody>
    </xdr:sp>
    <xdr:clientData/>
  </xdr:twoCellAnchor>
  <xdr:twoCellAnchor>
    <xdr:from>
      <xdr:col>7</xdr:col>
      <xdr:colOff>0</xdr:colOff>
      <xdr:row>3</xdr:row>
      <xdr:rowOff>0</xdr:rowOff>
    </xdr:from>
    <xdr:to>
      <xdr:col>7</xdr:col>
      <xdr:colOff>0</xdr:colOff>
      <xdr:row>3</xdr:row>
      <xdr:rowOff>0</xdr:rowOff>
    </xdr:to>
    <xdr:graphicFrame macro="">
      <xdr:nvGraphicFramePr>
        <xdr:cNvPr id="254021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819150</xdr:colOff>
      <xdr:row>3</xdr:row>
      <xdr:rowOff>0</xdr:rowOff>
    </xdr:from>
    <xdr:to>
      <xdr:col>6</xdr:col>
      <xdr:colOff>819150</xdr:colOff>
      <xdr:row>3</xdr:row>
      <xdr:rowOff>0</xdr:rowOff>
    </xdr:to>
    <xdr:sp macro="" textlink="">
      <xdr:nvSpPr>
        <xdr:cNvPr id="5134" name="Text Box 14"/>
        <xdr:cNvSpPr txBox="1">
          <a:spLocks noChangeArrowheads="1"/>
        </xdr:cNvSpPr>
      </xdr:nvSpPr>
      <xdr:spPr bwMode="auto">
        <a:xfrm>
          <a:off x="6534150" y="485775"/>
          <a:ext cx="0" cy="0"/>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1" strike="noStrike">
              <a:solidFill>
                <a:srgbClr val="000000"/>
              </a:solidFill>
              <a:latin typeface="Arial Narrow"/>
            </a:rPr>
            <a:t>Executive Engineer</a:t>
          </a:r>
        </a:p>
        <a:p>
          <a:pPr algn="ctr" rtl="0">
            <a:defRPr sz="1000"/>
          </a:pPr>
          <a:r>
            <a:rPr lang="en-US" sz="1000" b="0" i="1" strike="noStrike">
              <a:solidFill>
                <a:srgbClr val="000000"/>
              </a:solidFill>
              <a:latin typeface="Arial Narrow"/>
            </a:rPr>
            <a:t>  Kushtia O&amp;M  Division,</a:t>
          </a:r>
        </a:p>
        <a:p>
          <a:pPr algn="ctr" rtl="0">
            <a:defRPr sz="1000"/>
          </a:pPr>
          <a:r>
            <a:rPr lang="en-US" sz="1000" b="0" i="1" strike="noStrike">
              <a:solidFill>
                <a:srgbClr val="000000"/>
              </a:solidFill>
              <a:latin typeface="Arial Narrow"/>
            </a:rPr>
            <a:t> BWDB, Kushtia</a:t>
          </a:r>
        </a:p>
      </xdr:txBody>
    </xdr:sp>
    <xdr:clientData/>
  </xdr:twoCellAnchor>
  <xdr:twoCellAnchor>
    <xdr:from>
      <xdr:col>7</xdr:col>
      <xdr:colOff>0</xdr:colOff>
      <xdr:row>23</xdr:row>
      <xdr:rowOff>0</xdr:rowOff>
    </xdr:from>
    <xdr:to>
      <xdr:col>7</xdr:col>
      <xdr:colOff>0</xdr:colOff>
      <xdr:row>23</xdr:row>
      <xdr:rowOff>0</xdr:rowOff>
    </xdr:to>
    <xdr:sp macro="" textlink="">
      <xdr:nvSpPr>
        <xdr:cNvPr id="2540212" name="Line 21"/>
        <xdr:cNvSpPr>
          <a:spLocks noChangeShapeType="1"/>
        </xdr:cNvSpPr>
      </xdr:nvSpPr>
      <xdr:spPr bwMode="auto">
        <a:xfrm>
          <a:off x="7105650" y="12563475"/>
          <a:ext cx="0" cy="0"/>
        </a:xfrm>
        <a:prstGeom prst="line">
          <a:avLst/>
        </a:pr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3" name="Line 22"/>
        <xdr:cNvSpPr>
          <a:spLocks noChangeShapeType="1"/>
        </xdr:cNvSpPr>
      </xdr:nvSpPr>
      <xdr:spPr bwMode="auto">
        <a:xfrm flipV="1">
          <a:off x="7105650" y="12563475"/>
          <a:ext cx="0" cy="0"/>
        </a:xfrm>
        <a:prstGeom prst="line">
          <a:avLst/>
        </a:pr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4" name="Freeform 23"/>
        <xdr:cNvSpPr>
          <a:spLocks/>
        </xdr:cNvSpPr>
      </xdr:nvSpPr>
      <xdr:spPr bwMode="auto">
        <a:xfrm>
          <a:off x="7105650" y="12563475"/>
          <a:ext cx="0" cy="0"/>
        </a:xfrm>
        <a:custGeom>
          <a:avLst/>
          <a:gdLst>
            <a:gd name="T0" fmla="*/ 0 w 80"/>
            <a:gd name="T1" fmla="*/ 0 h 101"/>
            <a:gd name="T2" fmla="*/ 0 w 80"/>
            <a:gd name="T3" fmla="*/ 0 h 101"/>
            <a:gd name="T4" fmla="*/ 0 w 80"/>
            <a:gd name="T5" fmla="*/ 0 h 101"/>
            <a:gd name="T6" fmla="*/ 0 60000 65536"/>
            <a:gd name="T7" fmla="*/ 0 60000 65536"/>
            <a:gd name="T8" fmla="*/ 0 60000 65536"/>
            <a:gd name="T9" fmla="*/ 0 w 80"/>
            <a:gd name="T10" fmla="*/ 0 h 101"/>
            <a:gd name="T11" fmla="*/ 80 w 80"/>
            <a:gd name="T12" fmla="*/ 101 h 101"/>
          </a:gdLst>
          <a:ahLst/>
          <a:cxnLst>
            <a:cxn ang="T6">
              <a:pos x="T0" y="T1"/>
            </a:cxn>
            <a:cxn ang="T7">
              <a:pos x="T2" y="T3"/>
            </a:cxn>
            <a:cxn ang="T8">
              <a:pos x="T4" y="T5"/>
            </a:cxn>
          </a:cxnLst>
          <a:rect l="T9" t="T10" r="T11" b="T12"/>
          <a:pathLst>
            <a:path w="80" h="101">
              <a:moveTo>
                <a:pt x="0" y="0"/>
              </a:moveTo>
              <a:cubicBezTo>
                <a:pt x="21" y="9"/>
                <a:pt x="42" y="18"/>
                <a:pt x="55" y="35"/>
              </a:cubicBezTo>
              <a:cubicBezTo>
                <a:pt x="68" y="52"/>
                <a:pt x="74" y="76"/>
                <a:pt x="80" y="101"/>
              </a:cubicBezTo>
            </a:path>
          </a:pathLst>
        </a:cu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5" name="Freeform 24"/>
        <xdr:cNvSpPr>
          <a:spLocks/>
        </xdr:cNvSpPr>
      </xdr:nvSpPr>
      <xdr:spPr bwMode="auto">
        <a:xfrm>
          <a:off x="7105650" y="12563475"/>
          <a:ext cx="0" cy="0"/>
        </a:xfrm>
        <a:custGeom>
          <a:avLst/>
          <a:gdLst>
            <a:gd name="T0" fmla="*/ 0 w 27"/>
            <a:gd name="T1" fmla="*/ 0 h 30"/>
            <a:gd name="T2" fmla="*/ 0 w 27"/>
            <a:gd name="T3" fmla="*/ 0 h 30"/>
            <a:gd name="T4" fmla="*/ 0 w 27"/>
            <a:gd name="T5" fmla="*/ 0 h 30"/>
            <a:gd name="T6" fmla="*/ 0 60000 65536"/>
            <a:gd name="T7" fmla="*/ 0 60000 65536"/>
            <a:gd name="T8" fmla="*/ 0 60000 65536"/>
            <a:gd name="T9" fmla="*/ 0 w 27"/>
            <a:gd name="T10" fmla="*/ 0 h 30"/>
            <a:gd name="T11" fmla="*/ 27 w 27"/>
            <a:gd name="T12" fmla="*/ 30 h 30"/>
          </a:gdLst>
          <a:ahLst/>
          <a:cxnLst>
            <a:cxn ang="T6">
              <a:pos x="T0" y="T1"/>
            </a:cxn>
            <a:cxn ang="T7">
              <a:pos x="T2" y="T3"/>
            </a:cxn>
            <a:cxn ang="T8">
              <a:pos x="T4" y="T5"/>
            </a:cxn>
          </a:cxnLst>
          <a:rect l="T9" t="T10" r="T11" b="T12"/>
          <a:pathLst>
            <a:path w="27" h="30">
              <a:moveTo>
                <a:pt x="0" y="0"/>
              </a:moveTo>
              <a:cubicBezTo>
                <a:pt x="8" y="4"/>
                <a:pt x="16" y="9"/>
                <a:pt x="20" y="14"/>
              </a:cubicBezTo>
              <a:cubicBezTo>
                <a:pt x="24" y="19"/>
                <a:pt x="25" y="24"/>
                <a:pt x="27" y="30"/>
              </a:cubicBezTo>
            </a:path>
          </a:pathLst>
        </a:cu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6" name="Freeform 25"/>
        <xdr:cNvSpPr>
          <a:spLocks/>
        </xdr:cNvSpPr>
      </xdr:nvSpPr>
      <xdr:spPr bwMode="auto">
        <a:xfrm>
          <a:off x="7105650" y="12563475"/>
          <a:ext cx="0" cy="0"/>
        </a:xfrm>
        <a:custGeom>
          <a:avLst/>
          <a:gdLst>
            <a:gd name="T0" fmla="*/ 0 w 29"/>
            <a:gd name="T1" fmla="*/ 0 h 38"/>
            <a:gd name="T2" fmla="*/ 0 w 29"/>
            <a:gd name="T3" fmla="*/ 0 h 38"/>
            <a:gd name="T4" fmla="*/ 0 w 29"/>
            <a:gd name="T5" fmla="*/ 0 h 38"/>
            <a:gd name="T6" fmla="*/ 0 60000 65536"/>
            <a:gd name="T7" fmla="*/ 0 60000 65536"/>
            <a:gd name="T8" fmla="*/ 0 60000 65536"/>
            <a:gd name="T9" fmla="*/ 0 w 29"/>
            <a:gd name="T10" fmla="*/ 0 h 38"/>
            <a:gd name="T11" fmla="*/ 29 w 29"/>
            <a:gd name="T12" fmla="*/ 38 h 38"/>
          </a:gdLst>
          <a:ahLst/>
          <a:cxnLst>
            <a:cxn ang="T6">
              <a:pos x="T0" y="T1"/>
            </a:cxn>
            <a:cxn ang="T7">
              <a:pos x="T2" y="T3"/>
            </a:cxn>
            <a:cxn ang="T8">
              <a:pos x="T4" y="T5"/>
            </a:cxn>
          </a:cxnLst>
          <a:rect l="T9" t="T10" r="T11" b="T12"/>
          <a:pathLst>
            <a:path w="29" h="38">
              <a:moveTo>
                <a:pt x="0" y="0"/>
              </a:moveTo>
              <a:cubicBezTo>
                <a:pt x="7" y="5"/>
                <a:pt x="15" y="10"/>
                <a:pt x="20" y="16"/>
              </a:cubicBezTo>
              <a:cubicBezTo>
                <a:pt x="25" y="22"/>
                <a:pt x="27" y="30"/>
                <a:pt x="29" y="38"/>
              </a:cubicBezTo>
            </a:path>
          </a:pathLst>
        </a:cu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7" name="Line 26"/>
        <xdr:cNvSpPr>
          <a:spLocks noChangeShapeType="1"/>
        </xdr:cNvSpPr>
      </xdr:nvSpPr>
      <xdr:spPr bwMode="auto">
        <a:xfrm flipH="1">
          <a:off x="7105650" y="12563475"/>
          <a:ext cx="0" cy="0"/>
        </a:xfrm>
        <a:prstGeom prst="line">
          <a:avLst/>
        </a:pr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8" name="Line 27"/>
        <xdr:cNvSpPr>
          <a:spLocks noChangeShapeType="1"/>
        </xdr:cNvSpPr>
      </xdr:nvSpPr>
      <xdr:spPr bwMode="auto">
        <a:xfrm>
          <a:off x="7105650" y="12563475"/>
          <a:ext cx="0" cy="0"/>
        </a:xfrm>
        <a:prstGeom prst="line">
          <a:avLst/>
        </a:pr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19" name="Freeform 28"/>
        <xdr:cNvSpPr>
          <a:spLocks/>
        </xdr:cNvSpPr>
      </xdr:nvSpPr>
      <xdr:spPr bwMode="auto">
        <a:xfrm>
          <a:off x="7105650" y="12563475"/>
          <a:ext cx="0" cy="0"/>
        </a:xfrm>
        <a:custGeom>
          <a:avLst/>
          <a:gdLst>
            <a:gd name="T0" fmla="*/ 0 w 119"/>
            <a:gd name="T1" fmla="*/ 0 h 104"/>
            <a:gd name="T2" fmla="*/ 0 w 119"/>
            <a:gd name="T3" fmla="*/ 0 h 104"/>
            <a:gd name="T4" fmla="*/ 0 w 119"/>
            <a:gd name="T5" fmla="*/ 0 h 104"/>
            <a:gd name="T6" fmla="*/ 0 60000 65536"/>
            <a:gd name="T7" fmla="*/ 0 60000 65536"/>
            <a:gd name="T8" fmla="*/ 0 60000 65536"/>
            <a:gd name="T9" fmla="*/ 0 w 119"/>
            <a:gd name="T10" fmla="*/ 0 h 104"/>
            <a:gd name="T11" fmla="*/ 119 w 119"/>
            <a:gd name="T12" fmla="*/ 104 h 104"/>
          </a:gdLst>
          <a:ahLst/>
          <a:cxnLst>
            <a:cxn ang="T6">
              <a:pos x="T0" y="T1"/>
            </a:cxn>
            <a:cxn ang="T7">
              <a:pos x="T2" y="T3"/>
            </a:cxn>
            <a:cxn ang="T8">
              <a:pos x="T4" y="T5"/>
            </a:cxn>
          </a:cxnLst>
          <a:rect l="T9" t="T10" r="T11" b="T12"/>
          <a:pathLst>
            <a:path w="119" h="104">
              <a:moveTo>
                <a:pt x="0" y="0"/>
              </a:moveTo>
              <a:cubicBezTo>
                <a:pt x="33" y="8"/>
                <a:pt x="67" y="17"/>
                <a:pt x="87" y="34"/>
              </a:cubicBezTo>
              <a:cubicBezTo>
                <a:pt x="107" y="51"/>
                <a:pt x="113" y="77"/>
                <a:pt x="119" y="104"/>
              </a:cubicBezTo>
            </a:path>
          </a:pathLst>
        </a:cu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20" name="Freeform 29"/>
        <xdr:cNvSpPr>
          <a:spLocks/>
        </xdr:cNvSpPr>
      </xdr:nvSpPr>
      <xdr:spPr bwMode="auto">
        <a:xfrm>
          <a:off x="7105650" y="12563475"/>
          <a:ext cx="0" cy="0"/>
        </a:xfrm>
        <a:custGeom>
          <a:avLst/>
          <a:gdLst>
            <a:gd name="T0" fmla="*/ 0 w 25"/>
            <a:gd name="T1" fmla="*/ 0 h 22"/>
            <a:gd name="T2" fmla="*/ 0 w 25"/>
            <a:gd name="T3" fmla="*/ 0 h 22"/>
            <a:gd name="T4" fmla="*/ 0 w 25"/>
            <a:gd name="T5" fmla="*/ 0 h 22"/>
            <a:gd name="T6" fmla="*/ 0 60000 65536"/>
            <a:gd name="T7" fmla="*/ 0 60000 65536"/>
            <a:gd name="T8" fmla="*/ 0 60000 65536"/>
            <a:gd name="T9" fmla="*/ 0 w 25"/>
            <a:gd name="T10" fmla="*/ 0 h 22"/>
            <a:gd name="T11" fmla="*/ 25 w 25"/>
            <a:gd name="T12" fmla="*/ 22 h 22"/>
          </a:gdLst>
          <a:ahLst/>
          <a:cxnLst>
            <a:cxn ang="T6">
              <a:pos x="T0" y="T1"/>
            </a:cxn>
            <a:cxn ang="T7">
              <a:pos x="T2" y="T3"/>
            </a:cxn>
            <a:cxn ang="T8">
              <a:pos x="T4" y="T5"/>
            </a:cxn>
          </a:cxnLst>
          <a:rect l="T9" t="T10" r="T11" b="T12"/>
          <a:pathLst>
            <a:path w="25" h="22">
              <a:moveTo>
                <a:pt x="0" y="0"/>
              </a:moveTo>
              <a:cubicBezTo>
                <a:pt x="6" y="1"/>
                <a:pt x="12" y="2"/>
                <a:pt x="16" y="6"/>
              </a:cubicBezTo>
              <a:cubicBezTo>
                <a:pt x="20" y="10"/>
                <a:pt x="22" y="16"/>
                <a:pt x="25" y="22"/>
              </a:cubicBezTo>
            </a:path>
          </a:pathLst>
        </a:custGeom>
        <a:noFill/>
        <a:ln w="9525">
          <a:solidFill>
            <a:srgbClr val="000000"/>
          </a:solidFill>
          <a:round/>
          <a:headEnd/>
          <a:tailEnd/>
        </a:ln>
      </xdr:spPr>
    </xdr:sp>
    <xdr:clientData/>
  </xdr:twoCellAnchor>
  <xdr:twoCellAnchor>
    <xdr:from>
      <xdr:col>7</xdr:col>
      <xdr:colOff>0</xdr:colOff>
      <xdr:row>23</xdr:row>
      <xdr:rowOff>0</xdr:rowOff>
    </xdr:from>
    <xdr:to>
      <xdr:col>7</xdr:col>
      <xdr:colOff>0</xdr:colOff>
      <xdr:row>23</xdr:row>
      <xdr:rowOff>0</xdr:rowOff>
    </xdr:to>
    <xdr:sp macro="" textlink="">
      <xdr:nvSpPr>
        <xdr:cNvPr id="2540221" name="Freeform 30"/>
        <xdr:cNvSpPr>
          <a:spLocks/>
        </xdr:cNvSpPr>
      </xdr:nvSpPr>
      <xdr:spPr bwMode="auto">
        <a:xfrm>
          <a:off x="7105650" y="12563475"/>
          <a:ext cx="0" cy="0"/>
        </a:xfrm>
        <a:custGeom>
          <a:avLst/>
          <a:gdLst>
            <a:gd name="T0" fmla="*/ 0 w 36"/>
            <a:gd name="T1" fmla="*/ 0 h 34"/>
            <a:gd name="T2" fmla="*/ 0 w 36"/>
            <a:gd name="T3" fmla="*/ 0 h 34"/>
            <a:gd name="T4" fmla="*/ 0 w 36"/>
            <a:gd name="T5" fmla="*/ 0 h 34"/>
            <a:gd name="T6" fmla="*/ 0 60000 65536"/>
            <a:gd name="T7" fmla="*/ 0 60000 65536"/>
            <a:gd name="T8" fmla="*/ 0 60000 65536"/>
            <a:gd name="T9" fmla="*/ 0 w 36"/>
            <a:gd name="T10" fmla="*/ 0 h 34"/>
            <a:gd name="T11" fmla="*/ 36 w 36"/>
            <a:gd name="T12" fmla="*/ 34 h 34"/>
          </a:gdLst>
          <a:ahLst/>
          <a:cxnLst>
            <a:cxn ang="T6">
              <a:pos x="T0" y="T1"/>
            </a:cxn>
            <a:cxn ang="T7">
              <a:pos x="T2" y="T3"/>
            </a:cxn>
            <a:cxn ang="T8">
              <a:pos x="T4" y="T5"/>
            </a:cxn>
          </a:cxnLst>
          <a:rect l="T9" t="T10" r="T11" b="T12"/>
          <a:pathLst>
            <a:path w="36" h="34">
              <a:moveTo>
                <a:pt x="0" y="0"/>
              </a:moveTo>
              <a:cubicBezTo>
                <a:pt x="10" y="3"/>
                <a:pt x="20" y="6"/>
                <a:pt x="26" y="12"/>
              </a:cubicBezTo>
              <a:cubicBezTo>
                <a:pt x="32" y="18"/>
                <a:pt x="34" y="26"/>
                <a:pt x="36" y="34"/>
              </a:cubicBezTo>
            </a:path>
          </a:pathLst>
        </a:cu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2" name="Line 31"/>
        <xdr:cNvSpPr>
          <a:spLocks noChangeShapeType="1"/>
        </xdr:cNvSpPr>
      </xdr:nvSpPr>
      <xdr:spPr bwMode="auto">
        <a:xfrm flipV="1">
          <a:off x="7105650" y="13430250"/>
          <a:ext cx="0" cy="0"/>
        </a:xfrm>
        <a:prstGeom prst="line">
          <a:avLst/>
        </a:pr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3" name="Line 32"/>
        <xdr:cNvSpPr>
          <a:spLocks noChangeShapeType="1"/>
        </xdr:cNvSpPr>
      </xdr:nvSpPr>
      <xdr:spPr bwMode="auto">
        <a:xfrm flipV="1">
          <a:off x="7105650" y="13430250"/>
          <a:ext cx="0" cy="0"/>
        </a:xfrm>
        <a:prstGeom prst="line">
          <a:avLst/>
        </a:pr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4" name="Freeform 33"/>
        <xdr:cNvSpPr>
          <a:spLocks/>
        </xdr:cNvSpPr>
      </xdr:nvSpPr>
      <xdr:spPr bwMode="auto">
        <a:xfrm>
          <a:off x="7105650" y="13430250"/>
          <a:ext cx="0" cy="0"/>
        </a:xfrm>
        <a:custGeom>
          <a:avLst/>
          <a:gdLst>
            <a:gd name="T0" fmla="*/ 0 w 80"/>
            <a:gd name="T1" fmla="*/ 0 h 101"/>
            <a:gd name="T2" fmla="*/ 0 w 80"/>
            <a:gd name="T3" fmla="*/ 0 h 101"/>
            <a:gd name="T4" fmla="*/ 0 w 80"/>
            <a:gd name="T5" fmla="*/ 0 h 101"/>
            <a:gd name="T6" fmla="*/ 0 60000 65536"/>
            <a:gd name="T7" fmla="*/ 0 60000 65536"/>
            <a:gd name="T8" fmla="*/ 0 60000 65536"/>
            <a:gd name="T9" fmla="*/ 0 w 80"/>
            <a:gd name="T10" fmla="*/ 0 h 101"/>
            <a:gd name="T11" fmla="*/ 80 w 80"/>
            <a:gd name="T12" fmla="*/ 101 h 101"/>
          </a:gdLst>
          <a:ahLst/>
          <a:cxnLst>
            <a:cxn ang="T6">
              <a:pos x="T0" y="T1"/>
            </a:cxn>
            <a:cxn ang="T7">
              <a:pos x="T2" y="T3"/>
            </a:cxn>
            <a:cxn ang="T8">
              <a:pos x="T4" y="T5"/>
            </a:cxn>
          </a:cxnLst>
          <a:rect l="T9" t="T10" r="T11" b="T12"/>
          <a:pathLst>
            <a:path w="80" h="101">
              <a:moveTo>
                <a:pt x="0" y="0"/>
              </a:moveTo>
              <a:cubicBezTo>
                <a:pt x="21" y="9"/>
                <a:pt x="42" y="18"/>
                <a:pt x="55" y="35"/>
              </a:cubicBezTo>
              <a:cubicBezTo>
                <a:pt x="68" y="52"/>
                <a:pt x="74" y="76"/>
                <a:pt x="80" y="101"/>
              </a:cubicBezTo>
            </a:path>
          </a:pathLst>
        </a:cu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5" name="Freeform 34"/>
        <xdr:cNvSpPr>
          <a:spLocks/>
        </xdr:cNvSpPr>
      </xdr:nvSpPr>
      <xdr:spPr bwMode="auto">
        <a:xfrm>
          <a:off x="7105650" y="13430250"/>
          <a:ext cx="0" cy="0"/>
        </a:xfrm>
        <a:custGeom>
          <a:avLst/>
          <a:gdLst>
            <a:gd name="T0" fmla="*/ 0 w 29"/>
            <a:gd name="T1" fmla="*/ 0 h 38"/>
            <a:gd name="T2" fmla="*/ 0 w 29"/>
            <a:gd name="T3" fmla="*/ 0 h 38"/>
            <a:gd name="T4" fmla="*/ 0 w 29"/>
            <a:gd name="T5" fmla="*/ 0 h 38"/>
            <a:gd name="T6" fmla="*/ 0 60000 65536"/>
            <a:gd name="T7" fmla="*/ 0 60000 65536"/>
            <a:gd name="T8" fmla="*/ 0 60000 65536"/>
            <a:gd name="T9" fmla="*/ 0 w 29"/>
            <a:gd name="T10" fmla="*/ 0 h 38"/>
            <a:gd name="T11" fmla="*/ 29 w 29"/>
            <a:gd name="T12" fmla="*/ 38 h 38"/>
          </a:gdLst>
          <a:ahLst/>
          <a:cxnLst>
            <a:cxn ang="T6">
              <a:pos x="T0" y="T1"/>
            </a:cxn>
            <a:cxn ang="T7">
              <a:pos x="T2" y="T3"/>
            </a:cxn>
            <a:cxn ang="T8">
              <a:pos x="T4" y="T5"/>
            </a:cxn>
          </a:cxnLst>
          <a:rect l="T9" t="T10" r="T11" b="T12"/>
          <a:pathLst>
            <a:path w="29" h="38">
              <a:moveTo>
                <a:pt x="0" y="0"/>
              </a:moveTo>
              <a:cubicBezTo>
                <a:pt x="7" y="5"/>
                <a:pt x="15" y="10"/>
                <a:pt x="20" y="16"/>
              </a:cubicBezTo>
              <a:cubicBezTo>
                <a:pt x="25" y="22"/>
                <a:pt x="27" y="30"/>
                <a:pt x="29" y="38"/>
              </a:cubicBezTo>
            </a:path>
          </a:pathLst>
        </a:cu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6" name="Line 35"/>
        <xdr:cNvSpPr>
          <a:spLocks noChangeShapeType="1"/>
        </xdr:cNvSpPr>
      </xdr:nvSpPr>
      <xdr:spPr bwMode="auto">
        <a:xfrm>
          <a:off x="7105650" y="13430250"/>
          <a:ext cx="0" cy="0"/>
        </a:xfrm>
        <a:prstGeom prst="line">
          <a:avLst/>
        </a:pr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7" name="Line 36"/>
        <xdr:cNvSpPr>
          <a:spLocks noChangeShapeType="1"/>
        </xdr:cNvSpPr>
      </xdr:nvSpPr>
      <xdr:spPr bwMode="auto">
        <a:xfrm flipH="1" flipV="1">
          <a:off x="7105650" y="13430250"/>
          <a:ext cx="0" cy="0"/>
        </a:xfrm>
        <a:prstGeom prst="line">
          <a:avLst/>
        </a:pr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8" name="Freeform 37"/>
        <xdr:cNvSpPr>
          <a:spLocks/>
        </xdr:cNvSpPr>
      </xdr:nvSpPr>
      <xdr:spPr bwMode="auto">
        <a:xfrm>
          <a:off x="7105650" y="13430250"/>
          <a:ext cx="0" cy="0"/>
        </a:xfrm>
        <a:custGeom>
          <a:avLst/>
          <a:gdLst>
            <a:gd name="T0" fmla="*/ 0 w 80"/>
            <a:gd name="T1" fmla="*/ 0 h 101"/>
            <a:gd name="T2" fmla="*/ 0 w 80"/>
            <a:gd name="T3" fmla="*/ 0 h 101"/>
            <a:gd name="T4" fmla="*/ 0 w 80"/>
            <a:gd name="T5" fmla="*/ 0 h 101"/>
            <a:gd name="T6" fmla="*/ 0 60000 65536"/>
            <a:gd name="T7" fmla="*/ 0 60000 65536"/>
            <a:gd name="T8" fmla="*/ 0 60000 65536"/>
            <a:gd name="T9" fmla="*/ 0 w 80"/>
            <a:gd name="T10" fmla="*/ 0 h 101"/>
            <a:gd name="T11" fmla="*/ 80 w 80"/>
            <a:gd name="T12" fmla="*/ 101 h 101"/>
          </a:gdLst>
          <a:ahLst/>
          <a:cxnLst>
            <a:cxn ang="T6">
              <a:pos x="T0" y="T1"/>
            </a:cxn>
            <a:cxn ang="T7">
              <a:pos x="T2" y="T3"/>
            </a:cxn>
            <a:cxn ang="T8">
              <a:pos x="T4" y="T5"/>
            </a:cxn>
          </a:cxnLst>
          <a:rect l="T9" t="T10" r="T11" b="T12"/>
          <a:pathLst>
            <a:path w="80" h="101">
              <a:moveTo>
                <a:pt x="0" y="0"/>
              </a:moveTo>
              <a:cubicBezTo>
                <a:pt x="21" y="9"/>
                <a:pt x="42" y="18"/>
                <a:pt x="55" y="35"/>
              </a:cubicBezTo>
              <a:cubicBezTo>
                <a:pt x="68" y="52"/>
                <a:pt x="74" y="76"/>
                <a:pt x="80" y="101"/>
              </a:cubicBezTo>
            </a:path>
          </a:pathLst>
        </a:custGeom>
        <a:noFill/>
        <a:ln w="9525">
          <a:solidFill>
            <a:srgbClr val="000000"/>
          </a:solidFill>
          <a:round/>
          <a:headEnd/>
          <a:tailEnd/>
        </a:ln>
      </xdr:spPr>
    </xdr:sp>
    <xdr:clientData/>
  </xdr:twoCellAnchor>
  <xdr:twoCellAnchor>
    <xdr:from>
      <xdr:col>7</xdr:col>
      <xdr:colOff>0</xdr:colOff>
      <xdr:row>25</xdr:row>
      <xdr:rowOff>0</xdr:rowOff>
    </xdr:from>
    <xdr:to>
      <xdr:col>7</xdr:col>
      <xdr:colOff>0</xdr:colOff>
      <xdr:row>25</xdr:row>
      <xdr:rowOff>0</xdr:rowOff>
    </xdr:to>
    <xdr:sp macro="" textlink="">
      <xdr:nvSpPr>
        <xdr:cNvPr id="2540229" name="Freeform 38"/>
        <xdr:cNvSpPr>
          <a:spLocks/>
        </xdr:cNvSpPr>
      </xdr:nvSpPr>
      <xdr:spPr bwMode="auto">
        <a:xfrm>
          <a:off x="7105650" y="13430250"/>
          <a:ext cx="0" cy="0"/>
        </a:xfrm>
        <a:custGeom>
          <a:avLst/>
          <a:gdLst>
            <a:gd name="T0" fmla="*/ 0 w 29"/>
            <a:gd name="T1" fmla="*/ 0 h 38"/>
            <a:gd name="T2" fmla="*/ 0 w 29"/>
            <a:gd name="T3" fmla="*/ 0 h 38"/>
            <a:gd name="T4" fmla="*/ 0 w 29"/>
            <a:gd name="T5" fmla="*/ 0 h 38"/>
            <a:gd name="T6" fmla="*/ 0 60000 65536"/>
            <a:gd name="T7" fmla="*/ 0 60000 65536"/>
            <a:gd name="T8" fmla="*/ 0 60000 65536"/>
            <a:gd name="T9" fmla="*/ 0 w 29"/>
            <a:gd name="T10" fmla="*/ 0 h 38"/>
            <a:gd name="T11" fmla="*/ 29 w 29"/>
            <a:gd name="T12" fmla="*/ 38 h 38"/>
          </a:gdLst>
          <a:ahLst/>
          <a:cxnLst>
            <a:cxn ang="T6">
              <a:pos x="T0" y="T1"/>
            </a:cxn>
            <a:cxn ang="T7">
              <a:pos x="T2" y="T3"/>
            </a:cxn>
            <a:cxn ang="T8">
              <a:pos x="T4" y="T5"/>
            </a:cxn>
          </a:cxnLst>
          <a:rect l="T9" t="T10" r="T11" b="T12"/>
          <a:pathLst>
            <a:path w="29" h="38">
              <a:moveTo>
                <a:pt x="0" y="0"/>
              </a:moveTo>
              <a:cubicBezTo>
                <a:pt x="7" y="5"/>
                <a:pt x="15" y="10"/>
                <a:pt x="20" y="16"/>
              </a:cubicBezTo>
              <a:cubicBezTo>
                <a:pt x="25" y="22"/>
                <a:pt x="27" y="30"/>
                <a:pt x="29" y="38"/>
              </a:cubicBezTo>
            </a:path>
          </a:pathLst>
        </a:cu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0" name="Line 39"/>
        <xdr:cNvSpPr>
          <a:spLocks noChangeShapeType="1"/>
        </xdr:cNvSpPr>
      </xdr:nvSpPr>
      <xdr:spPr bwMode="auto">
        <a:xfrm>
          <a:off x="7105650" y="14125575"/>
          <a:ext cx="0" cy="0"/>
        </a:xfrm>
        <a:prstGeom prst="line">
          <a:avLst/>
        </a:pr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1" name="Line 40"/>
        <xdr:cNvSpPr>
          <a:spLocks noChangeShapeType="1"/>
        </xdr:cNvSpPr>
      </xdr:nvSpPr>
      <xdr:spPr bwMode="auto">
        <a:xfrm flipV="1">
          <a:off x="7105650" y="14125575"/>
          <a:ext cx="0" cy="0"/>
        </a:xfrm>
        <a:prstGeom prst="line">
          <a:avLst/>
        </a:pr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2" name="Freeform 41"/>
        <xdr:cNvSpPr>
          <a:spLocks/>
        </xdr:cNvSpPr>
      </xdr:nvSpPr>
      <xdr:spPr bwMode="auto">
        <a:xfrm>
          <a:off x="7105650" y="14125575"/>
          <a:ext cx="0" cy="0"/>
        </a:xfrm>
        <a:custGeom>
          <a:avLst/>
          <a:gdLst>
            <a:gd name="T0" fmla="*/ 0 w 80"/>
            <a:gd name="T1" fmla="*/ 0 h 101"/>
            <a:gd name="T2" fmla="*/ 0 w 80"/>
            <a:gd name="T3" fmla="*/ 0 h 101"/>
            <a:gd name="T4" fmla="*/ 0 w 80"/>
            <a:gd name="T5" fmla="*/ 0 h 101"/>
            <a:gd name="T6" fmla="*/ 0 60000 65536"/>
            <a:gd name="T7" fmla="*/ 0 60000 65536"/>
            <a:gd name="T8" fmla="*/ 0 60000 65536"/>
            <a:gd name="T9" fmla="*/ 0 w 80"/>
            <a:gd name="T10" fmla="*/ 0 h 101"/>
            <a:gd name="T11" fmla="*/ 80 w 80"/>
            <a:gd name="T12" fmla="*/ 101 h 101"/>
          </a:gdLst>
          <a:ahLst/>
          <a:cxnLst>
            <a:cxn ang="T6">
              <a:pos x="T0" y="T1"/>
            </a:cxn>
            <a:cxn ang="T7">
              <a:pos x="T2" y="T3"/>
            </a:cxn>
            <a:cxn ang="T8">
              <a:pos x="T4" y="T5"/>
            </a:cxn>
          </a:cxnLst>
          <a:rect l="T9" t="T10" r="T11" b="T12"/>
          <a:pathLst>
            <a:path w="80" h="101">
              <a:moveTo>
                <a:pt x="0" y="0"/>
              </a:moveTo>
              <a:cubicBezTo>
                <a:pt x="21" y="9"/>
                <a:pt x="42" y="18"/>
                <a:pt x="55" y="35"/>
              </a:cubicBezTo>
              <a:cubicBezTo>
                <a:pt x="68" y="52"/>
                <a:pt x="74" y="76"/>
                <a:pt x="80" y="101"/>
              </a:cubicBezTo>
            </a:path>
          </a:pathLst>
        </a:cu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3" name="Freeform 42"/>
        <xdr:cNvSpPr>
          <a:spLocks/>
        </xdr:cNvSpPr>
      </xdr:nvSpPr>
      <xdr:spPr bwMode="auto">
        <a:xfrm>
          <a:off x="7105650" y="14125575"/>
          <a:ext cx="0" cy="0"/>
        </a:xfrm>
        <a:custGeom>
          <a:avLst/>
          <a:gdLst>
            <a:gd name="T0" fmla="*/ 0 w 27"/>
            <a:gd name="T1" fmla="*/ 0 h 30"/>
            <a:gd name="T2" fmla="*/ 0 w 27"/>
            <a:gd name="T3" fmla="*/ 0 h 30"/>
            <a:gd name="T4" fmla="*/ 0 w 27"/>
            <a:gd name="T5" fmla="*/ 0 h 30"/>
            <a:gd name="T6" fmla="*/ 0 60000 65536"/>
            <a:gd name="T7" fmla="*/ 0 60000 65536"/>
            <a:gd name="T8" fmla="*/ 0 60000 65536"/>
            <a:gd name="T9" fmla="*/ 0 w 27"/>
            <a:gd name="T10" fmla="*/ 0 h 30"/>
            <a:gd name="T11" fmla="*/ 27 w 27"/>
            <a:gd name="T12" fmla="*/ 30 h 30"/>
          </a:gdLst>
          <a:ahLst/>
          <a:cxnLst>
            <a:cxn ang="T6">
              <a:pos x="T0" y="T1"/>
            </a:cxn>
            <a:cxn ang="T7">
              <a:pos x="T2" y="T3"/>
            </a:cxn>
            <a:cxn ang="T8">
              <a:pos x="T4" y="T5"/>
            </a:cxn>
          </a:cxnLst>
          <a:rect l="T9" t="T10" r="T11" b="T12"/>
          <a:pathLst>
            <a:path w="27" h="30">
              <a:moveTo>
                <a:pt x="0" y="0"/>
              </a:moveTo>
              <a:cubicBezTo>
                <a:pt x="8" y="4"/>
                <a:pt x="16" y="9"/>
                <a:pt x="20" y="14"/>
              </a:cubicBezTo>
              <a:cubicBezTo>
                <a:pt x="24" y="19"/>
                <a:pt x="25" y="24"/>
                <a:pt x="27" y="30"/>
              </a:cubicBezTo>
            </a:path>
          </a:pathLst>
        </a:cu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4" name="Freeform 43"/>
        <xdr:cNvSpPr>
          <a:spLocks/>
        </xdr:cNvSpPr>
      </xdr:nvSpPr>
      <xdr:spPr bwMode="auto">
        <a:xfrm>
          <a:off x="7105650" y="14125575"/>
          <a:ext cx="0" cy="0"/>
        </a:xfrm>
        <a:custGeom>
          <a:avLst/>
          <a:gdLst>
            <a:gd name="T0" fmla="*/ 0 w 29"/>
            <a:gd name="T1" fmla="*/ 0 h 38"/>
            <a:gd name="T2" fmla="*/ 0 w 29"/>
            <a:gd name="T3" fmla="*/ 0 h 38"/>
            <a:gd name="T4" fmla="*/ 0 w 29"/>
            <a:gd name="T5" fmla="*/ 0 h 38"/>
            <a:gd name="T6" fmla="*/ 0 60000 65536"/>
            <a:gd name="T7" fmla="*/ 0 60000 65536"/>
            <a:gd name="T8" fmla="*/ 0 60000 65536"/>
            <a:gd name="T9" fmla="*/ 0 w 29"/>
            <a:gd name="T10" fmla="*/ 0 h 38"/>
            <a:gd name="T11" fmla="*/ 29 w 29"/>
            <a:gd name="T12" fmla="*/ 38 h 38"/>
          </a:gdLst>
          <a:ahLst/>
          <a:cxnLst>
            <a:cxn ang="T6">
              <a:pos x="T0" y="T1"/>
            </a:cxn>
            <a:cxn ang="T7">
              <a:pos x="T2" y="T3"/>
            </a:cxn>
            <a:cxn ang="T8">
              <a:pos x="T4" y="T5"/>
            </a:cxn>
          </a:cxnLst>
          <a:rect l="T9" t="T10" r="T11" b="T12"/>
          <a:pathLst>
            <a:path w="29" h="38">
              <a:moveTo>
                <a:pt x="0" y="0"/>
              </a:moveTo>
              <a:cubicBezTo>
                <a:pt x="7" y="5"/>
                <a:pt x="15" y="10"/>
                <a:pt x="20" y="16"/>
              </a:cubicBezTo>
              <a:cubicBezTo>
                <a:pt x="25" y="22"/>
                <a:pt x="27" y="30"/>
                <a:pt x="29" y="38"/>
              </a:cubicBezTo>
            </a:path>
          </a:pathLst>
        </a:cu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5" name="Line 44"/>
        <xdr:cNvSpPr>
          <a:spLocks noChangeShapeType="1"/>
        </xdr:cNvSpPr>
      </xdr:nvSpPr>
      <xdr:spPr bwMode="auto">
        <a:xfrm flipH="1">
          <a:off x="7105650" y="14125575"/>
          <a:ext cx="0" cy="0"/>
        </a:xfrm>
        <a:prstGeom prst="line">
          <a:avLst/>
        </a:pr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6" name="Line 45"/>
        <xdr:cNvSpPr>
          <a:spLocks noChangeShapeType="1"/>
        </xdr:cNvSpPr>
      </xdr:nvSpPr>
      <xdr:spPr bwMode="auto">
        <a:xfrm>
          <a:off x="7105650" y="14125575"/>
          <a:ext cx="0" cy="0"/>
        </a:xfrm>
        <a:prstGeom prst="line">
          <a:avLst/>
        </a:pr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7" name="Freeform 46"/>
        <xdr:cNvSpPr>
          <a:spLocks/>
        </xdr:cNvSpPr>
      </xdr:nvSpPr>
      <xdr:spPr bwMode="auto">
        <a:xfrm>
          <a:off x="7105650" y="14125575"/>
          <a:ext cx="0" cy="0"/>
        </a:xfrm>
        <a:custGeom>
          <a:avLst/>
          <a:gdLst>
            <a:gd name="T0" fmla="*/ 0 w 119"/>
            <a:gd name="T1" fmla="*/ 0 h 104"/>
            <a:gd name="T2" fmla="*/ 0 w 119"/>
            <a:gd name="T3" fmla="*/ 0 h 104"/>
            <a:gd name="T4" fmla="*/ 0 w 119"/>
            <a:gd name="T5" fmla="*/ 0 h 104"/>
            <a:gd name="T6" fmla="*/ 0 60000 65536"/>
            <a:gd name="T7" fmla="*/ 0 60000 65536"/>
            <a:gd name="T8" fmla="*/ 0 60000 65536"/>
            <a:gd name="T9" fmla="*/ 0 w 119"/>
            <a:gd name="T10" fmla="*/ 0 h 104"/>
            <a:gd name="T11" fmla="*/ 119 w 119"/>
            <a:gd name="T12" fmla="*/ 104 h 104"/>
          </a:gdLst>
          <a:ahLst/>
          <a:cxnLst>
            <a:cxn ang="T6">
              <a:pos x="T0" y="T1"/>
            </a:cxn>
            <a:cxn ang="T7">
              <a:pos x="T2" y="T3"/>
            </a:cxn>
            <a:cxn ang="T8">
              <a:pos x="T4" y="T5"/>
            </a:cxn>
          </a:cxnLst>
          <a:rect l="T9" t="T10" r="T11" b="T12"/>
          <a:pathLst>
            <a:path w="119" h="104">
              <a:moveTo>
                <a:pt x="0" y="0"/>
              </a:moveTo>
              <a:cubicBezTo>
                <a:pt x="33" y="8"/>
                <a:pt x="67" y="17"/>
                <a:pt x="87" y="34"/>
              </a:cubicBezTo>
              <a:cubicBezTo>
                <a:pt x="107" y="51"/>
                <a:pt x="113" y="77"/>
                <a:pt x="119" y="104"/>
              </a:cubicBezTo>
            </a:path>
          </a:pathLst>
        </a:cu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8" name="Freeform 47"/>
        <xdr:cNvSpPr>
          <a:spLocks/>
        </xdr:cNvSpPr>
      </xdr:nvSpPr>
      <xdr:spPr bwMode="auto">
        <a:xfrm>
          <a:off x="7105650" y="14125575"/>
          <a:ext cx="0" cy="0"/>
        </a:xfrm>
        <a:custGeom>
          <a:avLst/>
          <a:gdLst>
            <a:gd name="T0" fmla="*/ 0 w 25"/>
            <a:gd name="T1" fmla="*/ 0 h 22"/>
            <a:gd name="T2" fmla="*/ 0 w 25"/>
            <a:gd name="T3" fmla="*/ 0 h 22"/>
            <a:gd name="T4" fmla="*/ 0 w 25"/>
            <a:gd name="T5" fmla="*/ 0 h 22"/>
            <a:gd name="T6" fmla="*/ 0 60000 65536"/>
            <a:gd name="T7" fmla="*/ 0 60000 65536"/>
            <a:gd name="T8" fmla="*/ 0 60000 65536"/>
            <a:gd name="T9" fmla="*/ 0 w 25"/>
            <a:gd name="T10" fmla="*/ 0 h 22"/>
            <a:gd name="T11" fmla="*/ 25 w 25"/>
            <a:gd name="T12" fmla="*/ 22 h 22"/>
          </a:gdLst>
          <a:ahLst/>
          <a:cxnLst>
            <a:cxn ang="T6">
              <a:pos x="T0" y="T1"/>
            </a:cxn>
            <a:cxn ang="T7">
              <a:pos x="T2" y="T3"/>
            </a:cxn>
            <a:cxn ang="T8">
              <a:pos x="T4" y="T5"/>
            </a:cxn>
          </a:cxnLst>
          <a:rect l="T9" t="T10" r="T11" b="T12"/>
          <a:pathLst>
            <a:path w="25" h="22">
              <a:moveTo>
                <a:pt x="0" y="0"/>
              </a:moveTo>
              <a:cubicBezTo>
                <a:pt x="6" y="1"/>
                <a:pt x="12" y="2"/>
                <a:pt x="16" y="6"/>
              </a:cubicBezTo>
              <a:cubicBezTo>
                <a:pt x="20" y="10"/>
                <a:pt x="22" y="16"/>
                <a:pt x="25" y="22"/>
              </a:cubicBezTo>
            </a:path>
          </a:pathLst>
        </a:custGeom>
        <a:noFill/>
        <a:ln w="9525">
          <a:solidFill>
            <a:srgbClr val="000000"/>
          </a:solidFill>
          <a:round/>
          <a:headEnd/>
          <a:tailEnd/>
        </a:ln>
      </xdr:spPr>
    </xdr:sp>
    <xdr:clientData/>
  </xdr:twoCellAnchor>
  <xdr:twoCellAnchor>
    <xdr:from>
      <xdr:col>7</xdr:col>
      <xdr:colOff>0</xdr:colOff>
      <xdr:row>26</xdr:row>
      <xdr:rowOff>0</xdr:rowOff>
    </xdr:from>
    <xdr:to>
      <xdr:col>7</xdr:col>
      <xdr:colOff>0</xdr:colOff>
      <xdr:row>26</xdr:row>
      <xdr:rowOff>0</xdr:rowOff>
    </xdr:to>
    <xdr:sp macro="" textlink="">
      <xdr:nvSpPr>
        <xdr:cNvPr id="2540239" name="Freeform 48"/>
        <xdr:cNvSpPr>
          <a:spLocks/>
        </xdr:cNvSpPr>
      </xdr:nvSpPr>
      <xdr:spPr bwMode="auto">
        <a:xfrm>
          <a:off x="7105650" y="14125575"/>
          <a:ext cx="0" cy="0"/>
        </a:xfrm>
        <a:custGeom>
          <a:avLst/>
          <a:gdLst>
            <a:gd name="T0" fmla="*/ 0 w 36"/>
            <a:gd name="T1" fmla="*/ 0 h 34"/>
            <a:gd name="T2" fmla="*/ 0 w 36"/>
            <a:gd name="T3" fmla="*/ 0 h 34"/>
            <a:gd name="T4" fmla="*/ 0 w 36"/>
            <a:gd name="T5" fmla="*/ 0 h 34"/>
            <a:gd name="T6" fmla="*/ 0 60000 65536"/>
            <a:gd name="T7" fmla="*/ 0 60000 65536"/>
            <a:gd name="T8" fmla="*/ 0 60000 65536"/>
            <a:gd name="T9" fmla="*/ 0 w 36"/>
            <a:gd name="T10" fmla="*/ 0 h 34"/>
            <a:gd name="T11" fmla="*/ 36 w 36"/>
            <a:gd name="T12" fmla="*/ 34 h 34"/>
          </a:gdLst>
          <a:ahLst/>
          <a:cxnLst>
            <a:cxn ang="T6">
              <a:pos x="T0" y="T1"/>
            </a:cxn>
            <a:cxn ang="T7">
              <a:pos x="T2" y="T3"/>
            </a:cxn>
            <a:cxn ang="T8">
              <a:pos x="T4" y="T5"/>
            </a:cxn>
          </a:cxnLst>
          <a:rect l="T9" t="T10" r="T11" b="T12"/>
          <a:pathLst>
            <a:path w="36" h="34">
              <a:moveTo>
                <a:pt x="0" y="0"/>
              </a:moveTo>
              <a:cubicBezTo>
                <a:pt x="10" y="3"/>
                <a:pt x="20" y="6"/>
                <a:pt x="26" y="12"/>
              </a:cubicBezTo>
              <a:cubicBezTo>
                <a:pt x="32" y="18"/>
                <a:pt x="34" y="26"/>
                <a:pt x="36" y="34"/>
              </a:cubicBez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0" name="Freeform 49"/>
        <xdr:cNvSpPr>
          <a:spLocks/>
        </xdr:cNvSpPr>
      </xdr:nvSpPr>
      <xdr:spPr bwMode="auto">
        <a:xfrm>
          <a:off x="7105650" y="16764000"/>
          <a:ext cx="0" cy="0"/>
        </a:xfrm>
        <a:custGeom>
          <a:avLst/>
          <a:gdLst>
            <a:gd name="T0" fmla="*/ 0 w 111"/>
            <a:gd name="T1" fmla="*/ 0 h 53"/>
            <a:gd name="T2" fmla="*/ 0 w 111"/>
            <a:gd name="T3" fmla="*/ 0 h 53"/>
            <a:gd name="T4" fmla="*/ 0 w 111"/>
            <a:gd name="T5" fmla="*/ 0 h 53"/>
            <a:gd name="T6" fmla="*/ 0 w 111"/>
            <a:gd name="T7" fmla="*/ 0 h 53"/>
            <a:gd name="T8" fmla="*/ 0 60000 65536"/>
            <a:gd name="T9" fmla="*/ 0 60000 65536"/>
            <a:gd name="T10" fmla="*/ 0 60000 65536"/>
            <a:gd name="T11" fmla="*/ 0 60000 65536"/>
            <a:gd name="T12" fmla="*/ 0 w 111"/>
            <a:gd name="T13" fmla="*/ 0 h 53"/>
            <a:gd name="T14" fmla="*/ 111 w 111"/>
            <a:gd name="T15" fmla="*/ 53 h 53"/>
          </a:gdLst>
          <a:ahLst/>
          <a:cxnLst>
            <a:cxn ang="T8">
              <a:pos x="T0" y="T1"/>
            </a:cxn>
            <a:cxn ang="T9">
              <a:pos x="T2" y="T3"/>
            </a:cxn>
            <a:cxn ang="T10">
              <a:pos x="T4" y="T5"/>
            </a:cxn>
            <a:cxn ang="T11">
              <a:pos x="T6" y="T7"/>
            </a:cxn>
          </a:cxnLst>
          <a:rect l="T12" t="T13" r="T14" b="T15"/>
          <a:pathLst>
            <a:path w="111" h="53">
              <a:moveTo>
                <a:pt x="0" y="51"/>
              </a:moveTo>
              <a:lnTo>
                <a:pt x="0" y="0"/>
              </a:lnTo>
              <a:lnTo>
                <a:pt x="111" y="0"/>
              </a:lnTo>
              <a:lnTo>
                <a:pt x="111" y="53"/>
              </a:lnTo>
            </a:path>
          </a:pathLst>
        </a:custGeom>
        <a:noFill/>
        <a:ln w="19050">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1" name="Freeform 50"/>
        <xdr:cNvSpPr>
          <a:spLocks/>
        </xdr:cNvSpPr>
      </xdr:nvSpPr>
      <xdr:spPr bwMode="auto">
        <a:xfrm>
          <a:off x="7105650" y="16764000"/>
          <a:ext cx="0" cy="0"/>
        </a:xfrm>
        <a:custGeom>
          <a:avLst/>
          <a:gdLst>
            <a:gd name="T0" fmla="*/ 0 w 20"/>
            <a:gd name="T1" fmla="*/ 0 h 41"/>
            <a:gd name="T2" fmla="*/ 0 w 20"/>
            <a:gd name="T3" fmla="*/ 0 h 41"/>
            <a:gd name="T4" fmla="*/ 0 w 20"/>
            <a:gd name="T5" fmla="*/ 0 h 41"/>
            <a:gd name="T6" fmla="*/ 0 w 20"/>
            <a:gd name="T7" fmla="*/ 0 h 41"/>
            <a:gd name="T8" fmla="*/ 0 w 20"/>
            <a:gd name="T9" fmla="*/ 0 h 41"/>
            <a:gd name="T10" fmla="*/ 0 w 20"/>
            <a:gd name="T11" fmla="*/ 0 h 41"/>
            <a:gd name="T12" fmla="*/ 0 60000 65536"/>
            <a:gd name="T13" fmla="*/ 0 60000 65536"/>
            <a:gd name="T14" fmla="*/ 0 60000 65536"/>
            <a:gd name="T15" fmla="*/ 0 60000 65536"/>
            <a:gd name="T16" fmla="*/ 0 60000 65536"/>
            <a:gd name="T17" fmla="*/ 0 60000 65536"/>
            <a:gd name="T18" fmla="*/ 0 w 20"/>
            <a:gd name="T19" fmla="*/ 0 h 41"/>
            <a:gd name="T20" fmla="*/ 20 w 20"/>
            <a:gd name="T21" fmla="*/ 41 h 41"/>
          </a:gdLst>
          <a:ahLst/>
          <a:cxnLst>
            <a:cxn ang="T12">
              <a:pos x="T0" y="T1"/>
            </a:cxn>
            <a:cxn ang="T13">
              <a:pos x="T2" y="T3"/>
            </a:cxn>
            <a:cxn ang="T14">
              <a:pos x="T4" y="T5"/>
            </a:cxn>
            <a:cxn ang="T15">
              <a:pos x="T6" y="T7"/>
            </a:cxn>
            <a:cxn ang="T16">
              <a:pos x="T8" y="T9"/>
            </a:cxn>
            <a:cxn ang="T17">
              <a:pos x="T10" y="T11"/>
            </a:cxn>
          </a:cxnLst>
          <a:rect l="T18" t="T19" r="T20" b="T21"/>
          <a:pathLst>
            <a:path w="20" h="41">
              <a:moveTo>
                <a:pt x="12" y="1"/>
              </a:moveTo>
              <a:lnTo>
                <a:pt x="0" y="0"/>
              </a:lnTo>
              <a:lnTo>
                <a:pt x="0" y="41"/>
              </a:lnTo>
              <a:lnTo>
                <a:pt x="11" y="41"/>
              </a:lnTo>
              <a:lnTo>
                <a:pt x="11" y="6"/>
              </a:lnTo>
              <a:lnTo>
                <a:pt x="20" y="6"/>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2" name="Freeform 51"/>
        <xdr:cNvSpPr>
          <a:spLocks/>
        </xdr:cNvSpPr>
      </xdr:nvSpPr>
      <xdr:spPr bwMode="auto">
        <a:xfrm>
          <a:off x="7105650" y="16764000"/>
          <a:ext cx="0" cy="0"/>
        </a:xfrm>
        <a:custGeom>
          <a:avLst/>
          <a:gdLst>
            <a:gd name="T0" fmla="*/ 0 w 23"/>
            <a:gd name="T1" fmla="*/ 0 h 43"/>
            <a:gd name="T2" fmla="*/ 0 w 23"/>
            <a:gd name="T3" fmla="*/ 0 h 43"/>
            <a:gd name="T4" fmla="*/ 0 w 23"/>
            <a:gd name="T5" fmla="*/ 0 h 43"/>
            <a:gd name="T6" fmla="*/ 0 w 23"/>
            <a:gd name="T7" fmla="*/ 0 h 43"/>
            <a:gd name="T8" fmla="*/ 0 w 23"/>
            <a:gd name="T9" fmla="*/ 0 h 43"/>
            <a:gd name="T10" fmla="*/ 0 w 23"/>
            <a:gd name="T11" fmla="*/ 0 h 43"/>
            <a:gd name="T12" fmla="*/ 0 60000 65536"/>
            <a:gd name="T13" fmla="*/ 0 60000 65536"/>
            <a:gd name="T14" fmla="*/ 0 60000 65536"/>
            <a:gd name="T15" fmla="*/ 0 60000 65536"/>
            <a:gd name="T16" fmla="*/ 0 60000 65536"/>
            <a:gd name="T17" fmla="*/ 0 60000 65536"/>
            <a:gd name="T18" fmla="*/ 0 w 23"/>
            <a:gd name="T19" fmla="*/ 0 h 43"/>
            <a:gd name="T20" fmla="*/ 23 w 23"/>
            <a:gd name="T21" fmla="*/ 43 h 43"/>
          </a:gdLst>
          <a:ahLst/>
          <a:cxnLst>
            <a:cxn ang="T12">
              <a:pos x="T0" y="T1"/>
            </a:cxn>
            <a:cxn ang="T13">
              <a:pos x="T2" y="T3"/>
            </a:cxn>
            <a:cxn ang="T14">
              <a:pos x="T4" y="T5"/>
            </a:cxn>
            <a:cxn ang="T15">
              <a:pos x="T6" y="T7"/>
            </a:cxn>
            <a:cxn ang="T16">
              <a:pos x="T8" y="T9"/>
            </a:cxn>
            <a:cxn ang="T17">
              <a:pos x="T10" y="T11"/>
            </a:cxn>
          </a:cxnLst>
          <a:rect l="T18" t="T19" r="T20" b="T21"/>
          <a:pathLst>
            <a:path w="23" h="43">
              <a:moveTo>
                <a:pt x="0" y="0"/>
              </a:moveTo>
              <a:lnTo>
                <a:pt x="7" y="0"/>
              </a:lnTo>
              <a:lnTo>
                <a:pt x="7" y="43"/>
              </a:lnTo>
              <a:lnTo>
                <a:pt x="14" y="43"/>
              </a:lnTo>
              <a:lnTo>
                <a:pt x="14" y="0"/>
              </a:lnTo>
              <a:lnTo>
                <a:pt x="23" y="0"/>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3" name="Freeform 52"/>
        <xdr:cNvSpPr>
          <a:spLocks/>
        </xdr:cNvSpPr>
      </xdr:nvSpPr>
      <xdr:spPr bwMode="auto">
        <a:xfrm>
          <a:off x="7105650" y="16764000"/>
          <a:ext cx="0" cy="0"/>
        </a:xfrm>
        <a:custGeom>
          <a:avLst/>
          <a:gdLst>
            <a:gd name="T0" fmla="*/ 0 w 69"/>
            <a:gd name="T1" fmla="*/ 0 h 35"/>
            <a:gd name="T2" fmla="*/ 0 w 69"/>
            <a:gd name="T3" fmla="*/ 0 h 35"/>
            <a:gd name="T4" fmla="*/ 0 w 69"/>
            <a:gd name="T5" fmla="*/ 0 h 35"/>
            <a:gd name="T6" fmla="*/ 0 w 69"/>
            <a:gd name="T7" fmla="*/ 0 h 35"/>
            <a:gd name="T8" fmla="*/ 0 w 69"/>
            <a:gd name="T9" fmla="*/ 0 h 35"/>
            <a:gd name="T10" fmla="*/ 0 60000 65536"/>
            <a:gd name="T11" fmla="*/ 0 60000 65536"/>
            <a:gd name="T12" fmla="*/ 0 60000 65536"/>
            <a:gd name="T13" fmla="*/ 0 60000 65536"/>
            <a:gd name="T14" fmla="*/ 0 60000 65536"/>
            <a:gd name="T15" fmla="*/ 0 w 69"/>
            <a:gd name="T16" fmla="*/ 0 h 35"/>
            <a:gd name="T17" fmla="*/ 69 w 69"/>
            <a:gd name="T18" fmla="*/ 35 h 35"/>
          </a:gdLst>
          <a:ahLst/>
          <a:cxnLst>
            <a:cxn ang="T10">
              <a:pos x="T0" y="T1"/>
            </a:cxn>
            <a:cxn ang="T11">
              <a:pos x="T2" y="T3"/>
            </a:cxn>
            <a:cxn ang="T12">
              <a:pos x="T4" y="T5"/>
            </a:cxn>
            <a:cxn ang="T13">
              <a:pos x="T6" y="T7"/>
            </a:cxn>
            <a:cxn ang="T14">
              <a:pos x="T8" y="T9"/>
            </a:cxn>
          </a:cxnLst>
          <a:rect l="T15" t="T16" r="T17" b="T18"/>
          <a:pathLst>
            <a:path w="69" h="35">
              <a:moveTo>
                <a:pt x="1" y="0"/>
              </a:moveTo>
              <a:lnTo>
                <a:pt x="69" y="0"/>
              </a:lnTo>
              <a:lnTo>
                <a:pt x="69" y="35"/>
              </a:lnTo>
              <a:lnTo>
                <a:pt x="0" y="35"/>
              </a:lnTo>
              <a:lnTo>
                <a:pt x="1" y="0"/>
              </a:lnTo>
              <a:close/>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4" name="Freeform 53"/>
        <xdr:cNvSpPr>
          <a:spLocks/>
        </xdr:cNvSpPr>
      </xdr:nvSpPr>
      <xdr:spPr bwMode="auto">
        <a:xfrm>
          <a:off x="7105650" y="16764000"/>
          <a:ext cx="0" cy="0"/>
        </a:xfrm>
        <a:custGeom>
          <a:avLst/>
          <a:gdLst>
            <a:gd name="T0" fmla="*/ 0 w 69"/>
            <a:gd name="T1" fmla="*/ 0 h 35"/>
            <a:gd name="T2" fmla="*/ 0 w 69"/>
            <a:gd name="T3" fmla="*/ 0 h 35"/>
            <a:gd name="T4" fmla="*/ 0 w 69"/>
            <a:gd name="T5" fmla="*/ 0 h 35"/>
            <a:gd name="T6" fmla="*/ 0 w 69"/>
            <a:gd name="T7" fmla="*/ 0 h 35"/>
            <a:gd name="T8" fmla="*/ 0 w 69"/>
            <a:gd name="T9" fmla="*/ 0 h 35"/>
            <a:gd name="T10" fmla="*/ 0 60000 65536"/>
            <a:gd name="T11" fmla="*/ 0 60000 65536"/>
            <a:gd name="T12" fmla="*/ 0 60000 65536"/>
            <a:gd name="T13" fmla="*/ 0 60000 65536"/>
            <a:gd name="T14" fmla="*/ 0 60000 65536"/>
            <a:gd name="T15" fmla="*/ 0 w 69"/>
            <a:gd name="T16" fmla="*/ 0 h 35"/>
            <a:gd name="T17" fmla="*/ 69 w 69"/>
            <a:gd name="T18" fmla="*/ 35 h 35"/>
          </a:gdLst>
          <a:ahLst/>
          <a:cxnLst>
            <a:cxn ang="T10">
              <a:pos x="T0" y="T1"/>
            </a:cxn>
            <a:cxn ang="T11">
              <a:pos x="T2" y="T3"/>
            </a:cxn>
            <a:cxn ang="T12">
              <a:pos x="T4" y="T5"/>
            </a:cxn>
            <a:cxn ang="T13">
              <a:pos x="T6" y="T7"/>
            </a:cxn>
            <a:cxn ang="T14">
              <a:pos x="T8" y="T9"/>
            </a:cxn>
          </a:cxnLst>
          <a:rect l="T15" t="T16" r="T17" b="T18"/>
          <a:pathLst>
            <a:path w="69" h="35">
              <a:moveTo>
                <a:pt x="1" y="0"/>
              </a:moveTo>
              <a:lnTo>
                <a:pt x="69" y="0"/>
              </a:lnTo>
              <a:lnTo>
                <a:pt x="69" y="35"/>
              </a:lnTo>
              <a:lnTo>
                <a:pt x="0" y="35"/>
              </a:lnTo>
              <a:lnTo>
                <a:pt x="1" y="0"/>
              </a:lnTo>
              <a:close/>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5" name="Freeform 54"/>
        <xdr:cNvSpPr>
          <a:spLocks/>
        </xdr:cNvSpPr>
      </xdr:nvSpPr>
      <xdr:spPr bwMode="auto">
        <a:xfrm>
          <a:off x="7105650" y="16764000"/>
          <a:ext cx="0" cy="0"/>
        </a:xfrm>
        <a:custGeom>
          <a:avLst/>
          <a:gdLst>
            <a:gd name="T0" fmla="*/ 0 w 25"/>
            <a:gd name="T1" fmla="*/ 0 h 45"/>
            <a:gd name="T2" fmla="*/ 0 w 25"/>
            <a:gd name="T3" fmla="*/ 0 h 45"/>
            <a:gd name="T4" fmla="*/ 0 w 25"/>
            <a:gd name="T5" fmla="*/ 0 h 45"/>
            <a:gd name="T6" fmla="*/ 0 w 25"/>
            <a:gd name="T7" fmla="*/ 0 h 45"/>
            <a:gd name="T8" fmla="*/ 0 w 25"/>
            <a:gd name="T9" fmla="*/ 0 h 45"/>
            <a:gd name="T10" fmla="*/ 0 w 25"/>
            <a:gd name="T11" fmla="*/ 0 h 45"/>
            <a:gd name="T12" fmla="*/ 0 60000 65536"/>
            <a:gd name="T13" fmla="*/ 0 60000 65536"/>
            <a:gd name="T14" fmla="*/ 0 60000 65536"/>
            <a:gd name="T15" fmla="*/ 0 60000 65536"/>
            <a:gd name="T16" fmla="*/ 0 60000 65536"/>
            <a:gd name="T17" fmla="*/ 0 60000 65536"/>
            <a:gd name="T18" fmla="*/ 0 w 25"/>
            <a:gd name="T19" fmla="*/ 0 h 45"/>
            <a:gd name="T20" fmla="*/ 25 w 25"/>
            <a:gd name="T21" fmla="*/ 45 h 45"/>
          </a:gdLst>
          <a:ahLst/>
          <a:cxnLst>
            <a:cxn ang="T12">
              <a:pos x="T0" y="T1"/>
            </a:cxn>
            <a:cxn ang="T13">
              <a:pos x="T2" y="T3"/>
            </a:cxn>
            <a:cxn ang="T14">
              <a:pos x="T4" y="T5"/>
            </a:cxn>
            <a:cxn ang="T15">
              <a:pos x="T6" y="T7"/>
            </a:cxn>
            <a:cxn ang="T16">
              <a:pos x="T8" y="T9"/>
            </a:cxn>
            <a:cxn ang="T17">
              <a:pos x="T10" y="T11"/>
            </a:cxn>
          </a:cxnLst>
          <a:rect l="T18" t="T19" r="T20" b="T21"/>
          <a:pathLst>
            <a:path w="25" h="45">
              <a:moveTo>
                <a:pt x="0" y="0"/>
              </a:moveTo>
              <a:lnTo>
                <a:pt x="11" y="1"/>
              </a:lnTo>
              <a:lnTo>
                <a:pt x="11" y="45"/>
              </a:lnTo>
              <a:lnTo>
                <a:pt x="17" y="45"/>
              </a:lnTo>
              <a:lnTo>
                <a:pt x="17" y="2"/>
              </a:lnTo>
              <a:lnTo>
                <a:pt x="25" y="7"/>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6" name="Freeform 55"/>
        <xdr:cNvSpPr>
          <a:spLocks/>
        </xdr:cNvSpPr>
      </xdr:nvSpPr>
      <xdr:spPr bwMode="auto">
        <a:xfrm>
          <a:off x="7105650" y="16764000"/>
          <a:ext cx="0" cy="0"/>
        </a:xfrm>
        <a:custGeom>
          <a:avLst/>
          <a:gdLst>
            <a:gd name="T0" fmla="*/ 0 w 111"/>
            <a:gd name="T1" fmla="*/ 0 h 53"/>
            <a:gd name="T2" fmla="*/ 0 w 111"/>
            <a:gd name="T3" fmla="*/ 0 h 53"/>
            <a:gd name="T4" fmla="*/ 0 w 111"/>
            <a:gd name="T5" fmla="*/ 0 h 53"/>
            <a:gd name="T6" fmla="*/ 0 w 111"/>
            <a:gd name="T7" fmla="*/ 0 h 53"/>
            <a:gd name="T8" fmla="*/ 0 60000 65536"/>
            <a:gd name="T9" fmla="*/ 0 60000 65536"/>
            <a:gd name="T10" fmla="*/ 0 60000 65536"/>
            <a:gd name="T11" fmla="*/ 0 60000 65536"/>
            <a:gd name="T12" fmla="*/ 0 w 111"/>
            <a:gd name="T13" fmla="*/ 0 h 53"/>
            <a:gd name="T14" fmla="*/ 111 w 111"/>
            <a:gd name="T15" fmla="*/ 53 h 53"/>
          </a:gdLst>
          <a:ahLst/>
          <a:cxnLst>
            <a:cxn ang="T8">
              <a:pos x="T0" y="T1"/>
            </a:cxn>
            <a:cxn ang="T9">
              <a:pos x="T2" y="T3"/>
            </a:cxn>
            <a:cxn ang="T10">
              <a:pos x="T4" y="T5"/>
            </a:cxn>
            <a:cxn ang="T11">
              <a:pos x="T6" y="T7"/>
            </a:cxn>
          </a:cxnLst>
          <a:rect l="T12" t="T13" r="T14" b="T15"/>
          <a:pathLst>
            <a:path w="111" h="53">
              <a:moveTo>
                <a:pt x="0" y="51"/>
              </a:moveTo>
              <a:lnTo>
                <a:pt x="0" y="0"/>
              </a:lnTo>
              <a:lnTo>
                <a:pt x="111" y="0"/>
              </a:lnTo>
              <a:lnTo>
                <a:pt x="111" y="53"/>
              </a:lnTo>
            </a:path>
          </a:pathLst>
        </a:custGeom>
        <a:noFill/>
        <a:ln w="19050">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7" name="Freeform 56"/>
        <xdr:cNvSpPr>
          <a:spLocks/>
        </xdr:cNvSpPr>
      </xdr:nvSpPr>
      <xdr:spPr bwMode="auto">
        <a:xfrm>
          <a:off x="7105650" y="16764000"/>
          <a:ext cx="0" cy="0"/>
        </a:xfrm>
        <a:custGeom>
          <a:avLst/>
          <a:gdLst>
            <a:gd name="T0" fmla="*/ 0 w 20"/>
            <a:gd name="T1" fmla="*/ 0 h 41"/>
            <a:gd name="T2" fmla="*/ 0 w 20"/>
            <a:gd name="T3" fmla="*/ 0 h 41"/>
            <a:gd name="T4" fmla="*/ 0 w 20"/>
            <a:gd name="T5" fmla="*/ 0 h 41"/>
            <a:gd name="T6" fmla="*/ 0 w 20"/>
            <a:gd name="T7" fmla="*/ 0 h 41"/>
            <a:gd name="T8" fmla="*/ 0 w 20"/>
            <a:gd name="T9" fmla="*/ 0 h 41"/>
            <a:gd name="T10" fmla="*/ 0 w 20"/>
            <a:gd name="T11" fmla="*/ 0 h 41"/>
            <a:gd name="T12" fmla="*/ 0 60000 65536"/>
            <a:gd name="T13" fmla="*/ 0 60000 65536"/>
            <a:gd name="T14" fmla="*/ 0 60000 65536"/>
            <a:gd name="T15" fmla="*/ 0 60000 65536"/>
            <a:gd name="T16" fmla="*/ 0 60000 65536"/>
            <a:gd name="T17" fmla="*/ 0 60000 65536"/>
            <a:gd name="T18" fmla="*/ 0 w 20"/>
            <a:gd name="T19" fmla="*/ 0 h 41"/>
            <a:gd name="T20" fmla="*/ 20 w 20"/>
            <a:gd name="T21" fmla="*/ 41 h 41"/>
          </a:gdLst>
          <a:ahLst/>
          <a:cxnLst>
            <a:cxn ang="T12">
              <a:pos x="T0" y="T1"/>
            </a:cxn>
            <a:cxn ang="T13">
              <a:pos x="T2" y="T3"/>
            </a:cxn>
            <a:cxn ang="T14">
              <a:pos x="T4" y="T5"/>
            </a:cxn>
            <a:cxn ang="T15">
              <a:pos x="T6" y="T7"/>
            </a:cxn>
            <a:cxn ang="T16">
              <a:pos x="T8" y="T9"/>
            </a:cxn>
            <a:cxn ang="T17">
              <a:pos x="T10" y="T11"/>
            </a:cxn>
          </a:cxnLst>
          <a:rect l="T18" t="T19" r="T20" b="T21"/>
          <a:pathLst>
            <a:path w="20" h="41">
              <a:moveTo>
                <a:pt x="12" y="1"/>
              </a:moveTo>
              <a:lnTo>
                <a:pt x="0" y="0"/>
              </a:lnTo>
              <a:lnTo>
                <a:pt x="0" y="41"/>
              </a:lnTo>
              <a:lnTo>
                <a:pt x="11" y="41"/>
              </a:lnTo>
              <a:lnTo>
                <a:pt x="11" y="6"/>
              </a:lnTo>
              <a:lnTo>
                <a:pt x="20" y="6"/>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8" name="Freeform 57"/>
        <xdr:cNvSpPr>
          <a:spLocks/>
        </xdr:cNvSpPr>
      </xdr:nvSpPr>
      <xdr:spPr bwMode="auto">
        <a:xfrm>
          <a:off x="7105650" y="16764000"/>
          <a:ext cx="0" cy="0"/>
        </a:xfrm>
        <a:custGeom>
          <a:avLst/>
          <a:gdLst>
            <a:gd name="T0" fmla="*/ 0 w 23"/>
            <a:gd name="T1" fmla="*/ 0 h 43"/>
            <a:gd name="T2" fmla="*/ 0 w 23"/>
            <a:gd name="T3" fmla="*/ 0 h 43"/>
            <a:gd name="T4" fmla="*/ 0 w 23"/>
            <a:gd name="T5" fmla="*/ 0 h 43"/>
            <a:gd name="T6" fmla="*/ 0 w 23"/>
            <a:gd name="T7" fmla="*/ 0 h 43"/>
            <a:gd name="T8" fmla="*/ 0 w 23"/>
            <a:gd name="T9" fmla="*/ 0 h 43"/>
            <a:gd name="T10" fmla="*/ 0 w 23"/>
            <a:gd name="T11" fmla="*/ 0 h 43"/>
            <a:gd name="T12" fmla="*/ 0 60000 65536"/>
            <a:gd name="T13" fmla="*/ 0 60000 65536"/>
            <a:gd name="T14" fmla="*/ 0 60000 65536"/>
            <a:gd name="T15" fmla="*/ 0 60000 65536"/>
            <a:gd name="T16" fmla="*/ 0 60000 65536"/>
            <a:gd name="T17" fmla="*/ 0 60000 65536"/>
            <a:gd name="T18" fmla="*/ 0 w 23"/>
            <a:gd name="T19" fmla="*/ 0 h 43"/>
            <a:gd name="T20" fmla="*/ 23 w 23"/>
            <a:gd name="T21" fmla="*/ 43 h 43"/>
          </a:gdLst>
          <a:ahLst/>
          <a:cxnLst>
            <a:cxn ang="T12">
              <a:pos x="T0" y="T1"/>
            </a:cxn>
            <a:cxn ang="T13">
              <a:pos x="T2" y="T3"/>
            </a:cxn>
            <a:cxn ang="T14">
              <a:pos x="T4" y="T5"/>
            </a:cxn>
            <a:cxn ang="T15">
              <a:pos x="T6" y="T7"/>
            </a:cxn>
            <a:cxn ang="T16">
              <a:pos x="T8" y="T9"/>
            </a:cxn>
            <a:cxn ang="T17">
              <a:pos x="T10" y="T11"/>
            </a:cxn>
          </a:cxnLst>
          <a:rect l="T18" t="T19" r="T20" b="T21"/>
          <a:pathLst>
            <a:path w="23" h="43">
              <a:moveTo>
                <a:pt x="0" y="0"/>
              </a:moveTo>
              <a:lnTo>
                <a:pt x="7" y="0"/>
              </a:lnTo>
              <a:lnTo>
                <a:pt x="7" y="43"/>
              </a:lnTo>
              <a:lnTo>
                <a:pt x="14" y="43"/>
              </a:lnTo>
              <a:lnTo>
                <a:pt x="14" y="0"/>
              </a:lnTo>
              <a:lnTo>
                <a:pt x="23" y="0"/>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49" name="Freeform 58"/>
        <xdr:cNvSpPr>
          <a:spLocks/>
        </xdr:cNvSpPr>
      </xdr:nvSpPr>
      <xdr:spPr bwMode="auto">
        <a:xfrm>
          <a:off x="7105650" y="16764000"/>
          <a:ext cx="0" cy="0"/>
        </a:xfrm>
        <a:custGeom>
          <a:avLst/>
          <a:gdLst>
            <a:gd name="T0" fmla="*/ 0 w 69"/>
            <a:gd name="T1" fmla="*/ 0 h 35"/>
            <a:gd name="T2" fmla="*/ 0 w 69"/>
            <a:gd name="T3" fmla="*/ 0 h 35"/>
            <a:gd name="T4" fmla="*/ 0 w 69"/>
            <a:gd name="T5" fmla="*/ 0 h 35"/>
            <a:gd name="T6" fmla="*/ 0 w 69"/>
            <a:gd name="T7" fmla="*/ 0 h 35"/>
            <a:gd name="T8" fmla="*/ 0 w 69"/>
            <a:gd name="T9" fmla="*/ 0 h 35"/>
            <a:gd name="T10" fmla="*/ 0 60000 65536"/>
            <a:gd name="T11" fmla="*/ 0 60000 65536"/>
            <a:gd name="T12" fmla="*/ 0 60000 65536"/>
            <a:gd name="T13" fmla="*/ 0 60000 65536"/>
            <a:gd name="T14" fmla="*/ 0 60000 65536"/>
            <a:gd name="T15" fmla="*/ 0 w 69"/>
            <a:gd name="T16" fmla="*/ 0 h 35"/>
            <a:gd name="T17" fmla="*/ 69 w 69"/>
            <a:gd name="T18" fmla="*/ 35 h 35"/>
          </a:gdLst>
          <a:ahLst/>
          <a:cxnLst>
            <a:cxn ang="T10">
              <a:pos x="T0" y="T1"/>
            </a:cxn>
            <a:cxn ang="T11">
              <a:pos x="T2" y="T3"/>
            </a:cxn>
            <a:cxn ang="T12">
              <a:pos x="T4" y="T5"/>
            </a:cxn>
            <a:cxn ang="T13">
              <a:pos x="T6" y="T7"/>
            </a:cxn>
            <a:cxn ang="T14">
              <a:pos x="T8" y="T9"/>
            </a:cxn>
          </a:cxnLst>
          <a:rect l="T15" t="T16" r="T17" b="T18"/>
          <a:pathLst>
            <a:path w="69" h="35">
              <a:moveTo>
                <a:pt x="1" y="0"/>
              </a:moveTo>
              <a:lnTo>
                <a:pt x="69" y="0"/>
              </a:lnTo>
              <a:lnTo>
                <a:pt x="69" y="35"/>
              </a:lnTo>
              <a:lnTo>
                <a:pt x="0" y="35"/>
              </a:lnTo>
              <a:lnTo>
                <a:pt x="1" y="0"/>
              </a:lnTo>
              <a:close/>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0" name="Freeform 59"/>
        <xdr:cNvSpPr>
          <a:spLocks/>
        </xdr:cNvSpPr>
      </xdr:nvSpPr>
      <xdr:spPr bwMode="auto">
        <a:xfrm>
          <a:off x="7105650" y="16764000"/>
          <a:ext cx="0" cy="0"/>
        </a:xfrm>
        <a:custGeom>
          <a:avLst/>
          <a:gdLst>
            <a:gd name="T0" fmla="*/ 0 w 69"/>
            <a:gd name="T1" fmla="*/ 0 h 35"/>
            <a:gd name="T2" fmla="*/ 0 w 69"/>
            <a:gd name="T3" fmla="*/ 0 h 35"/>
            <a:gd name="T4" fmla="*/ 0 w 69"/>
            <a:gd name="T5" fmla="*/ 0 h 35"/>
            <a:gd name="T6" fmla="*/ 0 w 69"/>
            <a:gd name="T7" fmla="*/ 0 h 35"/>
            <a:gd name="T8" fmla="*/ 0 w 69"/>
            <a:gd name="T9" fmla="*/ 0 h 35"/>
            <a:gd name="T10" fmla="*/ 0 60000 65536"/>
            <a:gd name="T11" fmla="*/ 0 60000 65536"/>
            <a:gd name="T12" fmla="*/ 0 60000 65536"/>
            <a:gd name="T13" fmla="*/ 0 60000 65536"/>
            <a:gd name="T14" fmla="*/ 0 60000 65536"/>
            <a:gd name="T15" fmla="*/ 0 w 69"/>
            <a:gd name="T16" fmla="*/ 0 h 35"/>
            <a:gd name="T17" fmla="*/ 69 w 69"/>
            <a:gd name="T18" fmla="*/ 35 h 35"/>
          </a:gdLst>
          <a:ahLst/>
          <a:cxnLst>
            <a:cxn ang="T10">
              <a:pos x="T0" y="T1"/>
            </a:cxn>
            <a:cxn ang="T11">
              <a:pos x="T2" y="T3"/>
            </a:cxn>
            <a:cxn ang="T12">
              <a:pos x="T4" y="T5"/>
            </a:cxn>
            <a:cxn ang="T13">
              <a:pos x="T6" y="T7"/>
            </a:cxn>
            <a:cxn ang="T14">
              <a:pos x="T8" y="T9"/>
            </a:cxn>
          </a:cxnLst>
          <a:rect l="T15" t="T16" r="T17" b="T18"/>
          <a:pathLst>
            <a:path w="69" h="35">
              <a:moveTo>
                <a:pt x="1" y="0"/>
              </a:moveTo>
              <a:lnTo>
                <a:pt x="69" y="0"/>
              </a:lnTo>
              <a:lnTo>
                <a:pt x="69" y="35"/>
              </a:lnTo>
              <a:lnTo>
                <a:pt x="0" y="35"/>
              </a:lnTo>
              <a:lnTo>
                <a:pt x="1" y="0"/>
              </a:lnTo>
              <a:close/>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1" name="Freeform 60"/>
        <xdr:cNvSpPr>
          <a:spLocks/>
        </xdr:cNvSpPr>
      </xdr:nvSpPr>
      <xdr:spPr bwMode="auto">
        <a:xfrm>
          <a:off x="7105650" y="16764000"/>
          <a:ext cx="0" cy="0"/>
        </a:xfrm>
        <a:custGeom>
          <a:avLst/>
          <a:gdLst>
            <a:gd name="T0" fmla="*/ 0 w 111"/>
            <a:gd name="T1" fmla="*/ 0 h 53"/>
            <a:gd name="T2" fmla="*/ 0 w 111"/>
            <a:gd name="T3" fmla="*/ 0 h 53"/>
            <a:gd name="T4" fmla="*/ 0 w 111"/>
            <a:gd name="T5" fmla="*/ 0 h 53"/>
            <a:gd name="T6" fmla="*/ 0 w 111"/>
            <a:gd name="T7" fmla="*/ 0 h 53"/>
            <a:gd name="T8" fmla="*/ 0 60000 65536"/>
            <a:gd name="T9" fmla="*/ 0 60000 65536"/>
            <a:gd name="T10" fmla="*/ 0 60000 65536"/>
            <a:gd name="T11" fmla="*/ 0 60000 65536"/>
            <a:gd name="T12" fmla="*/ 0 w 111"/>
            <a:gd name="T13" fmla="*/ 0 h 53"/>
            <a:gd name="T14" fmla="*/ 111 w 111"/>
            <a:gd name="T15" fmla="*/ 53 h 53"/>
          </a:gdLst>
          <a:ahLst/>
          <a:cxnLst>
            <a:cxn ang="T8">
              <a:pos x="T0" y="T1"/>
            </a:cxn>
            <a:cxn ang="T9">
              <a:pos x="T2" y="T3"/>
            </a:cxn>
            <a:cxn ang="T10">
              <a:pos x="T4" y="T5"/>
            </a:cxn>
            <a:cxn ang="T11">
              <a:pos x="T6" y="T7"/>
            </a:cxn>
          </a:cxnLst>
          <a:rect l="T12" t="T13" r="T14" b="T15"/>
          <a:pathLst>
            <a:path w="111" h="53">
              <a:moveTo>
                <a:pt x="0" y="51"/>
              </a:moveTo>
              <a:lnTo>
                <a:pt x="0" y="0"/>
              </a:lnTo>
              <a:lnTo>
                <a:pt x="111" y="0"/>
              </a:lnTo>
              <a:lnTo>
                <a:pt x="111" y="53"/>
              </a:lnTo>
            </a:path>
          </a:pathLst>
        </a:custGeom>
        <a:noFill/>
        <a:ln w="19050">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2" name="Freeform 61"/>
        <xdr:cNvSpPr>
          <a:spLocks/>
        </xdr:cNvSpPr>
      </xdr:nvSpPr>
      <xdr:spPr bwMode="auto">
        <a:xfrm>
          <a:off x="7105650" y="16764000"/>
          <a:ext cx="0" cy="0"/>
        </a:xfrm>
        <a:custGeom>
          <a:avLst/>
          <a:gdLst>
            <a:gd name="T0" fmla="*/ 0 w 20"/>
            <a:gd name="T1" fmla="*/ 0 h 41"/>
            <a:gd name="T2" fmla="*/ 0 w 20"/>
            <a:gd name="T3" fmla="*/ 0 h 41"/>
            <a:gd name="T4" fmla="*/ 0 w 20"/>
            <a:gd name="T5" fmla="*/ 0 h 41"/>
            <a:gd name="T6" fmla="*/ 0 w 20"/>
            <a:gd name="T7" fmla="*/ 0 h 41"/>
            <a:gd name="T8" fmla="*/ 0 w 20"/>
            <a:gd name="T9" fmla="*/ 0 h 41"/>
            <a:gd name="T10" fmla="*/ 0 w 20"/>
            <a:gd name="T11" fmla="*/ 0 h 41"/>
            <a:gd name="T12" fmla="*/ 0 60000 65536"/>
            <a:gd name="T13" fmla="*/ 0 60000 65536"/>
            <a:gd name="T14" fmla="*/ 0 60000 65536"/>
            <a:gd name="T15" fmla="*/ 0 60000 65536"/>
            <a:gd name="T16" fmla="*/ 0 60000 65536"/>
            <a:gd name="T17" fmla="*/ 0 60000 65536"/>
            <a:gd name="T18" fmla="*/ 0 w 20"/>
            <a:gd name="T19" fmla="*/ 0 h 41"/>
            <a:gd name="T20" fmla="*/ 20 w 20"/>
            <a:gd name="T21" fmla="*/ 41 h 41"/>
          </a:gdLst>
          <a:ahLst/>
          <a:cxnLst>
            <a:cxn ang="T12">
              <a:pos x="T0" y="T1"/>
            </a:cxn>
            <a:cxn ang="T13">
              <a:pos x="T2" y="T3"/>
            </a:cxn>
            <a:cxn ang="T14">
              <a:pos x="T4" y="T5"/>
            </a:cxn>
            <a:cxn ang="T15">
              <a:pos x="T6" y="T7"/>
            </a:cxn>
            <a:cxn ang="T16">
              <a:pos x="T8" y="T9"/>
            </a:cxn>
            <a:cxn ang="T17">
              <a:pos x="T10" y="T11"/>
            </a:cxn>
          </a:cxnLst>
          <a:rect l="T18" t="T19" r="T20" b="T21"/>
          <a:pathLst>
            <a:path w="20" h="41">
              <a:moveTo>
                <a:pt x="12" y="1"/>
              </a:moveTo>
              <a:lnTo>
                <a:pt x="0" y="0"/>
              </a:lnTo>
              <a:lnTo>
                <a:pt x="0" y="41"/>
              </a:lnTo>
              <a:lnTo>
                <a:pt x="11" y="41"/>
              </a:lnTo>
              <a:lnTo>
                <a:pt x="11" y="6"/>
              </a:lnTo>
              <a:lnTo>
                <a:pt x="20" y="6"/>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3" name="Freeform 62"/>
        <xdr:cNvSpPr>
          <a:spLocks/>
        </xdr:cNvSpPr>
      </xdr:nvSpPr>
      <xdr:spPr bwMode="auto">
        <a:xfrm>
          <a:off x="7105650" y="16764000"/>
          <a:ext cx="0" cy="0"/>
        </a:xfrm>
        <a:custGeom>
          <a:avLst/>
          <a:gdLst>
            <a:gd name="T0" fmla="*/ 0 w 23"/>
            <a:gd name="T1" fmla="*/ 0 h 43"/>
            <a:gd name="T2" fmla="*/ 0 w 23"/>
            <a:gd name="T3" fmla="*/ 0 h 43"/>
            <a:gd name="T4" fmla="*/ 0 w 23"/>
            <a:gd name="T5" fmla="*/ 0 h 43"/>
            <a:gd name="T6" fmla="*/ 0 w 23"/>
            <a:gd name="T7" fmla="*/ 0 h 43"/>
            <a:gd name="T8" fmla="*/ 0 w 23"/>
            <a:gd name="T9" fmla="*/ 0 h 43"/>
            <a:gd name="T10" fmla="*/ 0 w 23"/>
            <a:gd name="T11" fmla="*/ 0 h 43"/>
            <a:gd name="T12" fmla="*/ 0 60000 65536"/>
            <a:gd name="T13" fmla="*/ 0 60000 65536"/>
            <a:gd name="T14" fmla="*/ 0 60000 65536"/>
            <a:gd name="T15" fmla="*/ 0 60000 65536"/>
            <a:gd name="T16" fmla="*/ 0 60000 65536"/>
            <a:gd name="T17" fmla="*/ 0 60000 65536"/>
            <a:gd name="T18" fmla="*/ 0 w 23"/>
            <a:gd name="T19" fmla="*/ 0 h 43"/>
            <a:gd name="T20" fmla="*/ 23 w 23"/>
            <a:gd name="T21" fmla="*/ 43 h 43"/>
          </a:gdLst>
          <a:ahLst/>
          <a:cxnLst>
            <a:cxn ang="T12">
              <a:pos x="T0" y="T1"/>
            </a:cxn>
            <a:cxn ang="T13">
              <a:pos x="T2" y="T3"/>
            </a:cxn>
            <a:cxn ang="T14">
              <a:pos x="T4" y="T5"/>
            </a:cxn>
            <a:cxn ang="T15">
              <a:pos x="T6" y="T7"/>
            </a:cxn>
            <a:cxn ang="T16">
              <a:pos x="T8" y="T9"/>
            </a:cxn>
            <a:cxn ang="T17">
              <a:pos x="T10" y="T11"/>
            </a:cxn>
          </a:cxnLst>
          <a:rect l="T18" t="T19" r="T20" b="T21"/>
          <a:pathLst>
            <a:path w="23" h="43">
              <a:moveTo>
                <a:pt x="0" y="0"/>
              </a:moveTo>
              <a:lnTo>
                <a:pt x="7" y="0"/>
              </a:lnTo>
              <a:lnTo>
                <a:pt x="7" y="43"/>
              </a:lnTo>
              <a:lnTo>
                <a:pt x="14" y="43"/>
              </a:lnTo>
              <a:lnTo>
                <a:pt x="14" y="0"/>
              </a:lnTo>
              <a:lnTo>
                <a:pt x="23" y="0"/>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4" name="Freeform 63"/>
        <xdr:cNvSpPr>
          <a:spLocks/>
        </xdr:cNvSpPr>
      </xdr:nvSpPr>
      <xdr:spPr bwMode="auto">
        <a:xfrm>
          <a:off x="7105650" y="16764000"/>
          <a:ext cx="0" cy="0"/>
        </a:xfrm>
        <a:custGeom>
          <a:avLst/>
          <a:gdLst>
            <a:gd name="T0" fmla="*/ 0 w 69"/>
            <a:gd name="T1" fmla="*/ 0 h 35"/>
            <a:gd name="T2" fmla="*/ 0 w 69"/>
            <a:gd name="T3" fmla="*/ 0 h 35"/>
            <a:gd name="T4" fmla="*/ 0 w 69"/>
            <a:gd name="T5" fmla="*/ 0 h 35"/>
            <a:gd name="T6" fmla="*/ 0 w 69"/>
            <a:gd name="T7" fmla="*/ 0 h 35"/>
            <a:gd name="T8" fmla="*/ 0 w 69"/>
            <a:gd name="T9" fmla="*/ 0 h 35"/>
            <a:gd name="T10" fmla="*/ 0 60000 65536"/>
            <a:gd name="T11" fmla="*/ 0 60000 65536"/>
            <a:gd name="T12" fmla="*/ 0 60000 65536"/>
            <a:gd name="T13" fmla="*/ 0 60000 65536"/>
            <a:gd name="T14" fmla="*/ 0 60000 65536"/>
            <a:gd name="T15" fmla="*/ 0 w 69"/>
            <a:gd name="T16" fmla="*/ 0 h 35"/>
            <a:gd name="T17" fmla="*/ 69 w 69"/>
            <a:gd name="T18" fmla="*/ 35 h 35"/>
          </a:gdLst>
          <a:ahLst/>
          <a:cxnLst>
            <a:cxn ang="T10">
              <a:pos x="T0" y="T1"/>
            </a:cxn>
            <a:cxn ang="T11">
              <a:pos x="T2" y="T3"/>
            </a:cxn>
            <a:cxn ang="T12">
              <a:pos x="T4" y="T5"/>
            </a:cxn>
            <a:cxn ang="T13">
              <a:pos x="T6" y="T7"/>
            </a:cxn>
            <a:cxn ang="T14">
              <a:pos x="T8" y="T9"/>
            </a:cxn>
          </a:cxnLst>
          <a:rect l="T15" t="T16" r="T17" b="T18"/>
          <a:pathLst>
            <a:path w="69" h="35">
              <a:moveTo>
                <a:pt x="1" y="0"/>
              </a:moveTo>
              <a:lnTo>
                <a:pt x="69" y="0"/>
              </a:lnTo>
              <a:lnTo>
                <a:pt x="69" y="35"/>
              </a:lnTo>
              <a:lnTo>
                <a:pt x="0" y="35"/>
              </a:lnTo>
              <a:lnTo>
                <a:pt x="1" y="0"/>
              </a:lnTo>
              <a:close/>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5" name="Freeform 64"/>
        <xdr:cNvSpPr>
          <a:spLocks/>
        </xdr:cNvSpPr>
      </xdr:nvSpPr>
      <xdr:spPr bwMode="auto">
        <a:xfrm>
          <a:off x="7105650" y="16764000"/>
          <a:ext cx="0" cy="0"/>
        </a:xfrm>
        <a:custGeom>
          <a:avLst/>
          <a:gdLst>
            <a:gd name="T0" fmla="*/ 0 w 69"/>
            <a:gd name="T1" fmla="*/ 0 h 35"/>
            <a:gd name="T2" fmla="*/ 0 w 69"/>
            <a:gd name="T3" fmla="*/ 0 h 35"/>
            <a:gd name="T4" fmla="*/ 0 w 69"/>
            <a:gd name="T5" fmla="*/ 0 h 35"/>
            <a:gd name="T6" fmla="*/ 0 w 69"/>
            <a:gd name="T7" fmla="*/ 0 h 35"/>
            <a:gd name="T8" fmla="*/ 0 w 69"/>
            <a:gd name="T9" fmla="*/ 0 h 35"/>
            <a:gd name="T10" fmla="*/ 0 60000 65536"/>
            <a:gd name="T11" fmla="*/ 0 60000 65536"/>
            <a:gd name="T12" fmla="*/ 0 60000 65536"/>
            <a:gd name="T13" fmla="*/ 0 60000 65536"/>
            <a:gd name="T14" fmla="*/ 0 60000 65536"/>
            <a:gd name="T15" fmla="*/ 0 w 69"/>
            <a:gd name="T16" fmla="*/ 0 h 35"/>
            <a:gd name="T17" fmla="*/ 69 w 69"/>
            <a:gd name="T18" fmla="*/ 35 h 35"/>
          </a:gdLst>
          <a:ahLst/>
          <a:cxnLst>
            <a:cxn ang="T10">
              <a:pos x="T0" y="T1"/>
            </a:cxn>
            <a:cxn ang="T11">
              <a:pos x="T2" y="T3"/>
            </a:cxn>
            <a:cxn ang="T12">
              <a:pos x="T4" y="T5"/>
            </a:cxn>
            <a:cxn ang="T13">
              <a:pos x="T6" y="T7"/>
            </a:cxn>
            <a:cxn ang="T14">
              <a:pos x="T8" y="T9"/>
            </a:cxn>
          </a:cxnLst>
          <a:rect l="T15" t="T16" r="T17" b="T18"/>
          <a:pathLst>
            <a:path w="69" h="35">
              <a:moveTo>
                <a:pt x="1" y="0"/>
              </a:moveTo>
              <a:lnTo>
                <a:pt x="69" y="0"/>
              </a:lnTo>
              <a:lnTo>
                <a:pt x="69" y="35"/>
              </a:lnTo>
              <a:lnTo>
                <a:pt x="0" y="35"/>
              </a:lnTo>
              <a:lnTo>
                <a:pt x="1" y="0"/>
              </a:lnTo>
              <a:close/>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6" name="Freeform 65"/>
        <xdr:cNvSpPr>
          <a:spLocks/>
        </xdr:cNvSpPr>
      </xdr:nvSpPr>
      <xdr:spPr bwMode="auto">
        <a:xfrm>
          <a:off x="7105650" y="16764000"/>
          <a:ext cx="0" cy="0"/>
        </a:xfrm>
        <a:custGeom>
          <a:avLst/>
          <a:gdLst>
            <a:gd name="T0" fmla="*/ 0 w 76"/>
            <a:gd name="T1" fmla="*/ 0 h 33"/>
            <a:gd name="T2" fmla="*/ 0 w 76"/>
            <a:gd name="T3" fmla="*/ 0 h 33"/>
            <a:gd name="T4" fmla="*/ 0 w 76"/>
            <a:gd name="T5" fmla="*/ 0 h 33"/>
            <a:gd name="T6" fmla="*/ 0 w 76"/>
            <a:gd name="T7" fmla="*/ 0 h 33"/>
            <a:gd name="T8" fmla="*/ 0 60000 65536"/>
            <a:gd name="T9" fmla="*/ 0 60000 65536"/>
            <a:gd name="T10" fmla="*/ 0 60000 65536"/>
            <a:gd name="T11" fmla="*/ 0 60000 65536"/>
            <a:gd name="T12" fmla="*/ 0 w 76"/>
            <a:gd name="T13" fmla="*/ 0 h 33"/>
            <a:gd name="T14" fmla="*/ 76 w 76"/>
            <a:gd name="T15" fmla="*/ 33 h 33"/>
          </a:gdLst>
          <a:ahLst/>
          <a:cxnLst>
            <a:cxn ang="T8">
              <a:pos x="T0" y="T1"/>
            </a:cxn>
            <a:cxn ang="T9">
              <a:pos x="T2" y="T3"/>
            </a:cxn>
            <a:cxn ang="T10">
              <a:pos x="T4" y="T5"/>
            </a:cxn>
            <a:cxn ang="T11">
              <a:pos x="T6" y="T7"/>
            </a:cxn>
          </a:cxnLst>
          <a:rect l="T12" t="T13" r="T14" b="T15"/>
          <a:pathLst>
            <a:path w="76" h="33">
              <a:moveTo>
                <a:pt x="0" y="0"/>
              </a:moveTo>
              <a:lnTo>
                <a:pt x="0" y="33"/>
              </a:lnTo>
              <a:lnTo>
                <a:pt x="76" y="33"/>
              </a:lnTo>
              <a:lnTo>
                <a:pt x="76" y="1"/>
              </a:lnTo>
            </a:path>
          </a:pathLst>
        </a:custGeom>
        <a:noFill/>
        <a:ln w="9525">
          <a:solidFill>
            <a:srgbClr val="000000"/>
          </a:solidFill>
          <a:round/>
          <a:headEnd/>
          <a:tailEnd/>
        </a:ln>
      </xdr:spPr>
    </xdr:sp>
    <xdr:clientData/>
  </xdr:twoCellAnchor>
  <xdr:twoCellAnchor>
    <xdr:from>
      <xdr:col>7</xdr:col>
      <xdr:colOff>0</xdr:colOff>
      <xdr:row>30</xdr:row>
      <xdr:rowOff>0</xdr:rowOff>
    </xdr:from>
    <xdr:to>
      <xdr:col>7</xdr:col>
      <xdr:colOff>0</xdr:colOff>
      <xdr:row>30</xdr:row>
      <xdr:rowOff>0</xdr:rowOff>
    </xdr:to>
    <xdr:sp macro="" textlink="">
      <xdr:nvSpPr>
        <xdr:cNvPr id="2540257" name="Freeform 66"/>
        <xdr:cNvSpPr>
          <a:spLocks/>
        </xdr:cNvSpPr>
      </xdr:nvSpPr>
      <xdr:spPr bwMode="auto">
        <a:xfrm>
          <a:off x="7105650" y="16764000"/>
          <a:ext cx="0" cy="0"/>
        </a:xfrm>
        <a:custGeom>
          <a:avLst/>
          <a:gdLst>
            <a:gd name="T0" fmla="*/ 0 w 151"/>
            <a:gd name="T1" fmla="*/ 0 h 44"/>
            <a:gd name="T2" fmla="*/ 0 w 151"/>
            <a:gd name="T3" fmla="*/ 0 h 44"/>
            <a:gd name="T4" fmla="*/ 0 w 151"/>
            <a:gd name="T5" fmla="*/ 0 h 44"/>
            <a:gd name="T6" fmla="*/ 0 w 151"/>
            <a:gd name="T7" fmla="*/ 0 h 44"/>
            <a:gd name="T8" fmla="*/ 0 60000 65536"/>
            <a:gd name="T9" fmla="*/ 0 60000 65536"/>
            <a:gd name="T10" fmla="*/ 0 60000 65536"/>
            <a:gd name="T11" fmla="*/ 0 60000 65536"/>
            <a:gd name="T12" fmla="*/ 0 w 151"/>
            <a:gd name="T13" fmla="*/ 0 h 44"/>
            <a:gd name="T14" fmla="*/ 151 w 151"/>
            <a:gd name="T15" fmla="*/ 44 h 44"/>
          </a:gdLst>
          <a:ahLst/>
          <a:cxnLst>
            <a:cxn ang="T8">
              <a:pos x="T0" y="T1"/>
            </a:cxn>
            <a:cxn ang="T9">
              <a:pos x="T2" y="T3"/>
            </a:cxn>
            <a:cxn ang="T10">
              <a:pos x="T4" y="T5"/>
            </a:cxn>
            <a:cxn ang="T11">
              <a:pos x="T6" y="T7"/>
            </a:cxn>
          </a:cxnLst>
          <a:rect l="T12" t="T13" r="T14" b="T15"/>
          <a:pathLst>
            <a:path w="151" h="44">
              <a:moveTo>
                <a:pt x="0" y="0"/>
              </a:moveTo>
              <a:lnTo>
                <a:pt x="37" y="0"/>
              </a:lnTo>
              <a:lnTo>
                <a:pt x="126" y="44"/>
              </a:lnTo>
              <a:lnTo>
                <a:pt x="151" y="44"/>
              </a:lnTo>
            </a:path>
          </a:pathLst>
        </a:cu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76200</xdr:colOff>
      <xdr:row>13</xdr:row>
      <xdr:rowOff>9525</xdr:rowOff>
    </xdr:from>
    <xdr:to>
      <xdr:col>16</xdr:col>
      <xdr:colOff>285750</xdr:colOff>
      <xdr:row>21</xdr:row>
      <xdr:rowOff>152400</xdr:rowOff>
    </xdr:to>
    <xdr:graphicFrame macro="">
      <xdr:nvGraphicFramePr>
        <xdr:cNvPr id="228784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3</xdr:row>
      <xdr:rowOff>9525</xdr:rowOff>
    </xdr:from>
    <xdr:to>
      <xdr:col>16</xdr:col>
      <xdr:colOff>314325</xdr:colOff>
      <xdr:row>12</xdr:row>
      <xdr:rowOff>95250</xdr:rowOff>
    </xdr:to>
    <xdr:graphicFrame macro="">
      <xdr:nvGraphicFramePr>
        <xdr:cNvPr id="228785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108</xdr:row>
      <xdr:rowOff>0</xdr:rowOff>
    </xdr:from>
    <xdr:to>
      <xdr:col>17</xdr:col>
      <xdr:colOff>428625</xdr:colOff>
      <xdr:row>122</xdr:row>
      <xdr:rowOff>180975</xdr:rowOff>
    </xdr:to>
    <xdr:graphicFrame macro="">
      <xdr:nvGraphicFramePr>
        <xdr:cNvPr id="228785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323850</xdr:colOff>
      <xdr:row>25</xdr:row>
      <xdr:rowOff>28575</xdr:rowOff>
    </xdr:from>
    <xdr:to>
      <xdr:col>17</xdr:col>
      <xdr:colOff>295275</xdr:colOff>
      <xdr:row>39</xdr:row>
      <xdr:rowOff>104775</xdr:rowOff>
    </xdr:to>
    <xdr:graphicFrame macro="">
      <xdr:nvGraphicFramePr>
        <xdr:cNvPr id="228785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46</xdr:row>
      <xdr:rowOff>28575</xdr:rowOff>
    </xdr:from>
    <xdr:to>
      <xdr:col>16</xdr:col>
      <xdr:colOff>314325</xdr:colOff>
      <xdr:row>58</xdr:row>
      <xdr:rowOff>152400</xdr:rowOff>
    </xdr:to>
    <xdr:graphicFrame macro="">
      <xdr:nvGraphicFramePr>
        <xdr:cNvPr id="228785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600075</xdr:colOff>
      <xdr:row>0</xdr:row>
      <xdr:rowOff>0</xdr:rowOff>
    </xdr:from>
    <xdr:to>
      <xdr:col>28</xdr:col>
      <xdr:colOff>257175</xdr:colOff>
      <xdr:row>0</xdr:row>
      <xdr:rowOff>133350</xdr:rowOff>
    </xdr:to>
    <xdr:sp macro="" textlink="">
      <xdr:nvSpPr>
        <xdr:cNvPr id="2287854" name="Freeform 26"/>
        <xdr:cNvSpPr>
          <a:spLocks/>
        </xdr:cNvSpPr>
      </xdr:nvSpPr>
      <xdr:spPr bwMode="auto">
        <a:xfrm>
          <a:off x="17078325" y="0"/>
          <a:ext cx="876300" cy="133350"/>
        </a:xfrm>
        <a:custGeom>
          <a:avLst/>
          <a:gdLst>
            <a:gd name="T0" fmla="*/ 0 w 122"/>
            <a:gd name="T1" fmla="*/ 0 h 67"/>
            <a:gd name="T2" fmla="*/ 0 w 122"/>
            <a:gd name="T3" fmla="*/ 2147483647 h 67"/>
            <a:gd name="T4" fmla="*/ 2147483647 w 122"/>
            <a:gd name="T5" fmla="*/ 2147483647 h 67"/>
            <a:gd name="T6" fmla="*/ 2147483647 w 122"/>
            <a:gd name="T7" fmla="*/ 2147483647 h 67"/>
            <a:gd name="T8" fmla="*/ 0 w 122"/>
            <a:gd name="T9" fmla="*/ 0 h 67"/>
            <a:gd name="T10" fmla="*/ 0 60000 65536"/>
            <a:gd name="T11" fmla="*/ 0 60000 65536"/>
            <a:gd name="T12" fmla="*/ 0 60000 65536"/>
            <a:gd name="T13" fmla="*/ 0 60000 65536"/>
            <a:gd name="T14" fmla="*/ 0 60000 65536"/>
            <a:gd name="T15" fmla="*/ 0 w 122"/>
            <a:gd name="T16" fmla="*/ 0 h 67"/>
            <a:gd name="T17" fmla="*/ 122 w 122"/>
            <a:gd name="T18" fmla="*/ 67 h 67"/>
          </a:gdLst>
          <a:ahLst/>
          <a:cxnLst>
            <a:cxn ang="T10">
              <a:pos x="T0" y="T1"/>
            </a:cxn>
            <a:cxn ang="T11">
              <a:pos x="T2" y="T3"/>
            </a:cxn>
            <a:cxn ang="T12">
              <a:pos x="T4" y="T5"/>
            </a:cxn>
            <a:cxn ang="T13">
              <a:pos x="T6" y="T7"/>
            </a:cxn>
            <a:cxn ang="T14">
              <a:pos x="T8" y="T9"/>
            </a:cxn>
          </a:cxnLst>
          <a:rect l="T15" t="T16" r="T17" b="T18"/>
          <a:pathLst>
            <a:path w="122" h="67">
              <a:moveTo>
                <a:pt x="0" y="0"/>
              </a:moveTo>
              <a:lnTo>
                <a:pt x="0" y="65"/>
              </a:lnTo>
              <a:cubicBezTo>
                <a:pt x="39" y="66"/>
                <a:pt x="79" y="67"/>
                <a:pt x="118" y="67"/>
              </a:cubicBezTo>
              <a:cubicBezTo>
                <a:pt x="120" y="67"/>
                <a:pt x="122" y="61"/>
                <a:pt x="122" y="61"/>
              </a:cubicBezTo>
              <a:lnTo>
                <a:pt x="0" y="0"/>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K48"/>
  <sheetViews>
    <sheetView tabSelected="1" view="pageBreakPreview" zoomScale="70" zoomScaleNormal="150" workbookViewId="0">
      <selection activeCell="A23" sqref="A23:AK23"/>
    </sheetView>
  </sheetViews>
  <sheetFormatPr defaultRowHeight="12.75"/>
  <cols>
    <col min="1" max="12" width="2.42578125" style="52" customWidth="1"/>
    <col min="13" max="13" width="2.85546875" style="52" customWidth="1"/>
    <col min="14" max="17" width="2.42578125" style="52" customWidth="1"/>
    <col min="18" max="18" width="4.85546875" style="52" customWidth="1"/>
    <col min="19" max="36" width="2.42578125" style="52" customWidth="1"/>
    <col min="37" max="37" width="3.28515625" style="52" customWidth="1"/>
    <col min="38" max="55" width="2.42578125" style="52" customWidth="1"/>
    <col min="56" max="16384" width="9.140625" style="52"/>
  </cols>
  <sheetData>
    <row r="1" spans="1:37">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7"/>
    </row>
    <row r="2" spans="1:37">
      <c r="A2" s="58"/>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60"/>
    </row>
    <row r="3" spans="1:37">
      <c r="A3" s="58"/>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60"/>
    </row>
    <row r="4" spans="1:37">
      <c r="A4" s="58"/>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60"/>
    </row>
    <row r="5" spans="1:37">
      <c r="A5" s="58"/>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60"/>
    </row>
    <row r="6" spans="1:37">
      <c r="A6" s="58"/>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60"/>
    </row>
    <row r="7" spans="1:37">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60"/>
    </row>
    <row r="8" spans="1:37">
      <c r="A8" s="58"/>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60"/>
    </row>
    <row r="9" spans="1:37">
      <c r="A9" s="58"/>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60"/>
    </row>
    <row r="10" spans="1:37" ht="23.25">
      <c r="A10" s="58"/>
      <c r="B10" s="59"/>
      <c r="C10" s="324" t="s">
        <v>218</v>
      </c>
      <c r="D10" s="324"/>
      <c r="E10" s="324"/>
      <c r="F10" s="324"/>
      <c r="G10" s="324"/>
      <c r="H10" s="324"/>
      <c r="I10" s="324"/>
      <c r="J10" s="324"/>
      <c r="K10" s="324"/>
      <c r="L10" s="324"/>
      <c r="M10" s="324"/>
      <c r="N10" s="324"/>
      <c r="O10" s="324"/>
      <c r="P10" s="324"/>
      <c r="Q10" s="324"/>
      <c r="R10" s="324"/>
      <c r="S10" s="324"/>
      <c r="T10" s="324"/>
      <c r="U10" s="324"/>
      <c r="V10" s="324"/>
      <c r="W10" s="324"/>
      <c r="X10" s="324"/>
      <c r="Y10" s="324"/>
      <c r="Z10" s="324"/>
      <c r="AA10" s="324"/>
      <c r="AB10" s="324"/>
      <c r="AC10" s="324"/>
      <c r="AD10" s="324"/>
      <c r="AE10" s="324"/>
      <c r="AF10" s="324"/>
      <c r="AG10" s="324"/>
      <c r="AH10" s="324"/>
      <c r="AI10" s="324"/>
      <c r="AJ10" s="59"/>
      <c r="AK10" s="60"/>
    </row>
    <row r="11" spans="1:37" ht="13.5">
      <c r="A11" s="58"/>
      <c r="B11" s="59"/>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59"/>
      <c r="AK11" s="60"/>
    </row>
    <row r="12" spans="1:37" ht="20.25">
      <c r="A12" s="58"/>
      <c r="B12" s="59"/>
      <c r="C12" s="325" t="s">
        <v>219</v>
      </c>
      <c r="D12" s="325"/>
      <c r="E12" s="325"/>
      <c r="F12" s="325"/>
      <c r="G12" s="325"/>
      <c r="H12" s="325"/>
      <c r="I12" s="325"/>
      <c r="J12" s="325"/>
      <c r="K12" s="325"/>
      <c r="L12" s="325"/>
      <c r="M12" s="325"/>
      <c r="N12" s="325"/>
      <c r="O12" s="325"/>
      <c r="P12" s="325"/>
      <c r="Q12" s="325"/>
      <c r="R12" s="325"/>
      <c r="S12" s="325"/>
      <c r="T12" s="325"/>
      <c r="U12" s="325"/>
      <c r="V12" s="325"/>
      <c r="W12" s="325"/>
      <c r="X12" s="325"/>
      <c r="Y12" s="325"/>
      <c r="Z12" s="325"/>
      <c r="AA12" s="325"/>
      <c r="AB12" s="325"/>
      <c r="AC12" s="325"/>
      <c r="AD12" s="325"/>
      <c r="AE12" s="325"/>
      <c r="AF12" s="325"/>
      <c r="AG12" s="325"/>
      <c r="AH12" s="325"/>
      <c r="AI12" s="325"/>
      <c r="AJ12" s="59"/>
      <c r="AK12" s="60"/>
    </row>
    <row r="13" spans="1:37" ht="19.5">
      <c r="A13" s="58"/>
      <c r="B13" s="59"/>
      <c r="C13" s="326"/>
      <c r="D13" s="326"/>
      <c r="E13" s="326"/>
      <c r="F13" s="326"/>
      <c r="G13" s="326"/>
      <c r="H13" s="326"/>
      <c r="I13" s="326"/>
      <c r="J13" s="326"/>
      <c r="K13" s="326"/>
      <c r="L13" s="326"/>
      <c r="M13" s="326"/>
      <c r="N13" s="326"/>
      <c r="O13" s="326"/>
      <c r="P13" s="326"/>
      <c r="Q13" s="326"/>
      <c r="R13" s="326"/>
      <c r="S13" s="326"/>
      <c r="T13" s="326"/>
      <c r="U13" s="326"/>
      <c r="V13" s="326"/>
      <c r="W13" s="326"/>
      <c r="X13" s="326"/>
      <c r="Y13" s="326"/>
      <c r="Z13" s="326"/>
      <c r="AA13" s="326"/>
      <c r="AB13" s="326"/>
      <c r="AC13" s="326"/>
      <c r="AD13" s="326"/>
      <c r="AE13" s="326"/>
      <c r="AF13" s="326"/>
      <c r="AG13" s="326"/>
      <c r="AH13" s="326"/>
      <c r="AI13" s="326"/>
      <c r="AJ13" s="59"/>
      <c r="AK13" s="60"/>
    </row>
    <row r="14" spans="1:37" ht="19.5">
      <c r="A14" s="58"/>
      <c r="B14" s="59"/>
      <c r="C14" s="326"/>
      <c r="D14" s="326"/>
      <c r="E14" s="326"/>
      <c r="F14" s="326"/>
      <c r="G14" s="326"/>
      <c r="H14" s="326"/>
      <c r="I14" s="326"/>
      <c r="J14" s="326"/>
      <c r="K14" s="326"/>
      <c r="L14" s="326"/>
      <c r="M14" s="326"/>
      <c r="N14" s="326"/>
      <c r="O14" s="326"/>
      <c r="P14" s="326"/>
      <c r="Q14" s="326"/>
      <c r="R14" s="326"/>
      <c r="S14" s="326"/>
      <c r="T14" s="326"/>
      <c r="U14" s="326"/>
      <c r="V14" s="326"/>
      <c r="W14" s="326"/>
      <c r="X14" s="326"/>
      <c r="Y14" s="326"/>
      <c r="Z14" s="326"/>
      <c r="AA14" s="326"/>
      <c r="AB14" s="326"/>
      <c r="AC14" s="326"/>
      <c r="AD14" s="326"/>
      <c r="AE14" s="326"/>
      <c r="AF14" s="326"/>
      <c r="AG14" s="326"/>
      <c r="AH14" s="326"/>
      <c r="AI14" s="326"/>
      <c r="AJ14" s="59"/>
      <c r="AK14" s="60"/>
    </row>
    <row r="15" spans="1:37">
      <c r="A15" s="58"/>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60"/>
    </row>
    <row r="16" spans="1:37">
      <c r="A16" s="58"/>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60"/>
    </row>
    <row r="17" spans="1:37">
      <c r="A17" s="58"/>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60"/>
    </row>
    <row r="18" spans="1:37">
      <c r="A18" s="58"/>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60"/>
    </row>
    <row r="19" spans="1:37">
      <c r="A19" s="58"/>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60"/>
    </row>
    <row r="20" spans="1:37">
      <c r="A20" s="58"/>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60"/>
    </row>
    <row r="21" spans="1:37" ht="20.25">
      <c r="A21" s="58"/>
      <c r="B21" s="59"/>
      <c r="C21" s="325" t="s">
        <v>220</v>
      </c>
      <c r="D21" s="325"/>
      <c r="E21" s="325"/>
      <c r="F21" s="325"/>
      <c r="G21" s="325"/>
      <c r="H21" s="325"/>
      <c r="I21" s="325"/>
      <c r="J21" s="325"/>
      <c r="K21" s="325"/>
      <c r="L21" s="325"/>
      <c r="M21" s="325"/>
      <c r="N21" s="325"/>
      <c r="O21" s="325"/>
      <c r="P21" s="325"/>
      <c r="Q21" s="325"/>
      <c r="R21" s="325"/>
      <c r="S21" s="325"/>
      <c r="T21" s="325"/>
      <c r="U21" s="325"/>
      <c r="V21" s="325"/>
      <c r="W21" s="325"/>
      <c r="X21" s="325"/>
      <c r="Y21" s="325"/>
      <c r="Z21" s="325"/>
      <c r="AA21" s="325"/>
      <c r="AB21" s="325"/>
      <c r="AC21" s="325"/>
      <c r="AD21" s="325"/>
      <c r="AE21" s="325"/>
      <c r="AF21" s="325"/>
      <c r="AG21" s="325"/>
      <c r="AH21" s="325"/>
      <c r="AI21" s="325"/>
      <c r="AJ21" s="59"/>
      <c r="AK21" s="60"/>
    </row>
    <row r="22" spans="1:37" ht="20.25">
      <c r="A22" s="58"/>
      <c r="B22" s="59"/>
      <c r="C22" s="325" t="s">
        <v>221</v>
      </c>
      <c r="D22" s="325"/>
      <c r="E22" s="325"/>
      <c r="F22" s="325"/>
      <c r="G22" s="325"/>
      <c r="H22" s="325"/>
      <c r="I22" s="325"/>
      <c r="J22" s="325"/>
      <c r="K22" s="325"/>
      <c r="L22" s="325"/>
      <c r="M22" s="325"/>
      <c r="N22" s="325"/>
      <c r="O22" s="325"/>
      <c r="P22" s="325"/>
      <c r="Q22" s="325"/>
      <c r="R22" s="325"/>
      <c r="S22" s="325"/>
      <c r="T22" s="325"/>
      <c r="U22" s="325"/>
      <c r="V22" s="325"/>
      <c r="W22" s="325"/>
      <c r="X22" s="325"/>
      <c r="Y22" s="325"/>
      <c r="Z22" s="325"/>
      <c r="AA22" s="325"/>
      <c r="AB22" s="325"/>
      <c r="AC22" s="325"/>
      <c r="AD22" s="325"/>
      <c r="AE22" s="325"/>
      <c r="AF22" s="325"/>
      <c r="AG22" s="325"/>
      <c r="AH22" s="325"/>
      <c r="AI22" s="325"/>
      <c r="AJ22" s="59"/>
      <c r="AK22" s="60"/>
    </row>
    <row r="23" spans="1:37" ht="113.25" customHeight="1">
      <c r="A23" s="327" t="s">
        <v>278</v>
      </c>
      <c r="B23" s="328"/>
      <c r="C23" s="328"/>
      <c r="D23" s="328"/>
      <c r="E23" s="328"/>
      <c r="F23" s="328"/>
      <c r="G23" s="328"/>
      <c r="H23" s="328"/>
      <c r="I23" s="328"/>
      <c r="J23" s="328"/>
      <c r="K23" s="328"/>
      <c r="L23" s="328"/>
      <c r="M23" s="328"/>
      <c r="N23" s="328"/>
      <c r="O23" s="328"/>
      <c r="P23" s="328"/>
      <c r="Q23" s="328"/>
      <c r="R23" s="328"/>
      <c r="S23" s="328"/>
      <c r="T23" s="328"/>
      <c r="U23" s="328"/>
      <c r="V23" s="328"/>
      <c r="W23" s="328"/>
      <c r="X23" s="328"/>
      <c r="Y23" s="328"/>
      <c r="Z23" s="328"/>
      <c r="AA23" s="328"/>
      <c r="AB23" s="328"/>
      <c r="AC23" s="328"/>
      <c r="AD23" s="328"/>
      <c r="AE23" s="328"/>
      <c r="AF23" s="328"/>
      <c r="AG23" s="328"/>
      <c r="AH23" s="328"/>
      <c r="AI23" s="328"/>
      <c r="AJ23" s="328"/>
      <c r="AK23" s="329"/>
    </row>
    <row r="24" spans="1:37" ht="11.25" customHeight="1">
      <c r="A24" s="58"/>
      <c r="B24" s="59"/>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59"/>
      <c r="AK24" s="60"/>
    </row>
    <row r="25" spans="1:37">
      <c r="A25" s="58"/>
      <c r="B25" s="59"/>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9"/>
      <c r="AK25" s="60"/>
    </row>
    <row r="26" spans="1:37">
      <c r="A26" s="58"/>
      <c r="B26" s="59"/>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9"/>
      <c r="AK26" s="60"/>
    </row>
    <row r="27" spans="1:37">
      <c r="A27" s="58"/>
      <c r="B27" s="59"/>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9"/>
      <c r="AK27" s="60"/>
    </row>
    <row r="28" spans="1:37">
      <c r="A28" s="58"/>
      <c r="B28" s="59"/>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9"/>
      <c r="AK28" s="60"/>
    </row>
    <row r="29" spans="1:37" ht="18.75">
      <c r="A29" s="58"/>
      <c r="B29" s="59"/>
      <c r="C29" s="323"/>
      <c r="D29" s="323"/>
      <c r="E29" s="323"/>
      <c r="F29" s="323"/>
      <c r="G29" s="323"/>
      <c r="H29" s="323"/>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59"/>
      <c r="AK29" s="60"/>
    </row>
    <row r="30" spans="1:37" ht="18.75">
      <c r="A30" s="58"/>
      <c r="B30" s="59"/>
      <c r="C30" s="323" t="s">
        <v>277</v>
      </c>
      <c r="D30" s="323"/>
      <c r="E30" s="323"/>
      <c r="F30" s="323"/>
      <c r="G30" s="323"/>
      <c r="H30" s="323"/>
      <c r="I30" s="323"/>
      <c r="J30" s="323"/>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59"/>
      <c r="AK30" s="60"/>
    </row>
    <row r="31" spans="1:37">
      <c r="A31" s="58"/>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60"/>
    </row>
    <row r="32" spans="1:37">
      <c r="A32" s="58"/>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60"/>
    </row>
    <row r="33" spans="1:37">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60"/>
    </row>
    <row r="34" spans="1:37">
      <c r="A34" s="58"/>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60"/>
    </row>
    <row r="35" spans="1:37">
      <c r="A35" s="58"/>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60"/>
    </row>
    <row r="36" spans="1:37">
      <c r="A36" s="58"/>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60"/>
    </row>
    <row r="37" spans="1:37">
      <c r="A37" s="58"/>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60"/>
    </row>
    <row r="38" spans="1:37">
      <c r="A38" s="58"/>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63"/>
      <c r="AC38" s="59"/>
      <c r="AD38" s="59"/>
      <c r="AE38" s="59"/>
      <c r="AF38" s="59"/>
      <c r="AG38" s="59"/>
      <c r="AH38" s="59"/>
      <c r="AI38" s="59"/>
      <c r="AJ38" s="59"/>
      <c r="AK38" s="60"/>
    </row>
    <row r="39" spans="1:37">
      <c r="A39" s="58"/>
      <c r="B39" s="59"/>
      <c r="C39" s="54"/>
      <c r="D39" s="54"/>
      <c r="E39" s="54"/>
      <c r="F39" s="54"/>
      <c r="G39" s="64"/>
      <c r="H39" s="64"/>
      <c r="I39" s="64"/>
      <c r="J39" s="64"/>
      <c r="K39" s="64"/>
      <c r="L39" s="64"/>
      <c r="M39" s="64"/>
      <c r="N39" s="64"/>
      <c r="O39" s="64"/>
      <c r="P39" s="64"/>
      <c r="Q39" s="64"/>
      <c r="R39" s="64"/>
      <c r="S39" s="64"/>
      <c r="T39" s="64"/>
      <c r="U39" s="64"/>
      <c r="V39" s="64"/>
      <c r="W39" s="64"/>
      <c r="X39" s="64"/>
      <c r="Y39" s="64"/>
      <c r="Z39" s="64"/>
      <c r="AA39" s="64"/>
      <c r="AB39" s="64"/>
      <c r="AC39" s="65"/>
      <c r="AD39" s="65"/>
      <c r="AE39" s="65"/>
      <c r="AF39" s="65"/>
      <c r="AG39" s="65"/>
      <c r="AH39" s="65"/>
      <c r="AI39" s="59"/>
      <c r="AJ39" s="59"/>
      <c r="AK39" s="60"/>
    </row>
    <row r="40" spans="1:37">
      <c r="A40" s="58"/>
      <c r="B40" s="59"/>
      <c r="C40" s="54"/>
      <c r="D40" s="54"/>
      <c r="E40" s="54"/>
      <c r="F40" s="54"/>
      <c r="G40" s="64"/>
      <c r="H40" s="64"/>
      <c r="I40" s="64"/>
      <c r="J40" s="64"/>
      <c r="K40" s="64"/>
      <c r="L40" s="64"/>
      <c r="M40" s="64"/>
      <c r="N40" s="64"/>
      <c r="O40" s="64"/>
      <c r="P40" s="64"/>
      <c r="Q40" s="64"/>
      <c r="R40" s="64"/>
      <c r="S40" s="64"/>
      <c r="T40" s="64"/>
      <c r="U40" s="64"/>
      <c r="V40" s="64"/>
      <c r="W40" s="64"/>
      <c r="X40" s="64"/>
      <c r="Y40" s="64"/>
      <c r="Z40" s="64"/>
      <c r="AA40" s="64"/>
      <c r="AB40" s="64"/>
      <c r="AC40" s="65"/>
      <c r="AD40" s="65"/>
      <c r="AE40" s="65"/>
      <c r="AF40" s="65"/>
      <c r="AG40" s="65"/>
      <c r="AH40" s="65"/>
      <c r="AI40" s="59"/>
      <c r="AJ40" s="59"/>
      <c r="AK40" s="60"/>
    </row>
    <row r="41" spans="1:37">
      <c r="A41" s="58"/>
      <c r="B41" s="59"/>
      <c r="C41" s="54"/>
      <c r="D41" s="54"/>
      <c r="E41" s="54"/>
      <c r="F41" s="54"/>
      <c r="G41" s="64"/>
      <c r="H41" s="64"/>
      <c r="I41" s="64"/>
      <c r="J41" s="64"/>
      <c r="K41" s="64"/>
      <c r="L41" s="64"/>
      <c r="M41" s="64"/>
      <c r="N41" s="64"/>
      <c r="O41" s="64"/>
      <c r="P41" s="64"/>
      <c r="Q41" s="64"/>
      <c r="R41" s="64"/>
      <c r="S41" s="64"/>
      <c r="T41" s="64"/>
      <c r="U41" s="64"/>
      <c r="V41" s="64"/>
      <c r="W41" s="64"/>
      <c r="X41" s="64"/>
      <c r="Y41" s="64"/>
      <c r="Z41" s="64"/>
      <c r="AA41" s="64"/>
      <c r="AB41" s="64"/>
      <c r="AC41" s="65"/>
      <c r="AD41" s="65"/>
      <c r="AE41" s="65"/>
      <c r="AF41" s="65"/>
      <c r="AG41" s="65"/>
      <c r="AH41" s="65"/>
      <c r="AI41" s="59"/>
      <c r="AJ41" s="59"/>
      <c r="AK41" s="60"/>
    </row>
    <row r="42" spans="1:37">
      <c r="A42" s="58"/>
      <c r="B42" s="59"/>
      <c r="C42" s="54"/>
      <c r="D42" s="54"/>
      <c r="E42" s="54"/>
      <c r="F42" s="54"/>
      <c r="G42" s="64"/>
      <c r="H42" s="64"/>
      <c r="I42" s="64"/>
      <c r="J42" s="64"/>
      <c r="K42" s="64"/>
      <c r="L42" s="64"/>
      <c r="M42" s="64"/>
      <c r="N42" s="64"/>
      <c r="O42" s="64"/>
      <c r="P42" s="64"/>
      <c r="Q42" s="64"/>
      <c r="R42" s="64"/>
      <c r="S42" s="64"/>
      <c r="T42" s="64"/>
      <c r="U42" s="64"/>
      <c r="V42" s="64"/>
      <c r="W42" s="64"/>
      <c r="X42" s="64"/>
      <c r="Y42" s="64"/>
      <c r="Z42" s="64"/>
      <c r="AA42" s="64"/>
      <c r="AB42" s="64"/>
      <c r="AC42" s="65"/>
      <c r="AD42" s="65"/>
      <c r="AE42" s="65"/>
      <c r="AF42" s="65"/>
      <c r="AG42" s="65"/>
      <c r="AH42" s="65"/>
      <c r="AI42" s="59"/>
      <c r="AJ42" s="59"/>
      <c r="AK42" s="60"/>
    </row>
    <row r="43" spans="1:37">
      <c r="A43" s="58"/>
      <c r="B43" s="59"/>
      <c r="C43" s="59"/>
      <c r="D43" s="59"/>
      <c r="E43" s="59"/>
      <c r="F43" s="59"/>
      <c r="G43" s="54"/>
      <c r="H43" s="54"/>
      <c r="I43" s="54"/>
      <c r="J43" s="54"/>
      <c r="K43" s="54"/>
      <c r="L43" s="54"/>
      <c r="M43" s="54"/>
      <c r="N43" s="54"/>
      <c r="O43" s="64"/>
      <c r="P43" s="64"/>
      <c r="Q43" s="64"/>
      <c r="R43" s="64"/>
      <c r="S43" s="64"/>
      <c r="T43" s="64"/>
      <c r="U43" s="64"/>
      <c r="V43" s="64"/>
      <c r="W43" s="64"/>
      <c r="X43" s="64"/>
      <c r="Y43" s="64"/>
      <c r="Z43" s="64"/>
      <c r="AA43" s="64"/>
      <c r="AB43" s="64"/>
      <c r="AC43" s="65"/>
      <c r="AD43" s="65"/>
      <c r="AE43" s="65"/>
      <c r="AF43" s="65"/>
      <c r="AG43" s="65"/>
      <c r="AH43" s="65"/>
      <c r="AI43" s="59"/>
      <c r="AJ43" s="59"/>
      <c r="AK43" s="60"/>
    </row>
    <row r="44" spans="1:37" ht="18.75">
      <c r="A44" s="58"/>
      <c r="B44" s="59"/>
      <c r="C44" s="54"/>
      <c r="D44" s="54"/>
      <c r="E44" s="54"/>
      <c r="F44" s="66" t="s">
        <v>222</v>
      </c>
      <c r="G44" s="54"/>
      <c r="H44" s="66"/>
      <c r="I44" s="66"/>
      <c r="J44" s="59"/>
      <c r="K44" s="54"/>
      <c r="L44" s="54"/>
      <c r="M44" s="54"/>
      <c r="N44" s="67" t="s">
        <v>223</v>
      </c>
      <c r="O44" s="66" t="s">
        <v>224</v>
      </c>
      <c r="P44" s="66"/>
      <c r="Q44" s="68"/>
      <c r="R44" s="68"/>
      <c r="S44" s="68"/>
      <c r="T44" s="64"/>
      <c r="U44" s="64"/>
      <c r="V44" s="64"/>
      <c r="W44" s="64"/>
      <c r="X44" s="64"/>
      <c r="Y44" s="64"/>
      <c r="Z44" s="64"/>
      <c r="AA44" s="64"/>
      <c r="AB44" s="64"/>
      <c r="AC44" s="65"/>
      <c r="AD44" s="65"/>
      <c r="AE44" s="65"/>
      <c r="AF44" s="65"/>
      <c r="AG44" s="65"/>
      <c r="AH44" s="65"/>
      <c r="AI44" s="59"/>
      <c r="AJ44" s="59"/>
      <c r="AK44" s="60"/>
    </row>
    <row r="45" spans="1:37" ht="18.75">
      <c r="A45" s="58"/>
      <c r="B45" s="59"/>
      <c r="C45" s="59"/>
      <c r="D45" s="59"/>
      <c r="E45" s="59"/>
      <c r="F45" s="54"/>
      <c r="G45" s="66" t="s">
        <v>225</v>
      </c>
      <c r="H45" s="68"/>
      <c r="I45" s="59"/>
      <c r="J45" s="59"/>
      <c r="K45" s="54"/>
      <c r="L45" s="54"/>
      <c r="M45" s="54"/>
      <c r="N45" s="67" t="s">
        <v>223</v>
      </c>
      <c r="O45" s="66" t="s">
        <v>226</v>
      </c>
      <c r="P45" s="66"/>
      <c r="Q45" s="68"/>
      <c r="R45" s="68"/>
      <c r="S45" s="68"/>
      <c r="T45" s="64"/>
      <c r="U45" s="64"/>
      <c r="V45" s="64"/>
      <c r="W45" s="64"/>
      <c r="X45" s="64"/>
      <c r="Y45" s="64"/>
      <c r="Z45" s="64"/>
      <c r="AA45" s="64"/>
      <c r="AB45" s="64"/>
      <c r="AC45" s="65"/>
      <c r="AD45" s="65"/>
      <c r="AE45" s="65"/>
      <c r="AF45" s="65"/>
      <c r="AG45" s="65"/>
      <c r="AH45" s="65"/>
      <c r="AI45" s="59"/>
      <c r="AJ45" s="59"/>
      <c r="AK45" s="60"/>
    </row>
    <row r="46" spans="1:37" ht="19.5" customHeight="1">
      <c r="A46" s="58"/>
      <c r="B46" s="59"/>
      <c r="C46" s="59"/>
      <c r="D46" s="59"/>
      <c r="E46" s="54"/>
      <c r="F46" s="54"/>
      <c r="G46" s="66" t="s">
        <v>227</v>
      </c>
      <c r="H46" s="68"/>
      <c r="I46" s="59"/>
      <c r="J46" s="59"/>
      <c r="K46" s="54"/>
      <c r="L46" s="54"/>
      <c r="M46" s="54"/>
      <c r="N46" s="67" t="s">
        <v>223</v>
      </c>
      <c r="O46" s="66" t="s">
        <v>228</v>
      </c>
      <c r="P46" s="66"/>
      <c r="Q46" s="68"/>
      <c r="R46" s="68"/>
      <c r="S46" s="68"/>
      <c r="T46" s="65"/>
      <c r="U46" s="65"/>
      <c r="V46" s="65"/>
      <c r="W46" s="65"/>
      <c r="X46" s="65"/>
      <c r="Y46" s="65"/>
      <c r="Z46" s="65"/>
      <c r="AA46" s="65"/>
      <c r="AB46" s="65"/>
      <c r="AC46" s="65"/>
      <c r="AD46" s="65"/>
      <c r="AE46" s="65"/>
      <c r="AF46" s="65"/>
      <c r="AG46" s="65"/>
      <c r="AH46" s="65"/>
      <c r="AI46" s="59"/>
      <c r="AJ46" s="59"/>
      <c r="AK46" s="60"/>
    </row>
    <row r="47" spans="1:37" ht="19.5" customHeight="1" thickBot="1">
      <c r="A47" s="69"/>
      <c r="B47" s="70"/>
      <c r="C47" s="70"/>
      <c r="D47" s="70"/>
      <c r="E47" s="70"/>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2"/>
      <c r="AH47" s="72"/>
      <c r="AI47" s="70"/>
      <c r="AJ47" s="70"/>
      <c r="AK47" s="73"/>
    </row>
    <row r="48" spans="1:37" ht="19.5" customHeight="1" thickBot="1">
      <c r="A48" s="69"/>
      <c r="B48" s="70"/>
      <c r="C48" s="70"/>
      <c r="D48" s="70"/>
      <c r="E48" s="70"/>
      <c r="AG48" s="70"/>
      <c r="AH48" s="70"/>
      <c r="AI48" s="70"/>
      <c r="AJ48" s="70"/>
      <c r="AK48" s="73"/>
    </row>
  </sheetData>
  <mergeCells count="9">
    <mergeCell ref="C30:AI30"/>
    <mergeCell ref="C29:AI29"/>
    <mergeCell ref="C10:AI10"/>
    <mergeCell ref="C12:AI12"/>
    <mergeCell ref="C13:AI13"/>
    <mergeCell ref="C14:AI14"/>
    <mergeCell ref="C21:AI21"/>
    <mergeCell ref="C22:AI22"/>
    <mergeCell ref="A23:AK23"/>
  </mergeCells>
  <phoneticPr fontId="15" type="noConversion"/>
  <pageMargins left="0.7" right="0.4" top="0.5" bottom="0.5" header="0" footer="0"/>
  <pageSetup paperSize="9" scale="99"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dimension ref="A1:IV327"/>
  <sheetViews>
    <sheetView view="pageBreakPreview" topLeftCell="A10" zoomScale="130" zoomScaleSheetLayoutView="130" workbookViewId="0">
      <selection activeCell="AY311" sqref="AY311"/>
    </sheetView>
  </sheetViews>
  <sheetFormatPr defaultRowHeight="12"/>
  <cols>
    <col min="1" max="1" width="3.7109375" style="108" customWidth="1"/>
    <col min="2" max="2" width="8.7109375" style="108" customWidth="1"/>
    <col min="3" max="3" width="1.28515625" style="81" customWidth="1"/>
    <col min="4" max="4" width="0.85546875" style="81" customWidth="1"/>
    <col min="5" max="5" width="0.7109375" style="81" customWidth="1"/>
    <col min="6" max="6" width="1" style="81" customWidth="1"/>
    <col min="7" max="7" width="1.42578125" style="81" customWidth="1"/>
    <col min="8" max="12" width="1.7109375" style="81" customWidth="1"/>
    <col min="13" max="13" width="1.140625" style="81" customWidth="1"/>
    <col min="14" max="15" width="1.7109375" style="81" customWidth="1"/>
    <col min="16" max="16" width="2.140625" style="81" customWidth="1"/>
    <col min="17" max="18" width="1.7109375" style="81" customWidth="1"/>
    <col min="19" max="19" width="2.28515625" style="81" customWidth="1"/>
    <col min="20" max="20" width="1.7109375" style="81" customWidth="1"/>
    <col min="21" max="21" width="2.42578125" style="81" customWidth="1"/>
    <col min="22" max="22" width="2.140625" style="81" customWidth="1"/>
    <col min="23" max="23" width="2.7109375" style="81" customWidth="1"/>
    <col min="24" max="25" width="2" style="81" customWidth="1"/>
    <col min="26" max="26" width="2.140625" style="81" customWidth="1"/>
    <col min="27" max="27" width="2.85546875" style="81" customWidth="1"/>
    <col min="28" max="28" width="2.5703125" style="81" customWidth="1"/>
    <col min="29" max="29" width="3.5703125" style="81" customWidth="1"/>
    <col min="30" max="30" width="2.28515625" style="81" customWidth="1"/>
    <col min="31" max="31" width="1.7109375" style="81" customWidth="1"/>
    <col min="32" max="32" width="2.85546875" style="81" customWidth="1"/>
    <col min="33" max="33" width="2.140625" style="81" customWidth="1"/>
    <col min="34" max="35" width="1.7109375" style="81" customWidth="1"/>
    <col min="36" max="36" width="2.5703125" style="81" customWidth="1"/>
    <col min="37" max="37" width="2" style="81" customWidth="1"/>
    <col min="38" max="40" width="1.7109375" style="81" customWidth="1"/>
    <col min="41" max="41" width="2" style="81" customWidth="1"/>
    <col min="42" max="42" width="1.7109375" style="81" customWidth="1"/>
    <col min="43" max="43" width="1.7109375" style="142" customWidth="1"/>
    <col min="44" max="45" width="1.7109375" style="81" customWidth="1"/>
    <col min="46" max="46" width="1.85546875" style="81" customWidth="1"/>
    <col min="47" max="47" width="1.5703125" style="81" customWidth="1"/>
    <col min="48" max="48" width="7.140625" style="116" customWidth="1"/>
    <col min="49" max="49" width="3.42578125" style="116" customWidth="1"/>
    <col min="50" max="16384" width="9.140625" style="81"/>
  </cols>
  <sheetData>
    <row r="1" spans="1:49" ht="18.75">
      <c r="A1" s="391" t="s">
        <v>0</v>
      </c>
      <c r="B1" s="391"/>
      <c r="C1" s="391"/>
      <c r="D1" s="391"/>
      <c r="E1" s="391"/>
      <c r="F1" s="391"/>
      <c r="G1" s="391"/>
      <c r="H1" s="391"/>
      <c r="I1" s="391"/>
      <c r="J1" s="391"/>
      <c r="K1" s="391"/>
      <c r="L1" s="391"/>
      <c r="M1" s="391"/>
      <c r="N1" s="391"/>
      <c r="O1" s="391"/>
      <c r="P1" s="391"/>
      <c r="Q1" s="391"/>
      <c r="R1" s="391"/>
      <c r="S1" s="391"/>
      <c r="T1" s="391"/>
      <c r="U1" s="391"/>
      <c r="V1" s="391"/>
      <c r="W1" s="391"/>
      <c r="X1" s="391"/>
      <c r="Y1" s="391"/>
      <c r="Z1" s="391"/>
      <c r="AA1" s="391"/>
      <c r="AB1" s="391"/>
      <c r="AC1" s="391"/>
      <c r="AD1" s="391"/>
      <c r="AE1" s="391"/>
      <c r="AF1" s="391"/>
      <c r="AG1" s="391"/>
      <c r="AH1" s="391"/>
      <c r="AI1" s="391"/>
      <c r="AJ1" s="391"/>
      <c r="AK1" s="391"/>
      <c r="AL1" s="391"/>
      <c r="AM1" s="391"/>
      <c r="AN1" s="391"/>
      <c r="AO1" s="391"/>
      <c r="AP1" s="391"/>
      <c r="AQ1" s="391"/>
      <c r="AR1" s="391"/>
      <c r="AS1" s="391"/>
      <c r="AT1" s="391"/>
      <c r="AU1" s="391"/>
      <c r="AV1" s="391"/>
      <c r="AW1" s="391"/>
    </row>
    <row r="2" spans="1:49" ht="29.25" customHeight="1">
      <c r="A2" s="392" t="str">
        <f>Abstract!A2</f>
        <v>Repair &amp; Rehabilitation of Head Regulator of Kushtia (HRK) at Km 10.60 of Kushtia Main Canal (KMC) in c/w Rehabilitation of the Ganges-Kobadak Irrigation Project under Kushtia O &amp; M Division, BWDB, Kushtia.</v>
      </c>
      <c r="B2" s="392"/>
      <c r="C2" s="392"/>
      <c r="D2" s="392"/>
      <c r="E2" s="392"/>
      <c r="F2" s="392"/>
      <c r="G2" s="392"/>
      <c r="H2" s="392"/>
      <c r="I2" s="392"/>
      <c r="J2" s="392"/>
      <c r="K2" s="392"/>
      <c r="L2" s="392"/>
      <c r="M2" s="392"/>
      <c r="N2" s="392"/>
      <c r="O2" s="392"/>
      <c r="P2" s="392"/>
      <c r="Q2" s="392"/>
      <c r="R2" s="392"/>
      <c r="S2" s="392"/>
      <c r="T2" s="392"/>
      <c r="U2" s="392"/>
      <c r="V2" s="392"/>
      <c r="W2" s="392"/>
      <c r="X2" s="392"/>
      <c r="Y2" s="392"/>
      <c r="Z2" s="392"/>
      <c r="AA2" s="392"/>
      <c r="AB2" s="392"/>
      <c r="AC2" s="392"/>
      <c r="AD2" s="392"/>
      <c r="AE2" s="392"/>
      <c r="AF2" s="392"/>
      <c r="AG2" s="392"/>
      <c r="AH2" s="392"/>
      <c r="AI2" s="392"/>
      <c r="AJ2" s="392"/>
      <c r="AK2" s="392"/>
      <c r="AL2" s="392"/>
      <c r="AM2" s="392"/>
      <c r="AN2" s="392"/>
      <c r="AO2" s="392"/>
      <c r="AP2" s="392"/>
      <c r="AQ2" s="392"/>
      <c r="AR2" s="392"/>
      <c r="AS2" s="392"/>
      <c r="AT2" s="392"/>
      <c r="AU2" s="392"/>
      <c r="AV2" s="392"/>
      <c r="AW2" s="392"/>
    </row>
    <row r="3" spans="1:49" s="78" customFormat="1" ht="24" customHeight="1">
      <c r="A3" s="105" t="s">
        <v>56</v>
      </c>
      <c r="B3" s="185" t="s">
        <v>55</v>
      </c>
      <c r="C3" s="394" t="s">
        <v>263</v>
      </c>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c r="AE3" s="395"/>
      <c r="AF3" s="395"/>
      <c r="AG3" s="395"/>
      <c r="AH3" s="395"/>
      <c r="AI3" s="395"/>
      <c r="AJ3" s="395"/>
      <c r="AK3" s="395"/>
      <c r="AL3" s="395"/>
      <c r="AM3" s="395"/>
      <c r="AN3" s="395"/>
      <c r="AO3" s="395"/>
      <c r="AP3" s="395"/>
      <c r="AQ3" s="395"/>
      <c r="AR3" s="395"/>
      <c r="AS3" s="395"/>
      <c r="AT3" s="396"/>
      <c r="AU3" s="394" t="s">
        <v>2</v>
      </c>
      <c r="AV3" s="395"/>
      <c r="AW3" s="396"/>
    </row>
    <row r="4" spans="1:49" ht="51" customHeight="1">
      <c r="A4" s="393">
        <v>1</v>
      </c>
      <c r="B4" s="95" t="s">
        <v>59</v>
      </c>
      <c r="C4" s="360" t="s">
        <v>3</v>
      </c>
      <c r="D4" s="361"/>
      <c r="E4" s="361"/>
      <c r="F4" s="361"/>
      <c r="G4" s="361"/>
      <c r="H4" s="361"/>
      <c r="I4" s="361"/>
      <c r="J4" s="361"/>
      <c r="K4" s="361"/>
      <c r="L4" s="361"/>
      <c r="M4" s="361"/>
      <c r="N4" s="361"/>
      <c r="O4" s="361"/>
      <c r="P4" s="361"/>
      <c r="Q4" s="361"/>
      <c r="R4" s="361"/>
      <c r="S4" s="361"/>
      <c r="T4" s="361"/>
      <c r="U4" s="361"/>
      <c r="V4" s="361"/>
      <c r="W4" s="361"/>
      <c r="X4" s="361"/>
      <c r="Y4" s="361"/>
      <c r="Z4" s="361"/>
      <c r="AA4" s="361"/>
      <c r="AB4" s="361"/>
      <c r="AC4" s="361"/>
      <c r="AD4" s="361"/>
      <c r="AE4" s="361"/>
      <c r="AF4" s="361"/>
      <c r="AG4" s="361"/>
      <c r="AH4" s="361"/>
      <c r="AI4" s="361"/>
      <c r="AJ4" s="361"/>
      <c r="AK4" s="361"/>
      <c r="AL4" s="361"/>
      <c r="AM4" s="361"/>
      <c r="AN4" s="361"/>
      <c r="AO4" s="361"/>
      <c r="AP4" s="361"/>
      <c r="AQ4" s="361"/>
      <c r="AR4" s="361"/>
      <c r="AS4" s="361"/>
      <c r="AT4" s="361"/>
      <c r="AU4" s="7"/>
      <c r="AV4" s="121"/>
      <c r="AW4" s="137"/>
    </row>
    <row r="5" spans="1:49">
      <c r="A5" s="393"/>
      <c r="B5" s="96"/>
      <c r="C5" s="2"/>
      <c r="D5" s="2"/>
      <c r="E5" s="2"/>
      <c r="F5" s="2"/>
      <c r="G5" s="2"/>
      <c r="H5" s="2"/>
      <c r="I5" s="2"/>
      <c r="J5" s="2"/>
      <c r="K5" s="2"/>
      <c r="L5" s="2"/>
      <c r="M5" s="2"/>
      <c r="N5" s="2"/>
      <c r="O5" s="2"/>
      <c r="P5" s="2"/>
      <c r="Q5" s="2"/>
      <c r="R5" s="2"/>
      <c r="S5" s="2"/>
      <c r="T5" s="2"/>
      <c r="U5" s="335"/>
      <c r="V5" s="335"/>
      <c r="W5" s="335"/>
      <c r="X5" s="332"/>
      <c r="Y5" s="332"/>
      <c r="Z5" s="332"/>
      <c r="AA5" s="332"/>
      <c r="AB5" s="332"/>
      <c r="AC5" s="332"/>
      <c r="AD5" s="2"/>
      <c r="AE5" s="2"/>
      <c r="AF5" s="332"/>
      <c r="AG5" s="332"/>
      <c r="AH5" s="332"/>
      <c r="AI5" s="332"/>
      <c r="AJ5" s="2"/>
      <c r="AK5" s="2"/>
      <c r="AL5" s="2"/>
      <c r="AM5" s="2"/>
      <c r="AN5" s="2"/>
      <c r="AO5" s="2"/>
      <c r="AP5" s="2"/>
      <c r="AQ5" s="120"/>
      <c r="AR5" s="2"/>
      <c r="AS5" s="2"/>
      <c r="AT5" s="2"/>
      <c r="AU5" s="2" t="s">
        <v>4</v>
      </c>
      <c r="AV5" s="91">
        <v>1</v>
      </c>
      <c r="AW5" s="137" t="s">
        <v>8</v>
      </c>
    </row>
    <row r="6" spans="1:49">
      <c r="A6" s="393"/>
      <c r="B6" s="9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21"/>
      <c r="AM6" s="21"/>
      <c r="AN6" s="21"/>
      <c r="AO6" s="21"/>
      <c r="AP6" s="21"/>
      <c r="AQ6" s="376" t="s">
        <v>9</v>
      </c>
      <c r="AR6" s="376"/>
      <c r="AS6" s="376"/>
      <c r="AT6" s="376"/>
      <c r="AU6" s="21" t="s">
        <v>4</v>
      </c>
      <c r="AV6" s="118">
        <f>SUM(AV5:AV5)</f>
        <v>1</v>
      </c>
      <c r="AW6" s="155" t="s">
        <v>8</v>
      </c>
    </row>
    <row r="7" spans="1:49" ht="27" customHeight="1">
      <c r="A7" s="393">
        <v>2</v>
      </c>
      <c r="B7" s="98" t="s">
        <v>60</v>
      </c>
      <c r="C7" s="360" t="s">
        <v>48</v>
      </c>
      <c r="D7" s="361"/>
      <c r="E7" s="361"/>
      <c r="F7" s="361"/>
      <c r="G7" s="361"/>
      <c r="H7" s="361"/>
      <c r="I7" s="361"/>
      <c r="J7" s="361"/>
      <c r="K7" s="361"/>
      <c r="L7" s="361"/>
      <c r="M7" s="361"/>
      <c r="N7" s="361"/>
      <c r="O7" s="361"/>
      <c r="P7" s="361"/>
      <c r="Q7" s="361"/>
      <c r="R7" s="361"/>
      <c r="S7" s="361"/>
      <c r="T7" s="361"/>
      <c r="U7" s="361"/>
      <c r="V7" s="361"/>
      <c r="W7" s="361"/>
      <c r="X7" s="361"/>
      <c r="Y7" s="361"/>
      <c r="Z7" s="361"/>
      <c r="AA7" s="361"/>
      <c r="AB7" s="361"/>
      <c r="AC7" s="361"/>
      <c r="AD7" s="361"/>
      <c r="AE7" s="361"/>
      <c r="AF7" s="361"/>
      <c r="AG7" s="361"/>
      <c r="AH7" s="361"/>
      <c r="AI7" s="361"/>
      <c r="AJ7" s="361"/>
      <c r="AK7" s="361"/>
      <c r="AL7" s="361"/>
      <c r="AM7" s="361"/>
      <c r="AN7" s="361"/>
      <c r="AO7" s="361"/>
      <c r="AP7" s="361"/>
      <c r="AQ7" s="361"/>
      <c r="AR7" s="361"/>
      <c r="AS7" s="361"/>
      <c r="AT7" s="361"/>
      <c r="AU7" s="7"/>
      <c r="AV7" s="121"/>
      <c r="AW7" s="137"/>
    </row>
    <row r="8" spans="1:49">
      <c r="A8" s="393"/>
      <c r="B8" s="96"/>
      <c r="C8" s="2"/>
      <c r="D8" s="2"/>
      <c r="E8" s="2"/>
      <c r="F8" s="2" t="s">
        <v>57</v>
      </c>
      <c r="G8" s="2"/>
      <c r="H8" s="2"/>
      <c r="I8" s="2"/>
      <c r="J8" s="2"/>
      <c r="K8" s="2"/>
      <c r="L8" s="2"/>
      <c r="M8" s="2"/>
      <c r="N8" s="2"/>
      <c r="O8" s="2"/>
      <c r="P8" s="2"/>
      <c r="Q8" s="2"/>
      <c r="R8" s="2"/>
      <c r="S8" s="2"/>
      <c r="T8" s="2" t="s">
        <v>4</v>
      </c>
      <c r="U8" s="352">
        <v>10</v>
      </c>
      <c r="V8" s="352"/>
      <c r="W8" s="352"/>
      <c r="X8" s="341" t="s">
        <v>6</v>
      </c>
      <c r="Y8" s="341"/>
      <c r="Z8" s="91" t="s">
        <v>34</v>
      </c>
      <c r="AA8" s="91"/>
      <c r="AB8" s="352">
        <v>10</v>
      </c>
      <c r="AC8" s="352"/>
      <c r="AD8" s="91" t="s">
        <v>6</v>
      </c>
      <c r="AE8" s="91"/>
      <c r="AF8" s="91"/>
      <c r="AG8" s="91" t="s">
        <v>4</v>
      </c>
      <c r="AH8" s="352">
        <f>U8*AB8</f>
        <v>100</v>
      </c>
      <c r="AI8" s="352"/>
      <c r="AJ8" s="352"/>
      <c r="AK8" s="2"/>
      <c r="AL8" s="2"/>
      <c r="AM8" s="2"/>
      <c r="AN8" s="2"/>
      <c r="AO8" s="2"/>
      <c r="AP8" s="2"/>
      <c r="AQ8" s="120"/>
      <c r="AR8" s="2"/>
      <c r="AS8" s="2"/>
      <c r="AT8" s="2"/>
      <c r="AU8" s="2"/>
      <c r="AV8" s="91"/>
      <c r="AW8" s="137"/>
    </row>
    <row r="9" spans="1:49">
      <c r="A9" s="393"/>
      <c r="B9" s="96"/>
      <c r="C9" s="2"/>
      <c r="D9" s="2"/>
      <c r="E9" s="2"/>
      <c r="F9" s="2" t="s">
        <v>58</v>
      </c>
      <c r="G9" s="2"/>
      <c r="H9" s="2"/>
      <c r="I9" s="2"/>
      <c r="J9" s="2"/>
      <c r="K9" s="2"/>
      <c r="L9" s="2"/>
      <c r="M9" s="2"/>
      <c r="N9" s="2"/>
      <c r="O9" s="2"/>
      <c r="P9" s="2"/>
      <c r="Q9" s="2"/>
      <c r="R9" s="2"/>
      <c r="S9" s="2"/>
      <c r="T9" s="2" t="s">
        <v>4</v>
      </c>
      <c r="U9" s="352">
        <v>38</v>
      </c>
      <c r="V9" s="352"/>
      <c r="W9" s="352"/>
      <c r="X9" s="92" t="s">
        <v>6</v>
      </c>
      <c r="Y9" s="92"/>
      <c r="Z9" s="92" t="s">
        <v>34</v>
      </c>
      <c r="AA9" s="92"/>
      <c r="AB9" s="352">
        <v>3</v>
      </c>
      <c r="AC9" s="352"/>
      <c r="AD9" s="91" t="s">
        <v>6</v>
      </c>
      <c r="AE9" s="92" t="s">
        <v>34</v>
      </c>
      <c r="AF9" s="143">
        <v>2</v>
      </c>
      <c r="AG9" s="91" t="s">
        <v>4</v>
      </c>
      <c r="AH9" s="352">
        <f>U9*AB9*AF9</f>
        <v>228</v>
      </c>
      <c r="AI9" s="352"/>
      <c r="AJ9" s="352"/>
      <c r="AK9" s="2"/>
      <c r="AL9" s="2"/>
      <c r="AM9" s="2"/>
      <c r="AN9" s="2"/>
      <c r="AO9" s="2"/>
      <c r="AP9" s="2"/>
      <c r="AQ9" s="120"/>
      <c r="AR9" s="2"/>
      <c r="AS9" s="2"/>
      <c r="AT9" s="2"/>
      <c r="AU9" s="2"/>
      <c r="AV9" s="91"/>
      <c r="AW9" s="137"/>
    </row>
    <row r="10" spans="1:49">
      <c r="A10" s="393"/>
      <c r="B10" s="9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21"/>
      <c r="AM10" s="21"/>
      <c r="AN10" s="21"/>
      <c r="AO10" s="21"/>
      <c r="AP10" s="21"/>
      <c r="AQ10" s="376" t="s">
        <v>9</v>
      </c>
      <c r="AR10" s="376"/>
      <c r="AS10" s="376"/>
      <c r="AT10" s="376"/>
      <c r="AU10" s="21" t="s">
        <v>4</v>
      </c>
      <c r="AV10" s="122">
        <f>SUM(AH8:AJ9)</f>
        <v>328</v>
      </c>
      <c r="AW10" s="196" t="s">
        <v>47</v>
      </c>
    </row>
    <row r="11" spans="1:49" ht="14.25" customHeight="1">
      <c r="A11" s="397">
        <v>3</v>
      </c>
      <c r="B11" s="98" t="s">
        <v>61</v>
      </c>
      <c r="C11" s="360" t="s">
        <v>10</v>
      </c>
      <c r="D11" s="361"/>
      <c r="E11" s="361"/>
      <c r="F11" s="361"/>
      <c r="G11" s="361"/>
      <c r="H11" s="361"/>
      <c r="I11" s="361"/>
      <c r="J11" s="361"/>
      <c r="K11" s="361"/>
      <c r="L11" s="361"/>
      <c r="M11" s="361"/>
      <c r="N11" s="361"/>
      <c r="O11" s="361"/>
      <c r="P11" s="361"/>
      <c r="Q11" s="361"/>
      <c r="R11" s="361"/>
      <c r="S11" s="361"/>
      <c r="T11" s="361"/>
      <c r="U11" s="361"/>
      <c r="V11" s="361"/>
      <c r="W11" s="361"/>
      <c r="X11" s="361"/>
      <c r="Y11" s="361"/>
      <c r="Z11" s="361"/>
      <c r="AA11" s="361"/>
      <c r="AB11" s="361"/>
      <c r="AC11" s="361"/>
      <c r="AD11" s="361"/>
      <c r="AE11" s="361"/>
      <c r="AF11" s="361"/>
      <c r="AG11" s="361"/>
      <c r="AH11" s="361"/>
      <c r="AI11" s="361"/>
      <c r="AJ11" s="361"/>
      <c r="AK11" s="361"/>
      <c r="AL11" s="361"/>
      <c r="AM11" s="361"/>
      <c r="AN11" s="361"/>
      <c r="AO11" s="361"/>
      <c r="AP11" s="361"/>
      <c r="AQ11" s="361"/>
      <c r="AR11" s="361"/>
      <c r="AS11" s="361"/>
      <c r="AT11" s="361"/>
      <c r="AU11" s="2"/>
      <c r="AV11" s="91"/>
      <c r="AW11" s="137"/>
    </row>
    <row r="12" spans="1:49" ht="12.75" customHeight="1">
      <c r="A12" s="398"/>
      <c r="B12" s="96"/>
      <c r="C12" s="2"/>
      <c r="D12" s="2"/>
      <c r="E12" s="2"/>
      <c r="F12" s="2"/>
      <c r="G12" s="2"/>
      <c r="H12" s="2"/>
      <c r="I12" s="2"/>
      <c r="J12" s="2"/>
      <c r="K12" s="2"/>
      <c r="L12" s="333" t="s">
        <v>33</v>
      </c>
      <c r="M12" s="333"/>
      <c r="N12" s="333"/>
      <c r="O12" s="333"/>
      <c r="P12" s="2" t="s">
        <v>4</v>
      </c>
      <c r="Q12" s="352">
        <f>U8+U9</f>
        <v>48</v>
      </c>
      <c r="R12" s="352"/>
      <c r="S12" s="352"/>
      <c r="T12" s="1" t="str">
        <f>X9</f>
        <v>M</v>
      </c>
      <c r="U12" s="2"/>
      <c r="V12" s="1"/>
      <c r="W12" s="1"/>
      <c r="X12" s="332"/>
      <c r="Y12" s="332"/>
      <c r="Z12" s="2"/>
      <c r="AA12" s="2"/>
      <c r="AB12" s="2"/>
      <c r="AC12" s="2"/>
      <c r="AD12" s="2"/>
      <c r="AE12" s="2"/>
      <c r="AF12" s="2"/>
      <c r="AG12" s="2"/>
      <c r="AH12" s="2"/>
      <c r="AI12" s="2"/>
      <c r="AJ12" s="2"/>
      <c r="AK12" s="2"/>
      <c r="AL12" s="2"/>
      <c r="AM12" s="2"/>
      <c r="AN12" s="2"/>
      <c r="AO12" s="2"/>
      <c r="AP12" s="2"/>
      <c r="AQ12" s="120"/>
      <c r="AR12" s="2"/>
      <c r="AS12" s="2"/>
      <c r="AT12" s="2"/>
      <c r="AU12" s="2"/>
      <c r="AV12" s="91"/>
      <c r="AW12" s="137"/>
    </row>
    <row r="13" spans="1:49">
      <c r="A13" s="398"/>
      <c r="B13" s="96"/>
      <c r="C13" s="2"/>
      <c r="D13" s="2"/>
      <c r="E13" s="332" t="s">
        <v>15</v>
      </c>
      <c r="F13" s="332"/>
      <c r="G13" s="332"/>
      <c r="H13" s="332"/>
      <c r="I13" s="332"/>
      <c r="J13" s="332"/>
      <c r="K13" s="332"/>
      <c r="L13" s="332"/>
      <c r="M13" s="332"/>
      <c r="N13" s="332"/>
      <c r="O13" s="332"/>
      <c r="P13" s="332"/>
      <c r="Q13" s="332"/>
      <c r="R13" s="332"/>
      <c r="S13" s="332"/>
      <c r="T13" s="2" t="s">
        <v>5</v>
      </c>
      <c r="U13" s="82"/>
      <c r="V13" s="342">
        <v>8</v>
      </c>
      <c r="W13" s="342"/>
      <c r="X13" s="332" t="s">
        <v>16</v>
      </c>
      <c r="Y13" s="332"/>
      <c r="Z13" s="332"/>
      <c r="AA13" s="332"/>
      <c r="AB13" s="332"/>
      <c r="AC13" s="332"/>
      <c r="AD13" s="332"/>
      <c r="AE13" s="332"/>
      <c r="AF13" s="2"/>
      <c r="AG13" s="2"/>
      <c r="AH13" s="2"/>
      <c r="AI13" s="2"/>
      <c r="AJ13" s="2"/>
      <c r="AK13" s="2"/>
      <c r="AL13" s="2"/>
      <c r="AM13" s="2"/>
      <c r="AN13" s="2"/>
      <c r="AO13" s="2"/>
      <c r="AP13" s="2"/>
      <c r="AQ13" s="120"/>
      <c r="AR13" s="2"/>
      <c r="AS13" s="2"/>
      <c r="AT13" s="2"/>
      <c r="AU13" s="2"/>
      <c r="AV13" s="91"/>
      <c r="AW13" s="137"/>
    </row>
    <row r="14" spans="1:49">
      <c r="A14" s="398"/>
      <c r="B14" s="96"/>
      <c r="C14" s="2"/>
      <c r="D14" s="2"/>
      <c r="E14" s="332" t="s">
        <v>13</v>
      </c>
      <c r="F14" s="332"/>
      <c r="G14" s="332"/>
      <c r="H14" s="332"/>
      <c r="I14" s="332"/>
      <c r="J14" s="332"/>
      <c r="K14" s="332"/>
      <c r="L14" s="332"/>
      <c r="M14" s="332"/>
      <c r="N14" s="332"/>
      <c r="O14" s="332"/>
      <c r="P14" s="332"/>
      <c r="Q14" s="332"/>
      <c r="R14" s="332"/>
      <c r="S14" s="332"/>
      <c r="T14" s="339">
        <v>5</v>
      </c>
      <c r="U14" s="339"/>
      <c r="V14" s="339"/>
      <c r="W14" s="2" t="s">
        <v>6</v>
      </c>
      <c r="X14" s="2" t="s">
        <v>7</v>
      </c>
      <c r="Y14" s="2"/>
      <c r="Z14" s="2"/>
      <c r="AA14" s="2"/>
      <c r="AB14" s="2"/>
      <c r="AC14" s="2"/>
      <c r="AD14" s="2"/>
      <c r="AE14" s="2"/>
      <c r="AF14" s="2"/>
      <c r="AG14" s="2"/>
      <c r="AH14" s="2"/>
      <c r="AI14" s="2"/>
      <c r="AJ14" s="2"/>
      <c r="AK14" s="2"/>
      <c r="AL14" s="2"/>
      <c r="AM14" s="2"/>
      <c r="AN14" s="2"/>
      <c r="AO14" s="2"/>
      <c r="AP14" s="2"/>
      <c r="AQ14" s="120"/>
      <c r="AR14" s="2"/>
      <c r="AS14" s="2"/>
      <c r="AT14" s="2"/>
      <c r="AU14" s="2"/>
      <c r="AV14" s="91"/>
      <c r="AW14" s="137"/>
    </row>
    <row r="15" spans="1:49">
      <c r="A15" s="398"/>
      <c r="B15" s="96"/>
      <c r="C15" s="2"/>
      <c r="D15" s="2"/>
      <c r="E15" s="332" t="s">
        <v>14</v>
      </c>
      <c r="F15" s="332"/>
      <c r="G15" s="332"/>
      <c r="H15" s="332"/>
      <c r="I15" s="332"/>
      <c r="J15" s="332"/>
      <c r="K15" s="332"/>
      <c r="L15" s="332"/>
      <c r="M15" s="332"/>
      <c r="N15" s="332"/>
      <c r="O15" s="332"/>
      <c r="P15" s="332"/>
      <c r="Q15" s="332"/>
      <c r="R15" s="332"/>
      <c r="S15" s="332"/>
      <c r="T15" s="341">
        <f>ROUNDUP(((Q12)/T14)+1,)</f>
        <v>11</v>
      </c>
      <c r="U15" s="341"/>
      <c r="V15" s="341"/>
      <c r="W15" s="2"/>
      <c r="X15" s="2" t="s">
        <v>12</v>
      </c>
      <c r="Y15" s="2"/>
      <c r="Z15" s="2"/>
      <c r="AA15" s="2"/>
      <c r="AB15" s="2"/>
      <c r="AC15" s="2"/>
      <c r="AD15" s="2"/>
      <c r="AE15" s="2"/>
      <c r="AF15" s="2"/>
      <c r="AG15" s="2"/>
      <c r="AH15" s="2"/>
      <c r="AI15" s="2"/>
      <c r="AJ15" s="2"/>
      <c r="AK15" s="2"/>
      <c r="AL15" s="2"/>
      <c r="AM15" s="2"/>
      <c r="AN15" s="2"/>
      <c r="AO15" s="2"/>
      <c r="AP15" s="2"/>
      <c r="AQ15" s="120"/>
      <c r="AR15" s="2"/>
      <c r="AS15" s="2"/>
      <c r="AT15" s="2"/>
      <c r="AU15" s="2"/>
      <c r="AV15" s="91"/>
      <c r="AW15" s="137"/>
    </row>
    <row r="16" spans="1:49">
      <c r="A16" s="398"/>
      <c r="B16" s="96"/>
      <c r="C16" s="2"/>
      <c r="D16" s="2"/>
      <c r="E16" s="332" t="s">
        <v>11</v>
      </c>
      <c r="F16" s="332"/>
      <c r="G16" s="332"/>
      <c r="H16" s="332"/>
      <c r="I16" s="332"/>
      <c r="J16" s="332"/>
      <c r="K16" s="332"/>
      <c r="L16" s="332"/>
      <c r="M16" s="332"/>
      <c r="N16" s="332"/>
      <c r="O16" s="332"/>
      <c r="P16" s="332"/>
      <c r="Q16" s="332"/>
      <c r="R16" s="332"/>
      <c r="S16" s="332"/>
      <c r="T16" s="341">
        <f>(V13*T15)</f>
        <v>88</v>
      </c>
      <c r="U16" s="341"/>
      <c r="V16" s="341"/>
      <c r="W16" s="2"/>
      <c r="X16" s="2" t="s">
        <v>12</v>
      </c>
      <c r="Y16" s="2"/>
      <c r="Z16" s="2"/>
      <c r="AA16" s="2"/>
      <c r="AB16" s="2"/>
      <c r="AC16" s="2"/>
      <c r="AD16" s="2"/>
      <c r="AE16" s="2"/>
      <c r="AF16" s="2"/>
      <c r="AG16" s="2"/>
      <c r="AH16" s="2"/>
      <c r="AI16" s="2"/>
      <c r="AJ16" s="2"/>
      <c r="AK16" s="2"/>
      <c r="AL16" s="2"/>
      <c r="AM16" s="2"/>
      <c r="AN16" s="2"/>
      <c r="AO16" s="2"/>
      <c r="AP16" s="2"/>
      <c r="AQ16" s="120"/>
      <c r="AR16" s="2"/>
      <c r="AS16" s="2"/>
      <c r="AT16" s="2"/>
      <c r="AU16" s="2" t="s">
        <v>4</v>
      </c>
      <c r="AV16" s="91">
        <f>ROUNDUP(T16,0)</f>
        <v>88</v>
      </c>
      <c r="AW16" s="137" t="s">
        <v>8</v>
      </c>
    </row>
    <row r="17" spans="1:49">
      <c r="A17" s="399"/>
      <c r="B17" s="9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21"/>
      <c r="AM17" s="21"/>
      <c r="AN17" s="21"/>
      <c r="AO17" s="21"/>
      <c r="AP17" s="21"/>
      <c r="AQ17" s="376" t="s">
        <v>9</v>
      </c>
      <c r="AR17" s="376"/>
      <c r="AS17" s="376"/>
      <c r="AT17" s="376"/>
      <c r="AU17" s="21" t="s">
        <v>4</v>
      </c>
      <c r="AV17" s="118">
        <f>SUM(AV16:AV16)</f>
        <v>88</v>
      </c>
      <c r="AW17" s="155" t="s">
        <v>8</v>
      </c>
    </row>
    <row r="18" spans="1:49" ht="15" customHeight="1">
      <c r="A18" s="109">
        <v>4</v>
      </c>
      <c r="B18" s="95" t="s">
        <v>62</v>
      </c>
      <c r="C18" s="360" t="s">
        <v>17</v>
      </c>
      <c r="D18" s="361"/>
      <c r="E18" s="361"/>
      <c r="F18" s="361"/>
      <c r="G18" s="361"/>
      <c r="H18" s="361"/>
      <c r="I18" s="361"/>
      <c r="J18" s="361"/>
      <c r="K18" s="361"/>
      <c r="L18" s="361"/>
      <c r="M18" s="361"/>
      <c r="N18" s="361"/>
      <c r="O18" s="361"/>
      <c r="P18" s="361"/>
      <c r="Q18" s="361"/>
      <c r="R18" s="361"/>
      <c r="S18" s="361"/>
      <c r="T18" s="361"/>
      <c r="U18" s="361"/>
      <c r="V18" s="361"/>
      <c r="W18" s="361"/>
      <c r="X18" s="361"/>
      <c r="Y18" s="361"/>
      <c r="Z18" s="361"/>
      <c r="AA18" s="361"/>
      <c r="AB18" s="361"/>
      <c r="AC18" s="361"/>
      <c r="AD18" s="361"/>
      <c r="AE18" s="361"/>
      <c r="AF18" s="361"/>
      <c r="AG18" s="361"/>
      <c r="AH18" s="361"/>
      <c r="AI18" s="361"/>
      <c r="AJ18" s="361"/>
      <c r="AK18" s="361"/>
      <c r="AL18" s="361"/>
      <c r="AM18" s="361"/>
      <c r="AN18" s="361"/>
      <c r="AO18" s="361"/>
      <c r="AP18" s="361"/>
      <c r="AQ18" s="361"/>
      <c r="AR18" s="361"/>
      <c r="AS18" s="361"/>
      <c r="AT18" s="361"/>
      <c r="AU18" s="2"/>
      <c r="AV18" s="91"/>
      <c r="AW18" s="137"/>
    </row>
    <row r="19" spans="1:49">
      <c r="A19" s="109"/>
      <c r="B19" s="96"/>
      <c r="C19" s="332" t="s">
        <v>191</v>
      </c>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AD19" s="332"/>
      <c r="AE19" s="2"/>
      <c r="AF19" s="2"/>
      <c r="AG19" s="2"/>
      <c r="AH19" s="2"/>
      <c r="AI19" s="2"/>
      <c r="AJ19" s="2"/>
      <c r="AK19" s="2"/>
      <c r="AL19" s="2"/>
      <c r="AM19" s="2"/>
      <c r="AN19" s="2"/>
      <c r="AO19" s="2"/>
      <c r="AP19" s="2"/>
      <c r="AQ19" s="120"/>
      <c r="AR19" s="2"/>
      <c r="AS19" s="2"/>
      <c r="AT19" s="2"/>
      <c r="AU19" s="2" t="s">
        <v>4</v>
      </c>
      <c r="AV19" s="91">
        <f>AV16</f>
        <v>88</v>
      </c>
      <c r="AW19" s="137" t="s">
        <v>8</v>
      </c>
    </row>
    <row r="20" spans="1:49">
      <c r="A20" s="109"/>
      <c r="B20" s="9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21"/>
      <c r="AM20" s="21"/>
      <c r="AN20" s="21"/>
      <c r="AO20" s="21"/>
      <c r="AP20" s="21"/>
      <c r="AQ20" s="376" t="s">
        <v>9</v>
      </c>
      <c r="AR20" s="376"/>
      <c r="AS20" s="376"/>
      <c r="AT20" s="376"/>
      <c r="AU20" s="21" t="s">
        <v>4</v>
      </c>
      <c r="AV20" s="118">
        <f>SUM(AV19:AV19)</f>
        <v>88</v>
      </c>
      <c r="AW20" s="155" t="s">
        <v>8</v>
      </c>
    </row>
    <row r="21" spans="1:49" ht="24.75" customHeight="1">
      <c r="A21" s="93">
        <v>5</v>
      </c>
      <c r="B21" s="93" t="s">
        <v>276</v>
      </c>
      <c r="C21" s="360" t="s">
        <v>63</v>
      </c>
      <c r="D21" s="361"/>
      <c r="E21" s="361"/>
      <c r="F21" s="361"/>
      <c r="G21" s="361"/>
      <c r="H21" s="361"/>
      <c r="I21" s="361"/>
      <c r="J21" s="361"/>
      <c r="K21" s="361"/>
      <c r="L21" s="361"/>
      <c r="M21" s="361"/>
      <c r="N21" s="361"/>
      <c r="O21" s="361"/>
      <c r="P21" s="361"/>
      <c r="Q21" s="361"/>
      <c r="R21" s="361"/>
      <c r="S21" s="361"/>
      <c r="T21" s="361"/>
      <c r="U21" s="361"/>
      <c r="V21" s="361"/>
      <c r="W21" s="361"/>
      <c r="X21" s="361"/>
      <c r="Y21" s="361"/>
      <c r="Z21" s="361"/>
      <c r="AA21" s="361"/>
      <c r="AB21" s="361"/>
      <c r="AC21" s="361"/>
      <c r="AD21" s="361"/>
      <c r="AE21" s="361"/>
      <c r="AF21" s="361"/>
      <c r="AG21" s="361"/>
      <c r="AH21" s="361"/>
      <c r="AI21" s="361"/>
      <c r="AJ21" s="361"/>
      <c r="AK21" s="361"/>
      <c r="AL21" s="361"/>
      <c r="AM21" s="361"/>
      <c r="AN21" s="361"/>
      <c r="AO21" s="361"/>
      <c r="AP21" s="361"/>
      <c r="AQ21" s="361"/>
      <c r="AR21" s="361"/>
      <c r="AS21" s="361"/>
      <c r="AT21" s="361"/>
      <c r="AU21" s="10"/>
      <c r="AV21" s="123"/>
      <c r="AW21" s="156"/>
    </row>
    <row r="22" spans="1:49" ht="13.5" customHeight="1">
      <c r="A22" s="109"/>
      <c r="B22" s="96"/>
      <c r="C22" s="5"/>
      <c r="D22" s="25"/>
      <c r="E22" s="25"/>
      <c r="F22" s="25"/>
      <c r="G22" s="25"/>
      <c r="H22" s="25"/>
      <c r="I22" s="14" t="s">
        <v>64</v>
      </c>
      <c r="J22" s="2"/>
      <c r="K22" s="14"/>
      <c r="L22" s="25"/>
      <c r="M22" s="15"/>
      <c r="N22" s="2"/>
      <c r="O22" s="2"/>
      <c r="P22" s="2"/>
      <c r="Q22" s="2"/>
      <c r="S22" s="15" t="s">
        <v>4</v>
      </c>
      <c r="T22" s="353">
        <v>5</v>
      </c>
      <c r="U22" s="353"/>
      <c r="V22" s="25" t="s">
        <v>6</v>
      </c>
      <c r="W22" s="378"/>
      <c r="X22" s="378"/>
      <c r="Y22" s="377"/>
      <c r="Z22" s="377"/>
      <c r="AA22" s="7"/>
      <c r="AB22" s="402"/>
      <c r="AC22" s="402"/>
      <c r="AD22" s="377"/>
      <c r="AE22" s="377"/>
      <c r="AF22" s="2"/>
      <c r="AG22" s="25"/>
      <c r="AH22" s="2"/>
      <c r="AI22" s="2"/>
      <c r="AJ22" s="2"/>
      <c r="AK22" s="2"/>
      <c r="AL22" s="2"/>
      <c r="AM22" s="2"/>
      <c r="AN22" s="2"/>
      <c r="AO22" s="2"/>
      <c r="AP22" s="2"/>
      <c r="AQ22" s="120"/>
      <c r="AR22" s="2"/>
      <c r="AS22" s="2"/>
      <c r="AT22" s="2"/>
      <c r="AU22" s="2"/>
      <c r="AV22" s="91"/>
      <c r="AW22" s="137"/>
    </row>
    <row r="23" spans="1:49">
      <c r="A23" s="109"/>
      <c r="B23" s="96"/>
      <c r="C23" s="5"/>
      <c r="D23" s="25"/>
      <c r="E23" s="25"/>
      <c r="F23" s="25"/>
      <c r="G23" s="25"/>
      <c r="H23" s="25"/>
      <c r="I23" s="14" t="s">
        <v>58</v>
      </c>
      <c r="J23" s="2"/>
      <c r="K23" s="14"/>
      <c r="L23" s="25"/>
      <c r="M23" s="15"/>
      <c r="N23" s="2"/>
      <c r="O23" s="2"/>
      <c r="P23" s="2"/>
      <c r="Q23" s="2"/>
      <c r="S23" s="15" t="s">
        <v>4</v>
      </c>
      <c r="T23" s="353">
        <v>5</v>
      </c>
      <c r="U23" s="353"/>
      <c r="V23" s="25" t="s">
        <v>6</v>
      </c>
      <c r="W23" s="378"/>
      <c r="X23" s="378"/>
      <c r="Y23" s="377"/>
      <c r="Z23" s="377"/>
      <c r="AA23" s="7"/>
      <c r="AB23" s="402"/>
      <c r="AC23" s="402"/>
      <c r="AD23" s="377"/>
      <c r="AE23" s="377"/>
      <c r="AF23" s="2"/>
      <c r="AG23" s="25"/>
      <c r="AH23" s="2"/>
      <c r="AI23" s="2"/>
      <c r="AJ23" s="2"/>
      <c r="AK23" s="2"/>
      <c r="AL23" s="2"/>
      <c r="AM23" s="2"/>
      <c r="AN23" s="2"/>
      <c r="AO23" s="2"/>
      <c r="AP23" s="2"/>
      <c r="AQ23" s="120"/>
      <c r="AR23" s="2"/>
      <c r="AS23" s="2"/>
      <c r="AT23" s="2"/>
      <c r="AU23" s="2"/>
      <c r="AV23" s="91"/>
      <c r="AW23" s="137"/>
    </row>
    <row r="24" spans="1:49">
      <c r="A24" s="109"/>
      <c r="B24" s="96"/>
      <c r="C24" s="5"/>
      <c r="D24" s="7"/>
      <c r="E24" s="7"/>
      <c r="F24" s="7"/>
      <c r="G24" s="7"/>
      <c r="H24" s="7"/>
      <c r="I24" s="14" t="s">
        <v>65</v>
      </c>
      <c r="J24" s="7"/>
      <c r="K24" s="7"/>
      <c r="L24" s="7"/>
      <c r="M24" s="7"/>
      <c r="N24" s="7"/>
      <c r="O24" s="7"/>
      <c r="P24" s="7"/>
      <c r="Q24" s="7"/>
      <c r="S24" s="7" t="s">
        <v>4</v>
      </c>
      <c r="T24" s="354">
        <v>5</v>
      </c>
      <c r="U24" s="354"/>
      <c r="V24" s="7" t="s">
        <v>6</v>
      </c>
      <c r="W24" s="7"/>
      <c r="X24" s="7"/>
      <c r="Y24" s="7"/>
      <c r="Z24" s="7"/>
      <c r="AA24" s="2"/>
      <c r="AB24" s="2"/>
      <c r="AC24" s="2"/>
      <c r="AD24" s="2"/>
      <c r="AE24" s="2"/>
      <c r="AF24" s="2"/>
      <c r="AG24" s="2"/>
      <c r="AH24" s="2"/>
      <c r="AI24" s="2"/>
      <c r="AJ24" s="2"/>
      <c r="AK24" s="2"/>
      <c r="AL24" s="2"/>
      <c r="AM24" s="2"/>
      <c r="AN24" s="2"/>
      <c r="AO24" s="2"/>
      <c r="AP24" s="2"/>
      <c r="AQ24" s="139"/>
      <c r="AR24" s="2"/>
      <c r="AS24" s="2"/>
      <c r="AT24" s="2"/>
      <c r="AU24" s="2"/>
      <c r="AV24" s="91"/>
      <c r="AW24" s="137"/>
    </row>
    <row r="25" spans="1:49">
      <c r="A25" s="109"/>
      <c r="B25" s="96"/>
      <c r="C25" s="83"/>
      <c r="D25" s="6"/>
      <c r="E25" s="6"/>
      <c r="F25" s="6"/>
      <c r="G25" s="6"/>
      <c r="H25" s="6"/>
      <c r="I25" s="16"/>
      <c r="J25" s="6"/>
      <c r="K25" s="6"/>
      <c r="L25" s="6"/>
      <c r="M25" s="6"/>
      <c r="N25" s="6"/>
      <c r="O25" s="6"/>
      <c r="P25" s="6"/>
      <c r="Q25" s="6"/>
      <c r="R25" s="6"/>
      <c r="S25" s="6"/>
      <c r="T25" s="6"/>
      <c r="U25" s="6"/>
      <c r="V25" s="6"/>
      <c r="W25" s="6"/>
      <c r="X25" s="6"/>
      <c r="Y25" s="6"/>
      <c r="Z25" s="6"/>
      <c r="AA25" s="17"/>
      <c r="AB25" s="17"/>
      <c r="AC25" s="17"/>
      <c r="AD25" s="17"/>
      <c r="AE25" s="17"/>
      <c r="AF25" s="17"/>
      <c r="AG25" s="17"/>
      <c r="AH25" s="17"/>
      <c r="AI25" s="17"/>
      <c r="AJ25" s="17"/>
      <c r="AK25" s="17"/>
      <c r="AL25" s="21"/>
      <c r="AM25" s="21"/>
      <c r="AN25" s="21"/>
      <c r="AO25" s="21"/>
      <c r="AP25" s="21"/>
      <c r="AQ25" s="140"/>
      <c r="AR25" s="9" t="s">
        <v>9</v>
      </c>
      <c r="AS25" s="9"/>
      <c r="AT25" s="9"/>
      <c r="AU25" s="21" t="s">
        <v>4</v>
      </c>
      <c r="AV25" s="124">
        <f>T22+T23+T24</f>
        <v>15</v>
      </c>
      <c r="AW25" s="157" t="s">
        <v>6</v>
      </c>
    </row>
    <row r="26" spans="1:49" ht="15" customHeight="1">
      <c r="A26" s="110">
        <v>6</v>
      </c>
      <c r="B26" s="93" t="s">
        <v>74</v>
      </c>
      <c r="C26" s="360" t="s">
        <v>75</v>
      </c>
      <c r="D26" s="361"/>
      <c r="E26" s="361"/>
      <c r="F26" s="361"/>
      <c r="G26" s="361"/>
      <c r="H26" s="361"/>
      <c r="I26" s="361"/>
      <c r="J26" s="361"/>
      <c r="K26" s="361"/>
      <c r="L26" s="361"/>
      <c r="M26" s="361"/>
      <c r="N26" s="361"/>
      <c r="O26" s="361"/>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2"/>
      <c r="AV26" s="91"/>
      <c r="AW26" s="137"/>
    </row>
    <row r="27" spans="1:49" ht="12.75" customHeight="1">
      <c r="A27" s="96"/>
      <c r="B27" s="98" t="s">
        <v>185</v>
      </c>
      <c r="C27" s="377" t="s">
        <v>198</v>
      </c>
      <c r="D27" s="377"/>
      <c r="E27" s="377"/>
      <c r="F27" s="377"/>
      <c r="G27" s="377"/>
      <c r="H27" s="377"/>
      <c r="I27" s="377"/>
      <c r="J27" s="377"/>
      <c r="K27" s="377"/>
      <c r="L27" s="377"/>
      <c r="M27" s="377"/>
      <c r="N27" s="377"/>
      <c r="O27" s="377"/>
      <c r="P27" s="377"/>
      <c r="Q27" s="7"/>
      <c r="R27" s="7"/>
      <c r="S27" s="7"/>
      <c r="T27" s="7"/>
      <c r="U27" s="7"/>
      <c r="V27" s="7"/>
      <c r="W27" s="7"/>
      <c r="X27" s="7"/>
      <c r="Y27" s="7"/>
      <c r="Z27" s="7"/>
      <c r="AA27" s="7"/>
      <c r="AB27" s="7"/>
      <c r="AC27" s="7"/>
      <c r="AD27" s="7"/>
      <c r="AE27" s="7"/>
      <c r="AF27" s="7"/>
      <c r="AG27" s="7"/>
      <c r="AH27" s="7"/>
      <c r="AI27" s="2"/>
      <c r="AJ27" s="2"/>
      <c r="AK27" s="2"/>
      <c r="AL27" s="2"/>
      <c r="AM27" s="2"/>
      <c r="AN27" s="2"/>
      <c r="AO27" s="2"/>
      <c r="AP27" s="2"/>
      <c r="AQ27" s="120"/>
      <c r="AR27" s="2"/>
      <c r="AS27" s="2"/>
      <c r="AT27" s="2"/>
      <c r="AU27" s="2"/>
      <c r="AV27" s="91"/>
      <c r="AW27" s="137"/>
    </row>
    <row r="28" spans="1:49">
      <c r="A28" s="96"/>
      <c r="B28" s="96"/>
      <c r="C28" s="7"/>
      <c r="D28" s="7"/>
      <c r="E28" s="7"/>
      <c r="F28" s="7"/>
      <c r="G28" s="7" t="s">
        <v>76</v>
      </c>
      <c r="H28" s="2"/>
      <c r="I28" s="7"/>
      <c r="J28" s="7"/>
      <c r="K28" s="7"/>
      <c r="L28" s="7"/>
      <c r="M28" s="7"/>
      <c r="N28" s="7"/>
      <c r="O28" s="7"/>
      <c r="P28" s="7"/>
      <c r="Q28" s="121"/>
      <c r="R28" s="121"/>
      <c r="S28" s="121" t="s">
        <v>4</v>
      </c>
      <c r="T28" s="354">
        <v>0.5</v>
      </c>
      <c r="U28" s="359"/>
      <c r="V28" s="121" t="s">
        <v>34</v>
      </c>
      <c r="W28" s="354">
        <v>4</v>
      </c>
      <c r="X28" s="359"/>
      <c r="Y28" s="121" t="s">
        <v>34</v>
      </c>
      <c r="Z28" s="354">
        <v>3.4750000000000001</v>
      </c>
      <c r="AA28" s="359"/>
      <c r="AB28" s="121"/>
      <c r="AC28" s="121"/>
      <c r="AD28" s="121"/>
      <c r="AE28" s="121" t="s">
        <v>4</v>
      </c>
      <c r="AF28" s="354">
        <f>Z28*W28*T28</f>
        <v>6.95</v>
      </c>
      <c r="AG28" s="354"/>
      <c r="AH28" s="354"/>
      <c r="AI28" s="145" t="s">
        <v>24</v>
      </c>
      <c r="AJ28" s="91"/>
      <c r="AK28" s="2"/>
      <c r="AL28" s="2"/>
      <c r="AM28" s="2"/>
      <c r="AN28" s="2"/>
      <c r="AO28" s="2"/>
      <c r="AP28" s="2"/>
      <c r="AQ28" s="120"/>
      <c r="AR28" s="2"/>
      <c r="AS28" s="2"/>
      <c r="AT28" s="2"/>
      <c r="AU28" s="2"/>
      <c r="AV28" s="92"/>
      <c r="AW28" s="100"/>
    </row>
    <row r="29" spans="1:49" ht="10.5" customHeight="1">
      <c r="A29" s="98"/>
      <c r="B29" s="98"/>
      <c r="C29" s="14" t="s">
        <v>94</v>
      </c>
      <c r="D29" s="3"/>
      <c r="E29" s="2"/>
      <c r="F29" s="2"/>
      <c r="G29" s="2" t="s">
        <v>166</v>
      </c>
      <c r="H29" s="2"/>
      <c r="I29" s="2"/>
      <c r="J29" s="2"/>
      <c r="K29" s="2"/>
      <c r="L29" s="2"/>
      <c r="M29" s="2"/>
      <c r="N29" s="2"/>
      <c r="O29" s="2"/>
      <c r="P29" s="91">
        <v>1</v>
      </c>
      <c r="Q29" s="91" t="s">
        <v>124</v>
      </c>
      <c r="R29" s="352">
        <v>30</v>
      </c>
      <c r="S29" s="352"/>
      <c r="T29" s="352"/>
      <c r="U29" s="91" t="s">
        <v>124</v>
      </c>
      <c r="V29" s="352">
        <v>18</v>
      </c>
      <c r="W29" s="352"/>
      <c r="X29" s="352"/>
      <c r="Y29" s="91" t="s">
        <v>124</v>
      </c>
      <c r="Z29" s="339">
        <v>0.4</v>
      </c>
      <c r="AA29" s="339"/>
      <c r="AB29" s="117" t="s">
        <v>21</v>
      </c>
      <c r="AC29" s="352">
        <v>0.3</v>
      </c>
      <c r="AD29" s="352"/>
      <c r="AE29" s="91" t="s">
        <v>4</v>
      </c>
      <c r="AF29" s="352">
        <f>P29*R29*V29*((0.4+0.3)/2)</f>
        <v>189</v>
      </c>
      <c r="AG29" s="352"/>
      <c r="AH29" s="352"/>
      <c r="AI29" s="146" t="s">
        <v>24</v>
      </c>
      <c r="AJ29" s="91"/>
      <c r="AK29" s="2"/>
      <c r="AL29" s="2"/>
      <c r="AM29" s="2"/>
      <c r="AN29" s="2"/>
      <c r="AO29" s="2"/>
      <c r="AP29" s="2"/>
      <c r="AQ29" s="120"/>
      <c r="AR29" s="2"/>
      <c r="AS29" s="2"/>
      <c r="AT29" s="2"/>
      <c r="AU29" s="2"/>
      <c r="AV29" s="91"/>
      <c r="AW29" s="137"/>
    </row>
    <row r="30" spans="1:49" ht="9.9499999999999993" customHeight="1">
      <c r="A30" s="98"/>
      <c r="B30" s="98"/>
      <c r="C30" s="4"/>
      <c r="D30" s="3"/>
      <c r="E30" s="2"/>
      <c r="F30" s="2"/>
      <c r="G30" s="2"/>
      <c r="H30" s="2"/>
      <c r="I30" s="2"/>
      <c r="J30" s="2"/>
      <c r="K30" s="2"/>
      <c r="L30" s="2"/>
      <c r="M30" s="2"/>
      <c r="N30" s="2"/>
      <c r="O30" s="2"/>
      <c r="P30" s="2"/>
      <c r="Q30" s="91"/>
      <c r="R30" s="91"/>
      <c r="S30" s="91"/>
      <c r="T30" s="91"/>
      <c r="U30" s="91"/>
      <c r="V30" s="91"/>
      <c r="W30" s="91"/>
      <c r="X30" s="91"/>
      <c r="Y30" s="91"/>
      <c r="Z30" s="91"/>
      <c r="AA30" s="400">
        <v>2</v>
      </c>
      <c r="AB30" s="400"/>
      <c r="AC30" s="400"/>
      <c r="AD30" s="91"/>
      <c r="AE30" s="91"/>
      <c r="AF30" s="91"/>
      <c r="AG30" s="91"/>
      <c r="AH30" s="91"/>
      <c r="AI30" s="146"/>
      <c r="AJ30" s="91"/>
      <c r="AK30" s="2"/>
      <c r="AL30" s="2"/>
      <c r="AM30" s="2"/>
      <c r="AN30" s="2"/>
      <c r="AO30" s="2"/>
      <c r="AP30" s="2"/>
      <c r="AQ30" s="120"/>
      <c r="AR30" s="2"/>
      <c r="AS30" s="2"/>
      <c r="AT30" s="2"/>
      <c r="AU30" s="2"/>
      <c r="AV30" s="91"/>
      <c r="AW30" s="137"/>
    </row>
    <row r="31" spans="1:49" ht="11.25" customHeight="1">
      <c r="A31" s="98"/>
      <c r="B31" s="98"/>
      <c r="C31" s="14" t="s">
        <v>94</v>
      </c>
      <c r="D31" s="3"/>
      <c r="E31" s="2"/>
      <c r="F31" s="2"/>
      <c r="G31" s="2" t="s">
        <v>175</v>
      </c>
      <c r="H31" s="2"/>
      <c r="I31" s="2"/>
      <c r="J31" s="2"/>
      <c r="K31" s="2"/>
      <c r="L31" s="2"/>
      <c r="M31" s="2"/>
      <c r="N31" s="2"/>
      <c r="O31" s="2"/>
      <c r="P31" s="2"/>
      <c r="Q31" s="341">
        <v>2</v>
      </c>
      <c r="R31" s="341"/>
      <c r="S31" s="91" t="s">
        <v>124</v>
      </c>
      <c r="T31" s="352">
        <v>12</v>
      </c>
      <c r="U31" s="352"/>
      <c r="V31" s="352"/>
      <c r="W31" s="91" t="s">
        <v>124</v>
      </c>
      <c r="X31" s="352">
        <v>12</v>
      </c>
      <c r="Y31" s="352"/>
      <c r="Z31" s="352"/>
      <c r="AA31" s="91" t="s">
        <v>124</v>
      </c>
      <c r="AB31" s="341">
        <v>0.3</v>
      </c>
      <c r="AC31" s="341"/>
      <c r="AD31" s="91"/>
      <c r="AE31" s="91" t="s">
        <v>4</v>
      </c>
      <c r="AF31" s="352">
        <f>AB31*X31*T31*Q31</f>
        <v>86.399999999999991</v>
      </c>
      <c r="AG31" s="352"/>
      <c r="AH31" s="352"/>
      <c r="AI31" s="146" t="s">
        <v>24</v>
      </c>
      <c r="AJ31" s="91"/>
      <c r="AK31" s="2"/>
      <c r="AL31" s="2"/>
      <c r="AM31" s="2"/>
      <c r="AN31" s="2"/>
      <c r="AO31" s="2"/>
      <c r="AP31" s="2"/>
      <c r="AQ31" s="120"/>
      <c r="AR31" s="2"/>
      <c r="AS31" s="2"/>
      <c r="AT31" s="2"/>
      <c r="AU31" s="2"/>
      <c r="AV31" s="91"/>
      <c r="AW31" s="137"/>
    </row>
    <row r="32" spans="1:49" ht="11.25" customHeight="1">
      <c r="A32" s="98"/>
      <c r="B32" s="98"/>
      <c r="C32" s="4"/>
      <c r="D32" s="3"/>
      <c r="E32" s="2"/>
      <c r="F32" s="2"/>
      <c r="G32" s="2"/>
      <c r="H32" s="2"/>
      <c r="I32" s="2"/>
      <c r="J32" s="2"/>
      <c r="K32" s="2"/>
      <c r="L32" s="2"/>
      <c r="M32" s="2"/>
      <c r="N32" s="2"/>
      <c r="O32" s="2"/>
      <c r="P32" s="91">
        <v>2</v>
      </c>
      <c r="Q32" s="91" t="s">
        <v>124</v>
      </c>
      <c r="R32" s="91"/>
      <c r="S32" s="339">
        <v>8</v>
      </c>
      <c r="T32" s="339"/>
      <c r="U32" s="339"/>
      <c r="V32" s="91" t="s">
        <v>124</v>
      </c>
      <c r="W32" s="352">
        <v>12</v>
      </c>
      <c r="X32" s="352"/>
      <c r="Y32" s="91"/>
      <c r="Z32" s="91"/>
      <c r="AA32" s="91" t="s">
        <v>124</v>
      </c>
      <c r="AB32" s="341">
        <v>0.3</v>
      </c>
      <c r="AC32" s="341"/>
      <c r="AD32" s="91"/>
      <c r="AE32" s="91" t="s">
        <v>4</v>
      </c>
      <c r="AF32" s="339">
        <f>AB32*W32*S32*P32</f>
        <v>57.599999999999994</v>
      </c>
      <c r="AG32" s="339"/>
      <c r="AH32" s="339"/>
      <c r="AI32" s="146" t="s">
        <v>24</v>
      </c>
      <c r="AJ32" s="91"/>
      <c r="AK32" s="2"/>
      <c r="AL32" s="2"/>
      <c r="AM32" s="2"/>
      <c r="AN32" s="2"/>
      <c r="AO32" s="2"/>
      <c r="AP32" s="2"/>
      <c r="AQ32" s="120"/>
      <c r="AR32" s="2"/>
      <c r="AS32" s="2"/>
      <c r="AT32" s="2"/>
      <c r="AU32" s="2"/>
      <c r="AV32" s="91"/>
      <c r="AW32" s="137"/>
    </row>
    <row r="33" spans="1:49" ht="11.25" customHeight="1">
      <c r="A33" s="98"/>
      <c r="B33" s="98"/>
      <c r="C33" s="4"/>
      <c r="D33" s="3"/>
      <c r="E33" s="2"/>
      <c r="F33" s="2"/>
      <c r="G33" s="2" t="s">
        <v>159</v>
      </c>
      <c r="H33" s="2"/>
      <c r="I33" s="2"/>
      <c r="J33" s="2"/>
      <c r="K33" s="2"/>
      <c r="L33" s="2"/>
      <c r="M33" s="2"/>
      <c r="N33" s="2"/>
      <c r="O33" s="2"/>
      <c r="P33" s="2"/>
      <c r="Q33" s="91"/>
      <c r="R33" s="91"/>
      <c r="S33" s="91"/>
      <c r="T33" s="91"/>
      <c r="U33" s="91"/>
      <c r="V33" s="91"/>
      <c r="W33" s="91"/>
      <c r="X33" s="91"/>
      <c r="Y33" s="91"/>
      <c r="Z33" s="91"/>
      <c r="AA33" s="91"/>
      <c r="AB33" s="91"/>
      <c r="AC33" s="91"/>
      <c r="AD33" s="91"/>
      <c r="AE33" s="91"/>
      <c r="AF33" s="91"/>
      <c r="AG33" s="91"/>
      <c r="AH33" s="91"/>
      <c r="AI33" s="146"/>
      <c r="AJ33" s="91"/>
      <c r="AK33" s="2"/>
      <c r="AL33" s="2"/>
      <c r="AM33" s="2"/>
      <c r="AN33" s="2"/>
      <c r="AO33" s="2"/>
      <c r="AP33" s="2"/>
      <c r="AQ33" s="120"/>
      <c r="AR33" s="2"/>
      <c r="AS33" s="2"/>
      <c r="AT33" s="2"/>
      <c r="AU33" s="2"/>
      <c r="AV33" s="91"/>
      <c r="AW33" s="137"/>
    </row>
    <row r="34" spans="1:49" ht="11.25" customHeight="1">
      <c r="A34" s="98"/>
      <c r="B34" s="98"/>
      <c r="C34" s="4"/>
      <c r="D34" s="3"/>
      <c r="E34" s="2"/>
      <c r="F34" s="2"/>
      <c r="G34" s="2"/>
      <c r="H34" s="2"/>
      <c r="I34" s="2"/>
      <c r="J34" s="2"/>
      <c r="K34" s="2"/>
      <c r="L34" s="2"/>
      <c r="M34" s="2"/>
      <c r="N34" s="341">
        <v>1</v>
      </c>
      <c r="O34" s="341"/>
      <c r="P34" s="91" t="s">
        <v>34</v>
      </c>
      <c r="Q34" s="352">
        <v>50</v>
      </c>
      <c r="R34" s="352"/>
      <c r="S34" s="352"/>
      <c r="T34" s="91" t="s">
        <v>34</v>
      </c>
      <c r="U34" s="91"/>
      <c r="V34" s="355">
        <v>0.25</v>
      </c>
      <c r="W34" s="355"/>
      <c r="X34" s="355"/>
      <c r="Y34" s="117" t="s">
        <v>21</v>
      </c>
      <c r="Z34" s="355">
        <v>0.05</v>
      </c>
      <c r="AA34" s="355"/>
      <c r="AB34" s="91" t="s">
        <v>34</v>
      </c>
      <c r="AC34" s="125">
        <v>0.15</v>
      </c>
      <c r="AD34" s="125"/>
      <c r="AE34" s="91" t="s">
        <v>4</v>
      </c>
      <c r="AF34" s="339">
        <f>N34*Q34*((V34+Z34)/2)*AC34</f>
        <v>1.125</v>
      </c>
      <c r="AG34" s="339"/>
      <c r="AH34" s="339"/>
      <c r="AI34" s="146" t="s">
        <v>24</v>
      </c>
      <c r="AJ34" s="91"/>
      <c r="AK34" s="2"/>
      <c r="AL34" s="2"/>
      <c r="AM34" s="2"/>
      <c r="AN34" s="2"/>
      <c r="AO34" s="2"/>
      <c r="AP34" s="2"/>
      <c r="AQ34" s="120"/>
      <c r="AR34" s="2"/>
      <c r="AS34" s="2"/>
      <c r="AT34" s="2"/>
      <c r="AU34" s="2"/>
      <c r="AV34" s="91"/>
      <c r="AW34" s="137"/>
    </row>
    <row r="35" spans="1:49" ht="11.25" customHeight="1">
      <c r="A35" s="98"/>
      <c r="B35" s="98"/>
      <c r="C35" s="4"/>
      <c r="D35" s="3"/>
      <c r="E35" s="2"/>
      <c r="F35" s="2"/>
      <c r="G35" s="2"/>
      <c r="H35" s="2"/>
      <c r="I35" s="2"/>
      <c r="J35" s="2"/>
      <c r="K35" s="2"/>
      <c r="L35" s="2"/>
      <c r="M35" s="2"/>
      <c r="N35" s="2"/>
      <c r="O35" s="2"/>
      <c r="P35" s="2"/>
      <c r="Q35" s="2"/>
      <c r="R35" s="331"/>
      <c r="S35" s="332"/>
      <c r="T35" s="332"/>
      <c r="U35" s="2"/>
      <c r="V35" s="2"/>
      <c r="W35" s="2"/>
      <c r="X35" s="367">
        <v>2</v>
      </c>
      <c r="Y35" s="367"/>
      <c r="Z35" s="2"/>
      <c r="AA35" s="2"/>
      <c r="AB35" s="1"/>
      <c r="AC35" s="14"/>
      <c r="AD35" s="14"/>
      <c r="AE35" s="2"/>
      <c r="AF35" s="2"/>
      <c r="AG35" s="2"/>
      <c r="AH35" s="2"/>
      <c r="AI35" s="2"/>
      <c r="AJ35" s="2"/>
      <c r="AK35" s="2"/>
      <c r="AL35" s="2"/>
      <c r="AM35" s="2"/>
      <c r="AN35" s="2"/>
      <c r="AO35" s="2"/>
      <c r="AP35" s="2"/>
      <c r="AQ35" s="120"/>
      <c r="AR35" s="2"/>
      <c r="AS35" s="2"/>
      <c r="AT35" s="2"/>
      <c r="AU35" s="2"/>
      <c r="AV35" s="91"/>
      <c r="AW35" s="137"/>
    </row>
    <row r="36" spans="1:49" ht="11.25" customHeight="1">
      <c r="A36" s="97"/>
      <c r="B36" s="9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15"/>
      <c r="AG36" s="15"/>
      <c r="AH36" s="7"/>
      <c r="AI36" s="2"/>
      <c r="AJ36" s="7"/>
      <c r="AK36" s="2"/>
      <c r="AL36" s="2"/>
      <c r="AM36" s="21"/>
      <c r="AN36" s="21"/>
      <c r="AO36" s="21"/>
      <c r="AP36" s="21"/>
      <c r="AQ36" s="119"/>
      <c r="AR36" s="9" t="s">
        <v>9</v>
      </c>
      <c r="AS36" s="9"/>
      <c r="AT36" s="9"/>
      <c r="AU36" s="21" t="s">
        <v>4</v>
      </c>
      <c r="AV36" s="124">
        <f>SUM(AF28:AH34)</f>
        <v>341.07499999999993</v>
      </c>
      <c r="AW36" s="157" t="s">
        <v>24</v>
      </c>
    </row>
    <row r="37" spans="1:49" ht="37.5" customHeight="1">
      <c r="A37" s="110">
        <v>7</v>
      </c>
      <c r="B37" s="95" t="s">
        <v>268</v>
      </c>
      <c r="C37" s="360" t="s">
        <v>244</v>
      </c>
      <c r="D37" s="361"/>
      <c r="E37" s="361"/>
      <c r="F37" s="361"/>
      <c r="G37" s="361"/>
      <c r="H37" s="361"/>
      <c r="I37" s="361"/>
      <c r="J37" s="361"/>
      <c r="K37" s="361"/>
      <c r="L37" s="361"/>
      <c r="M37" s="361"/>
      <c r="N37" s="361"/>
      <c r="O37" s="361"/>
      <c r="P37" s="361"/>
      <c r="Q37" s="361"/>
      <c r="R37" s="361"/>
      <c r="S37" s="361"/>
      <c r="T37" s="361"/>
      <c r="U37" s="361"/>
      <c r="V37" s="361"/>
      <c r="W37" s="361"/>
      <c r="X37" s="361"/>
      <c r="Y37" s="361"/>
      <c r="Z37" s="361"/>
      <c r="AA37" s="361"/>
      <c r="AB37" s="361"/>
      <c r="AC37" s="361"/>
      <c r="AD37" s="361"/>
      <c r="AE37" s="361"/>
      <c r="AF37" s="361"/>
      <c r="AG37" s="361"/>
      <c r="AH37" s="361"/>
      <c r="AI37" s="361"/>
      <c r="AJ37" s="361"/>
      <c r="AK37" s="361"/>
      <c r="AL37" s="361"/>
      <c r="AM37" s="361"/>
      <c r="AN37" s="361"/>
      <c r="AO37" s="361"/>
      <c r="AP37" s="361"/>
      <c r="AQ37" s="361"/>
      <c r="AR37" s="361"/>
      <c r="AS37" s="361"/>
      <c r="AT37" s="361"/>
      <c r="AU37" s="2"/>
      <c r="AV37" s="91"/>
      <c r="AW37" s="137"/>
    </row>
    <row r="38" spans="1:49" ht="12" customHeight="1">
      <c r="A38" s="109"/>
      <c r="B38" s="96" t="s">
        <v>242</v>
      </c>
      <c r="C38" s="380" t="s">
        <v>155</v>
      </c>
      <c r="D38" s="381"/>
      <c r="E38" s="381"/>
      <c r="F38" s="381"/>
      <c r="G38" s="381"/>
      <c r="H38" s="381"/>
      <c r="I38" s="381"/>
      <c r="J38" s="381"/>
      <c r="K38" s="381"/>
      <c r="L38" s="381"/>
      <c r="M38" s="381"/>
      <c r="N38" s="381"/>
      <c r="O38" s="381"/>
      <c r="P38" s="381"/>
      <c r="Q38" s="381"/>
      <c r="R38" s="381"/>
      <c r="S38" s="381"/>
      <c r="T38" s="381"/>
      <c r="U38" s="381"/>
      <c r="V38" s="381"/>
      <c r="W38" s="381"/>
      <c r="X38" s="381"/>
      <c r="Y38" s="381"/>
      <c r="Z38" s="381"/>
      <c r="AA38" s="1"/>
      <c r="AB38" s="2"/>
      <c r="AC38" s="332"/>
      <c r="AD38" s="332"/>
      <c r="AE38" s="331"/>
      <c r="AF38" s="331"/>
      <c r="AG38" s="331"/>
      <c r="AH38" s="2"/>
      <c r="AI38" s="2"/>
      <c r="AJ38" s="331"/>
      <c r="AK38" s="332"/>
      <c r="AL38" s="332"/>
      <c r="AM38" s="332"/>
      <c r="AN38" s="332"/>
      <c r="AO38" s="2"/>
      <c r="AP38" s="2"/>
      <c r="AQ38" s="120"/>
      <c r="AR38" s="2"/>
      <c r="AS38" s="2"/>
      <c r="AT38" s="2"/>
      <c r="AU38" s="2"/>
      <c r="AV38" s="91"/>
      <c r="AW38" s="137"/>
    </row>
    <row r="39" spans="1:49" ht="10.5" customHeight="1">
      <c r="A39" s="109"/>
      <c r="B39" s="96"/>
      <c r="C39" s="2"/>
      <c r="D39" s="3"/>
      <c r="E39" s="2" t="s">
        <v>151</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120"/>
      <c r="AR39" s="2"/>
      <c r="AS39" s="2"/>
      <c r="AT39" s="2"/>
      <c r="AU39" s="2"/>
      <c r="AV39" s="91"/>
      <c r="AW39" s="137"/>
    </row>
    <row r="40" spans="1:49" ht="10.5" customHeight="1">
      <c r="A40" s="109"/>
      <c r="B40" s="96"/>
      <c r="C40" s="2"/>
      <c r="D40" s="3"/>
      <c r="E40" s="332" t="s">
        <v>154</v>
      </c>
      <c r="F40" s="332"/>
      <c r="G40" s="332"/>
      <c r="H40" s="332"/>
      <c r="I40" s="33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120"/>
      <c r="AR40" s="2"/>
      <c r="AS40" s="2"/>
      <c r="AT40" s="2"/>
      <c r="AU40" s="2"/>
      <c r="AV40" s="91"/>
      <c r="AW40" s="137"/>
    </row>
    <row r="41" spans="1:49" ht="12.75" customHeight="1">
      <c r="A41" s="109"/>
      <c r="B41" s="96"/>
      <c r="C41" s="2"/>
      <c r="D41" s="3"/>
      <c r="E41" s="14" t="s">
        <v>238</v>
      </c>
      <c r="F41" s="2"/>
      <c r="G41" s="2"/>
      <c r="H41" s="2"/>
      <c r="I41" s="2"/>
      <c r="J41" s="2"/>
      <c r="K41" s="2"/>
      <c r="L41" s="2"/>
      <c r="M41" s="2"/>
      <c r="N41" s="2"/>
      <c r="O41" s="2"/>
      <c r="P41" s="2" t="s">
        <v>239</v>
      </c>
      <c r="Q41" s="91"/>
      <c r="R41" s="91"/>
      <c r="S41" s="91" t="s">
        <v>4</v>
      </c>
      <c r="T41" s="352">
        <f>'E Work'!F10</f>
        <v>17.117099999999994</v>
      </c>
      <c r="U41" s="352"/>
      <c r="V41" s="146" t="s">
        <v>22</v>
      </c>
      <c r="W41" s="116"/>
      <c r="X41" s="116"/>
      <c r="Y41" s="116"/>
      <c r="Z41" s="91"/>
      <c r="AA41" s="91" t="s">
        <v>240</v>
      </c>
      <c r="AB41" s="91"/>
      <c r="AC41" s="147">
        <v>8</v>
      </c>
      <c r="AD41" s="91" t="s">
        <v>20</v>
      </c>
      <c r="AE41" s="91"/>
      <c r="AF41" s="379">
        <v>20</v>
      </c>
      <c r="AG41" s="379"/>
      <c r="AH41" s="91"/>
      <c r="AI41" s="91" t="s">
        <v>4</v>
      </c>
      <c r="AJ41" s="352">
        <f>AF41-AC41</f>
        <v>12</v>
      </c>
      <c r="AK41" s="341"/>
      <c r="AL41" s="91" t="s">
        <v>230</v>
      </c>
      <c r="AM41" s="2"/>
      <c r="AN41" s="2"/>
      <c r="AO41" s="2"/>
      <c r="AP41" s="2"/>
      <c r="AQ41" s="120"/>
      <c r="AR41" s="2"/>
      <c r="AS41" s="2"/>
      <c r="AT41" s="2"/>
      <c r="AU41" s="2"/>
      <c r="AV41" s="91"/>
      <c r="AW41" s="137"/>
    </row>
    <row r="42" spans="1:49" ht="10.5" customHeight="1">
      <c r="A42" s="109"/>
      <c r="B42" s="96"/>
      <c r="C42" s="2"/>
      <c r="D42" s="3"/>
      <c r="E42" s="2"/>
      <c r="F42" s="2"/>
      <c r="G42" s="2"/>
      <c r="H42" s="2"/>
      <c r="I42" s="2"/>
      <c r="J42" s="2"/>
      <c r="K42" s="2"/>
      <c r="L42" s="332"/>
      <c r="M42" s="332"/>
      <c r="N42" s="332"/>
      <c r="O42" s="2"/>
      <c r="P42" s="2"/>
      <c r="Q42" s="352"/>
      <c r="R42" s="352"/>
      <c r="S42" s="352"/>
      <c r="T42" s="91"/>
      <c r="U42" s="339" t="s">
        <v>241</v>
      </c>
      <c r="V42" s="339"/>
      <c r="W42" s="339"/>
      <c r="X42" s="339"/>
      <c r="Y42" s="91"/>
      <c r="Z42" s="339"/>
      <c r="AA42" s="339"/>
      <c r="AB42" s="91" t="s">
        <v>4</v>
      </c>
      <c r="AC42" s="341">
        <f>T41*AJ41</f>
        <v>205.40519999999992</v>
      </c>
      <c r="AD42" s="341"/>
      <c r="AE42" s="146" t="s">
        <v>24</v>
      </c>
      <c r="AF42" s="91"/>
      <c r="AG42" s="91"/>
      <c r="AH42" s="91"/>
      <c r="AI42" s="91"/>
      <c r="AJ42" s="91"/>
      <c r="AK42" s="91"/>
      <c r="AL42" s="91"/>
      <c r="AM42" s="2"/>
      <c r="AN42" s="2"/>
      <c r="AO42" s="2"/>
      <c r="AP42" s="2"/>
      <c r="AQ42" s="120"/>
      <c r="AR42" s="2"/>
      <c r="AS42" s="2"/>
      <c r="AT42" s="2"/>
      <c r="AU42" s="2"/>
      <c r="AV42" s="91"/>
      <c r="AW42" s="137"/>
    </row>
    <row r="43" spans="1:49" ht="10.5" customHeight="1">
      <c r="A43" s="109"/>
      <c r="B43" s="96"/>
      <c r="C43" s="2"/>
      <c r="D43" s="3"/>
      <c r="E43" s="2" t="s">
        <v>153</v>
      </c>
      <c r="F43" s="2"/>
      <c r="G43" s="2"/>
      <c r="H43" s="2"/>
      <c r="I43" s="2"/>
      <c r="J43" s="2"/>
      <c r="K43" s="2"/>
      <c r="L43" s="2"/>
      <c r="M43" s="2"/>
      <c r="N43" s="2"/>
      <c r="O43" s="2"/>
      <c r="P43" s="2"/>
      <c r="Q43" s="91"/>
      <c r="R43" s="91"/>
      <c r="S43" s="91"/>
      <c r="T43" s="91"/>
      <c r="U43" s="91"/>
      <c r="V43" s="341"/>
      <c r="W43" s="341"/>
      <c r="X43" s="91"/>
      <c r="Y43" s="91"/>
      <c r="Z43" s="91"/>
      <c r="AA43" s="91"/>
      <c r="AB43" s="91"/>
      <c r="AC43" s="91"/>
      <c r="AD43" s="91"/>
      <c r="AE43" s="91"/>
      <c r="AF43" s="91"/>
      <c r="AG43" s="91"/>
      <c r="AH43" s="91"/>
      <c r="AI43" s="91"/>
      <c r="AJ43" s="91"/>
      <c r="AK43" s="91"/>
      <c r="AL43" s="91"/>
      <c r="AM43" s="2"/>
      <c r="AN43" s="2"/>
      <c r="AO43" s="2"/>
      <c r="AP43" s="2"/>
      <c r="AQ43" s="120"/>
      <c r="AR43" s="2"/>
      <c r="AS43" s="2"/>
      <c r="AT43" s="2"/>
      <c r="AU43" s="2"/>
      <c r="AV43" s="91"/>
      <c r="AW43" s="137"/>
    </row>
    <row r="44" spans="1:49" ht="10.5" customHeight="1">
      <c r="A44" s="109"/>
      <c r="B44" s="96"/>
      <c r="C44" s="2"/>
      <c r="D44" s="3"/>
      <c r="E44" s="332" t="s">
        <v>154</v>
      </c>
      <c r="F44" s="332"/>
      <c r="G44" s="332"/>
      <c r="H44" s="332"/>
      <c r="I44" s="332"/>
      <c r="J44" s="2"/>
      <c r="K44" s="2"/>
      <c r="L44" s="2"/>
      <c r="M44" s="2"/>
      <c r="N44" s="2"/>
      <c r="O44" s="2"/>
      <c r="P44" s="2"/>
      <c r="Q44" s="91"/>
      <c r="R44" s="91"/>
      <c r="S44" s="91"/>
      <c r="T44" s="91"/>
      <c r="U44" s="91"/>
      <c r="V44" s="91"/>
      <c r="W44" s="91"/>
      <c r="X44" s="91"/>
      <c r="Y44" s="91"/>
      <c r="Z44" s="91"/>
      <c r="AA44" s="91"/>
      <c r="AB44" s="91"/>
      <c r="AC44" s="91"/>
      <c r="AD44" s="91"/>
      <c r="AE44" s="91"/>
      <c r="AF44" s="91"/>
      <c r="AG44" s="91"/>
      <c r="AH44" s="91"/>
      <c r="AI44" s="91"/>
      <c r="AJ44" s="91"/>
      <c r="AK44" s="91"/>
      <c r="AL44" s="91"/>
      <c r="AM44" s="2"/>
      <c r="AN44" s="2"/>
      <c r="AO44" s="2"/>
      <c r="AP44" s="2"/>
      <c r="AQ44" s="120"/>
      <c r="AR44" s="2"/>
      <c r="AS44" s="2"/>
      <c r="AT44" s="2"/>
      <c r="AU44" s="2"/>
      <c r="AV44" s="91"/>
      <c r="AW44" s="137"/>
    </row>
    <row r="45" spans="1:49" ht="12.75" customHeight="1">
      <c r="A45" s="109"/>
      <c r="B45" s="96"/>
      <c r="C45" s="2"/>
      <c r="D45" s="3"/>
      <c r="E45" s="14" t="s">
        <v>238</v>
      </c>
      <c r="F45" s="2"/>
      <c r="G45" s="2"/>
      <c r="H45" s="2"/>
      <c r="I45" s="2"/>
      <c r="J45" s="2"/>
      <c r="K45" s="2"/>
      <c r="L45" s="2"/>
      <c r="M45" s="2"/>
      <c r="N45" s="2"/>
      <c r="O45" s="2"/>
      <c r="P45" s="2" t="s">
        <v>239</v>
      </c>
      <c r="Q45" s="91"/>
      <c r="R45" s="91"/>
      <c r="S45" s="91" t="s">
        <v>4</v>
      </c>
      <c r="T45" s="352">
        <f>'E Work'!F20</f>
        <v>22.269999999999982</v>
      </c>
      <c r="U45" s="352"/>
      <c r="V45" s="146" t="s">
        <v>22</v>
      </c>
      <c r="W45" s="116"/>
      <c r="X45" s="116"/>
      <c r="Y45" s="116"/>
      <c r="Z45" s="91"/>
      <c r="AA45" s="91" t="s">
        <v>240</v>
      </c>
      <c r="AB45" s="91"/>
      <c r="AC45" s="147">
        <v>20</v>
      </c>
      <c r="AD45" s="91" t="s">
        <v>20</v>
      </c>
      <c r="AE45" s="91"/>
      <c r="AF45" s="379">
        <v>38</v>
      </c>
      <c r="AG45" s="379"/>
      <c r="AH45" s="91"/>
      <c r="AI45" s="91" t="s">
        <v>4</v>
      </c>
      <c r="AJ45" s="352">
        <f>AF45-AC45</f>
        <v>18</v>
      </c>
      <c r="AK45" s="341"/>
      <c r="AL45" s="91" t="s">
        <v>230</v>
      </c>
      <c r="AM45" s="2"/>
      <c r="AN45" s="2"/>
      <c r="AO45" s="2"/>
      <c r="AP45" s="2"/>
      <c r="AQ45" s="120"/>
      <c r="AR45" s="2"/>
      <c r="AS45" s="2"/>
      <c r="AT45" s="2"/>
      <c r="AU45" s="2"/>
      <c r="AV45" s="91"/>
      <c r="AW45" s="137"/>
    </row>
    <row r="46" spans="1:49" ht="10.5" customHeight="1">
      <c r="A46" s="109"/>
      <c r="B46" s="96"/>
      <c r="C46" s="2"/>
      <c r="D46" s="3"/>
      <c r="E46" s="2"/>
      <c r="F46" s="2"/>
      <c r="G46" s="2"/>
      <c r="H46" s="2"/>
      <c r="I46" s="2"/>
      <c r="J46" s="2"/>
      <c r="K46" s="2"/>
      <c r="L46" s="332"/>
      <c r="M46" s="332"/>
      <c r="N46" s="332"/>
      <c r="O46" s="2"/>
      <c r="P46" s="2"/>
      <c r="Q46" s="352"/>
      <c r="R46" s="352"/>
      <c r="S46" s="352"/>
      <c r="T46" s="91"/>
      <c r="V46" s="1"/>
      <c r="W46" s="1"/>
      <c r="X46" s="1"/>
      <c r="Y46" s="401" t="s">
        <v>241</v>
      </c>
      <c r="Z46" s="401"/>
      <c r="AA46" s="401"/>
      <c r="AB46" s="91" t="s">
        <v>4</v>
      </c>
      <c r="AC46" s="341">
        <f>T45*AJ45</f>
        <v>400.85999999999967</v>
      </c>
      <c r="AD46" s="341"/>
      <c r="AE46" s="146" t="s">
        <v>24</v>
      </c>
      <c r="AF46" s="91"/>
      <c r="AG46" s="91"/>
      <c r="AH46" s="91"/>
      <c r="AI46" s="91"/>
      <c r="AJ46" s="91"/>
      <c r="AK46" s="91"/>
      <c r="AL46" s="91"/>
      <c r="AM46" s="2"/>
      <c r="AN46" s="2"/>
      <c r="AO46" s="2"/>
      <c r="AP46" s="2"/>
      <c r="AQ46" s="120"/>
      <c r="AR46" s="2"/>
      <c r="AS46" s="2"/>
      <c r="AT46" s="2"/>
      <c r="AU46" s="2"/>
      <c r="AV46" s="91"/>
      <c r="AW46" s="137"/>
    </row>
    <row r="47" spans="1:49" ht="10.5" customHeight="1">
      <c r="A47" s="109"/>
      <c r="B47" s="96"/>
      <c r="C47" s="2"/>
      <c r="D47" s="3"/>
      <c r="E47" s="2"/>
      <c r="F47" s="2"/>
      <c r="G47" s="2"/>
      <c r="H47" s="2"/>
      <c r="I47" s="2"/>
      <c r="J47" s="2"/>
      <c r="K47" s="2"/>
      <c r="L47" s="2"/>
      <c r="M47" s="2"/>
      <c r="N47" s="2"/>
      <c r="O47" s="2"/>
      <c r="P47" s="2"/>
      <c r="Q47" s="91"/>
      <c r="R47" s="91"/>
      <c r="S47" s="352"/>
      <c r="T47" s="341"/>
      <c r="U47" s="333" t="s">
        <v>235</v>
      </c>
      <c r="V47" s="333"/>
      <c r="W47" s="333"/>
      <c r="X47" s="333"/>
      <c r="Y47" s="333"/>
      <c r="Z47" s="333"/>
      <c r="AA47" s="333"/>
      <c r="AB47" s="91" t="s">
        <v>4</v>
      </c>
      <c r="AC47" s="341">
        <f>AC46+AC42</f>
        <v>606.2651999999996</v>
      </c>
      <c r="AD47" s="341"/>
      <c r="AE47" s="146" t="s">
        <v>24</v>
      </c>
      <c r="AF47" s="91"/>
      <c r="AG47" s="91"/>
      <c r="AH47" s="91"/>
      <c r="AI47" s="91"/>
      <c r="AJ47" s="91"/>
      <c r="AK47" s="91"/>
      <c r="AL47" s="91"/>
      <c r="AM47" s="2"/>
      <c r="AN47" s="2"/>
      <c r="AO47" s="2"/>
      <c r="AP47" s="2"/>
      <c r="AQ47" s="120"/>
      <c r="AR47" s="2"/>
      <c r="AS47" s="2"/>
      <c r="AT47" s="2"/>
      <c r="AU47" s="2"/>
      <c r="AV47" s="91"/>
      <c r="AW47" s="137"/>
    </row>
    <row r="48" spans="1:49" ht="10.5" customHeight="1">
      <c r="A48" s="109"/>
      <c r="B48" s="96"/>
      <c r="C48" s="350" t="s">
        <v>156</v>
      </c>
      <c r="D48" s="333"/>
      <c r="E48" s="333"/>
      <c r="F48" s="333"/>
      <c r="G48" s="333"/>
      <c r="H48" s="333"/>
      <c r="I48" s="333"/>
      <c r="J48" s="333"/>
      <c r="K48" s="333"/>
      <c r="L48" s="2" t="s">
        <v>4</v>
      </c>
      <c r="M48" s="2"/>
      <c r="N48" s="331">
        <f>AC47</f>
        <v>606.2651999999996</v>
      </c>
      <c r="O48" s="331"/>
      <c r="P48" s="331"/>
      <c r="Q48" s="91" t="s">
        <v>157</v>
      </c>
      <c r="R48" s="339">
        <v>0.03</v>
      </c>
      <c r="S48" s="339"/>
      <c r="T48" s="339"/>
      <c r="U48" s="91"/>
      <c r="V48" s="91" t="s">
        <v>4</v>
      </c>
      <c r="W48" s="341">
        <f>N48/R48</f>
        <v>20208.839999999986</v>
      </c>
      <c r="X48" s="341"/>
      <c r="Y48" s="341"/>
      <c r="Z48" s="146" t="s">
        <v>12</v>
      </c>
      <c r="AA48" s="91"/>
      <c r="AB48" s="91"/>
      <c r="AC48" s="91"/>
      <c r="AD48" s="91"/>
      <c r="AE48" s="91"/>
      <c r="AF48" s="91"/>
      <c r="AG48" s="91"/>
      <c r="AH48" s="91"/>
      <c r="AI48" s="91"/>
      <c r="AJ48" s="91"/>
      <c r="AK48" s="91"/>
      <c r="AL48" s="91"/>
      <c r="AM48" s="2"/>
      <c r="AN48" s="2"/>
      <c r="AO48" s="2"/>
      <c r="AP48" s="2"/>
      <c r="AQ48" s="120"/>
      <c r="AR48" s="2"/>
      <c r="AS48" s="2"/>
      <c r="AT48" s="2"/>
      <c r="AU48" s="2"/>
      <c r="AV48" s="91"/>
      <c r="AW48" s="137"/>
    </row>
    <row r="49" spans="1:49" ht="10.5" customHeight="1">
      <c r="A49" s="109"/>
      <c r="B49" s="96"/>
      <c r="C49" s="2"/>
      <c r="D49" s="3"/>
      <c r="E49" s="2"/>
      <c r="F49" s="2"/>
      <c r="G49" s="2"/>
      <c r="H49" s="2"/>
      <c r="I49" s="2"/>
      <c r="J49" s="2"/>
      <c r="K49" s="2"/>
      <c r="L49" s="2"/>
      <c r="M49" s="2"/>
      <c r="N49" s="2"/>
      <c r="O49" s="2"/>
      <c r="P49" s="2"/>
      <c r="Q49" s="91"/>
      <c r="R49" s="91"/>
      <c r="S49" s="91"/>
      <c r="T49" s="91"/>
      <c r="U49" s="91"/>
      <c r="V49" s="91"/>
      <c r="W49" s="91"/>
      <c r="X49" s="91"/>
      <c r="Y49" s="91"/>
      <c r="Z49" s="333" t="s">
        <v>9</v>
      </c>
      <c r="AA49" s="333"/>
      <c r="AB49" s="91" t="s">
        <v>4</v>
      </c>
      <c r="AC49" s="342">
        <f>W48</f>
        <v>20208.839999999986</v>
      </c>
      <c r="AD49" s="342"/>
      <c r="AE49" s="341" t="s">
        <v>12</v>
      </c>
      <c r="AF49" s="341"/>
      <c r="AG49" s="91"/>
      <c r="AH49" s="91"/>
      <c r="AI49" s="91"/>
      <c r="AJ49" s="91"/>
      <c r="AK49" s="91"/>
      <c r="AL49" s="91"/>
      <c r="AM49" s="2"/>
      <c r="AN49" s="2"/>
      <c r="AO49" s="2"/>
      <c r="AP49" s="2"/>
      <c r="AQ49" s="120"/>
      <c r="AR49" s="2"/>
      <c r="AS49" s="2"/>
      <c r="AT49" s="2"/>
      <c r="AU49" s="2"/>
      <c r="AV49" s="91"/>
      <c r="AW49" s="137"/>
    </row>
    <row r="50" spans="1:49">
      <c r="A50" s="109"/>
      <c r="B50" s="96"/>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10"/>
      <c r="AM50" s="367" t="s">
        <v>158</v>
      </c>
      <c r="AN50" s="367"/>
      <c r="AO50" s="367"/>
      <c r="AP50" s="367"/>
      <c r="AQ50" s="367"/>
      <c r="AR50" s="367"/>
      <c r="AS50" s="367"/>
      <c r="AT50" s="367"/>
      <c r="AU50" s="10" t="s">
        <v>4</v>
      </c>
      <c r="AV50" s="187">
        <f>AC49</f>
        <v>20208.839999999986</v>
      </c>
      <c r="AW50" s="188" t="str">
        <f>AE49</f>
        <v>nos</v>
      </c>
    </row>
    <row r="51" spans="1:49" ht="84.75" customHeight="1">
      <c r="A51" s="93">
        <v>8</v>
      </c>
      <c r="B51" s="95" t="s">
        <v>264</v>
      </c>
      <c r="C51" s="361" t="s">
        <v>265</v>
      </c>
      <c r="D51" s="361"/>
      <c r="E51" s="361"/>
      <c r="F51" s="361"/>
      <c r="G51" s="361"/>
      <c r="H51" s="361"/>
      <c r="I51" s="361"/>
      <c r="J51" s="361"/>
      <c r="K51" s="361"/>
      <c r="L51" s="361"/>
      <c r="M51" s="361"/>
      <c r="N51" s="361"/>
      <c r="O51" s="361"/>
      <c r="P51" s="361"/>
      <c r="Q51" s="361"/>
      <c r="R51" s="361"/>
      <c r="S51" s="361"/>
      <c r="T51" s="361"/>
      <c r="U51" s="361"/>
      <c r="V51" s="361"/>
      <c r="W51" s="361"/>
      <c r="X51" s="361"/>
      <c r="Y51" s="361"/>
      <c r="Z51" s="361"/>
      <c r="AA51" s="361"/>
      <c r="AB51" s="361"/>
      <c r="AC51" s="361"/>
      <c r="AD51" s="361"/>
      <c r="AE51" s="361"/>
      <c r="AF51" s="361"/>
      <c r="AG51" s="361"/>
      <c r="AH51" s="361"/>
      <c r="AI51" s="361"/>
      <c r="AJ51" s="361"/>
      <c r="AK51" s="361"/>
      <c r="AL51" s="361"/>
      <c r="AM51" s="361"/>
      <c r="AN51" s="361"/>
      <c r="AO51" s="361"/>
      <c r="AP51" s="361"/>
      <c r="AQ51" s="361"/>
      <c r="AR51" s="361"/>
      <c r="AS51" s="361"/>
      <c r="AT51" s="361"/>
      <c r="AU51" s="10"/>
      <c r="AV51" s="123"/>
      <c r="AW51" s="156"/>
    </row>
    <row r="52" spans="1:49" ht="10.5" customHeight="1">
      <c r="A52" s="96"/>
      <c r="B52" s="98"/>
      <c r="C52" s="3"/>
      <c r="D52" s="3"/>
      <c r="E52" s="332" t="s">
        <v>149</v>
      </c>
      <c r="F52" s="332"/>
      <c r="G52" s="332"/>
      <c r="H52" s="332"/>
      <c r="I52" s="332"/>
      <c r="J52" s="332"/>
      <c r="K52" s="332"/>
      <c r="L52" s="332"/>
      <c r="M52" s="332"/>
      <c r="N52" s="332"/>
      <c r="O52" s="332"/>
      <c r="P52" s="332"/>
      <c r="Q52" s="332"/>
      <c r="R52" s="332"/>
      <c r="S52" s="332"/>
      <c r="T52" s="332"/>
      <c r="U52" s="332"/>
      <c r="V52" s="332"/>
      <c r="W52" s="332"/>
      <c r="X52" s="332"/>
      <c r="Y52" s="332"/>
      <c r="Z52" s="332"/>
      <c r="AA52" s="2"/>
      <c r="AB52" s="2"/>
      <c r="AC52" s="2"/>
      <c r="AD52" s="2"/>
      <c r="AE52" s="2"/>
      <c r="AF52" s="2"/>
      <c r="AG52" s="2"/>
      <c r="AH52" s="2"/>
      <c r="AI52" s="2"/>
      <c r="AJ52" s="2"/>
      <c r="AK52" s="2"/>
      <c r="AL52" s="2"/>
      <c r="AM52" s="2"/>
      <c r="AN52" s="2"/>
      <c r="AO52" s="2"/>
      <c r="AP52" s="2"/>
      <c r="AQ52" s="120"/>
      <c r="AR52" s="2"/>
      <c r="AS52" s="2"/>
      <c r="AT52" s="2"/>
      <c r="AU52" s="2"/>
      <c r="AV52" s="91"/>
      <c r="AW52" s="137"/>
    </row>
    <row r="53" spans="1:49" ht="10.5" customHeight="1">
      <c r="A53" s="96"/>
      <c r="B53" s="98"/>
      <c r="C53" s="3"/>
      <c r="D53" s="3"/>
      <c r="E53" s="14" t="s">
        <v>238</v>
      </c>
      <c r="F53" s="2"/>
      <c r="G53" s="2"/>
      <c r="H53" s="2"/>
      <c r="I53" s="2"/>
      <c r="J53" s="2"/>
      <c r="K53" s="2"/>
      <c r="L53" s="2"/>
      <c r="M53" s="2"/>
      <c r="N53" s="2"/>
      <c r="O53" s="2"/>
      <c r="P53" s="2"/>
      <c r="Q53" s="91"/>
      <c r="R53" s="91"/>
      <c r="S53" s="91" t="s">
        <v>4</v>
      </c>
      <c r="T53" s="352">
        <f>'E Work'!$F$37</f>
        <v>18.050000000000011</v>
      </c>
      <c r="U53" s="352"/>
      <c r="V53" s="146" t="s">
        <v>22</v>
      </c>
      <c r="W53" s="91"/>
      <c r="X53" s="91"/>
      <c r="Y53" s="91"/>
      <c r="Z53" s="91"/>
      <c r="AA53" s="91" t="s">
        <v>240</v>
      </c>
      <c r="AB53" s="91"/>
      <c r="AC53" s="147">
        <v>0</v>
      </c>
      <c r="AD53" s="91" t="s">
        <v>20</v>
      </c>
      <c r="AE53" s="91"/>
      <c r="AF53" s="379">
        <v>175</v>
      </c>
      <c r="AG53" s="379"/>
      <c r="AH53" s="91"/>
      <c r="AI53" s="91" t="s">
        <v>4</v>
      </c>
      <c r="AJ53" s="352">
        <f>AF53-AC53</f>
        <v>175</v>
      </c>
      <c r="AK53" s="341"/>
      <c r="AL53" s="91" t="s">
        <v>230</v>
      </c>
      <c r="AM53" s="91"/>
      <c r="AN53" s="91"/>
      <c r="AO53" s="91"/>
      <c r="AP53" s="91"/>
      <c r="AQ53" s="352"/>
      <c r="AR53" s="352"/>
      <c r="AS53" s="352"/>
      <c r="AT53" s="352"/>
      <c r="AU53" s="352"/>
      <c r="AV53" s="91"/>
      <c r="AW53" s="137"/>
    </row>
    <row r="54" spans="1:49" s="78" customFormat="1" ht="14.25" customHeight="1">
      <c r="A54" s="194"/>
      <c r="B54" s="189"/>
      <c r="C54" s="190"/>
      <c r="D54" s="190"/>
      <c r="E54" s="16"/>
      <c r="F54" s="16"/>
      <c r="G54" s="16"/>
      <c r="H54" s="16"/>
      <c r="I54" s="16"/>
      <c r="J54" s="16"/>
      <c r="K54" s="16"/>
      <c r="L54" s="16"/>
      <c r="M54" s="16"/>
      <c r="N54" s="16"/>
      <c r="O54" s="16"/>
      <c r="P54" s="16"/>
      <c r="Q54" s="390"/>
      <c r="R54" s="390"/>
      <c r="S54" s="390"/>
      <c r="T54" s="403" t="s">
        <v>271</v>
      </c>
      <c r="U54" s="403"/>
      <c r="V54" s="403"/>
      <c r="W54" s="403"/>
      <c r="X54" s="403"/>
      <c r="Y54" s="403"/>
      <c r="Z54" s="403"/>
      <c r="AA54" s="403"/>
      <c r="AB54" s="191" t="s">
        <v>4</v>
      </c>
      <c r="AC54" s="390">
        <f>T53*AJ53</f>
        <v>3158.7500000000018</v>
      </c>
      <c r="AD54" s="390"/>
      <c r="AE54" s="192" t="s">
        <v>24</v>
      </c>
      <c r="AF54" s="191"/>
      <c r="AG54" s="191"/>
      <c r="AH54" s="191"/>
      <c r="AI54" s="191"/>
      <c r="AJ54" s="191"/>
      <c r="AK54" s="191"/>
      <c r="AL54" s="191"/>
      <c r="AM54" s="191"/>
      <c r="AN54" s="191"/>
      <c r="AO54" s="191"/>
      <c r="AP54" s="191" t="s">
        <v>4</v>
      </c>
      <c r="AQ54" s="404">
        <f>AC54</f>
        <v>3158.7500000000018</v>
      </c>
      <c r="AR54" s="404"/>
      <c r="AS54" s="404"/>
      <c r="AT54" s="404"/>
      <c r="AU54" s="192" t="s">
        <v>24</v>
      </c>
      <c r="AV54" s="191"/>
      <c r="AW54" s="193"/>
    </row>
    <row r="55" spans="1:49" ht="10.5" customHeight="1">
      <c r="A55" s="109"/>
      <c r="B55" s="98"/>
      <c r="C55" s="3"/>
      <c r="D55" s="3"/>
      <c r="E55" s="2" t="s">
        <v>150</v>
      </c>
      <c r="F55" s="2"/>
      <c r="G55" s="2"/>
      <c r="H55" s="2"/>
      <c r="I55" s="2"/>
      <c r="J55" s="2"/>
      <c r="K55" s="2"/>
      <c r="L55" s="2"/>
      <c r="M55" s="2"/>
      <c r="N55" s="2"/>
      <c r="O55" s="2"/>
      <c r="P55" s="2"/>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137"/>
    </row>
    <row r="56" spans="1:49" ht="10.5" customHeight="1">
      <c r="A56" s="109"/>
      <c r="B56" s="98"/>
      <c r="C56" s="3"/>
      <c r="D56" s="3"/>
      <c r="E56" s="2" t="s">
        <v>151</v>
      </c>
      <c r="F56" s="2"/>
      <c r="G56" s="2"/>
      <c r="H56" s="2"/>
      <c r="I56" s="2"/>
      <c r="J56" s="2"/>
      <c r="K56" s="2"/>
      <c r="L56" s="2"/>
      <c r="M56" s="2"/>
      <c r="N56" s="2"/>
      <c r="O56" s="2"/>
      <c r="P56" s="2"/>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137"/>
    </row>
    <row r="57" spans="1:49" ht="11.25" customHeight="1">
      <c r="A57" s="109"/>
      <c r="B57" s="98"/>
      <c r="C57" s="3"/>
      <c r="D57" s="3"/>
      <c r="E57" s="2" t="s">
        <v>152</v>
      </c>
      <c r="F57" s="2"/>
      <c r="G57" s="2"/>
      <c r="H57" s="2"/>
      <c r="I57" s="2"/>
      <c r="J57" s="2"/>
      <c r="K57" s="2"/>
      <c r="L57" s="2"/>
      <c r="M57" s="2"/>
      <c r="N57" s="2"/>
      <c r="O57" s="2"/>
      <c r="P57" s="2"/>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137"/>
    </row>
    <row r="58" spans="1:49" ht="11.25" customHeight="1">
      <c r="A58" s="109"/>
      <c r="B58" s="98"/>
      <c r="C58" s="3"/>
      <c r="D58" s="3"/>
      <c r="E58" s="2"/>
      <c r="F58" s="2"/>
      <c r="G58" s="2"/>
      <c r="H58" s="2"/>
      <c r="I58" s="2"/>
      <c r="J58" s="2"/>
      <c r="K58" s="2"/>
      <c r="L58" s="2"/>
      <c r="M58" s="2"/>
      <c r="N58" s="2"/>
      <c r="O58" s="2"/>
      <c r="P58" s="2"/>
      <c r="Q58" s="91"/>
      <c r="R58" s="91"/>
      <c r="S58" s="91"/>
      <c r="T58" s="91"/>
      <c r="U58" s="91"/>
      <c r="V58" s="91"/>
      <c r="W58" s="341">
        <v>1</v>
      </c>
      <c r="X58" s="341"/>
      <c r="Y58" s="91" t="s">
        <v>34</v>
      </c>
      <c r="Z58" s="91"/>
      <c r="AA58" s="352">
        <v>12</v>
      </c>
      <c r="AB58" s="352"/>
      <c r="AC58" s="92" t="s">
        <v>34</v>
      </c>
      <c r="AD58" s="352">
        <v>17</v>
      </c>
      <c r="AE58" s="352"/>
      <c r="AF58" s="352"/>
      <c r="AG58" s="91" t="s">
        <v>34</v>
      </c>
      <c r="AH58" s="149" t="s">
        <v>289</v>
      </c>
      <c r="AI58" s="117"/>
      <c r="AJ58" s="117"/>
      <c r="AK58" s="117"/>
      <c r="AL58" s="91"/>
      <c r="AM58" s="91"/>
      <c r="AN58" s="91"/>
      <c r="AO58" s="91"/>
      <c r="AP58" s="91" t="s">
        <v>4</v>
      </c>
      <c r="AQ58" s="341">
        <f>W58*AA58*AD58*((0.9+0.85+0.9)/3)</f>
        <v>180.2</v>
      </c>
      <c r="AR58" s="341"/>
      <c r="AS58" s="341"/>
      <c r="AT58" s="341"/>
      <c r="AU58" s="148" t="s">
        <v>24</v>
      </c>
      <c r="AV58" s="91"/>
      <c r="AW58" s="137"/>
    </row>
    <row r="59" spans="1:49" ht="11.25" customHeight="1">
      <c r="A59" s="109"/>
      <c r="B59" s="98"/>
      <c r="C59" s="3"/>
      <c r="D59" s="3"/>
      <c r="E59" s="2"/>
      <c r="F59" s="2"/>
      <c r="G59" s="2"/>
      <c r="H59" s="2"/>
      <c r="I59" s="2"/>
      <c r="J59" s="2"/>
      <c r="K59" s="2"/>
      <c r="L59" s="2"/>
      <c r="M59" s="2"/>
      <c r="N59" s="2"/>
      <c r="O59" s="2"/>
      <c r="P59" s="2"/>
      <c r="Q59" s="91"/>
      <c r="R59" s="91"/>
      <c r="S59" s="91"/>
      <c r="T59" s="91"/>
      <c r="U59" s="91"/>
      <c r="V59" s="91"/>
      <c r="W59" s="91"/>
      <c r="X59" s="91"/>
      <c r="Y59" s="91"/>
      <c r="Z59" s="91"/>
      <c r="AA59" s="91"/>
      <c r="AB59" s="91"/>
      <c r="AC59" s="91"/>
      <c r="AD59" s="91"/>
      <c r="AE59" s="91"/>
      <c r="AF59" s="91"/>
      <c r="AG59" s="91"/>
      <c r="AH59" s="91"/>
      <c r="AI59" s="91"/>
      <c r="AJ59" s="91">
        <v>3</v>
      </c>
      <c r="AK59" s="143"/>
      <c r="AL59" s="91"/>
      <c r="AM59" s="91"/>
      <c r="AN59" s="91"/>
      <c r="AO59" s="91"/>
      <c r="AP59" s="91"/>
      <c r="AQ59" s="91"/>
      <c r="AR59" s="91"/>
      <c r="AS59" s="91"/>
      <c r="AT59" s="91"/>
      <c r="AU59" s="91"/>
      <c r="AV59" s="91"/>
      <c r="AW59" s="137"/>
    </row>
    <row r="60" spans="1:49" ht="11.25" customHeight="1">
      <c r="A60" s="109"/>
      <c r="B60" s="98"/>
      <c r="C60" s="3"/>
      <c r="D60" s="3"/>
      <c r="E60" s="2" t="s">
        <v>153</v>
      </c>
      <c r="F60" s="2"/>
      <c r="G60" s="2"/>
      <c r="H60" s="2"/>
      <c r="I60" s="2"/>
      <c r="J60" s="2"/>
      <c r="K60" s="2"/>
      <c r="L60" s="2"/>
      <c r="M60" s="2"/>
      <c r="N60" s="2"/>
      <c r="O60" s="2"/>
      <c r="P60" s="2"/>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137"/>
    </row>
    <row r="61" spans="1:49" ht="11.25" customHeight="1">
      <c r="A61" s="109"/>
      <c r="B61" s="98"/>
      <c r="C61" s="3"/>
      <c r="D61" s="3"/>
      <c r="E61" s="2" t="s">
        <v>152</v>
      </c>
      <c r="F61" s="2"/>
      <c r="G61" s="2"/>
      <c r="H61" s="2"/>
      <c r="I61" s="2"/>
      <c r="J61" s="2"/>
      <c r="K61" s="2"/>
      <c r="L61" s="2"/>
      <c r="M61" s="2"/>
      <c r="N61" s="2"/>
      <c r="O61" s="2"/>
      <c r="P61" s="2"/>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137"/>
    </row>
    <row r="62" spans="1:49" ht="11.25" customHeight="1">
      <c r="A62" s="109"/>
      <c r="B62" s="98"/>
      <c r="C62" s="3"/>
      <c r="D62" s="3"/>
      <c r="E62" s="2"/>
      <c r="F62" s="2"/>
      <c r="G62" s="2"/>
      <c r="H62" s="1"/>
      <c r="I62" s="1"/>
      <c r="J62" s="2"/>
      <c r="K62" s="1"/>
      <c r="L62" s="1"/>
      <c r="M62" s="2"/>
      <c r="N62" s="2"/>
      <c r="O62" s="2"/>
      <c r="P62" s="2"/>
      <c r="Q62" s="91"/>
      <c r="R62" s="91"/>
      <c r="S62" s="341">
        <v>1</v>
      </c>
      <c r="T62" s="341"/>
      <c r="U62" s="91" t="s">
        <v>34</v>
      </c>
      <c r="V62" s="352">
        <f>40-20</f>
        <v>20</v>
      </c>
      <c r="W62" s="352"/>
      <c r="X62" s="352"/>
      <c r="Y62" s="92" t="s">
        <v>34</v>
      </c>
      <c r="Z62" s="91"/>
      <c r="AA62" s="352">
        <v>17</v>
      </c>
      <c r="AB62" s="352"/>
      <c r="AC62" s="352"/>
      <c r="AD62" s="91" t="s">
        <v>34</v>
      </c>
      <c r="AE62" s="355">
        <v>0.8</v>
      </c>
      <c r="AF62" s="355"/>
      <c r="AG62" s="355"/>
      <c r="AH62" s="117" t="s">
        <v>21</v>
      </c>
      <c r="AI62" s="355">
        <v>0.85</v>
      </c>
      <c r="AJ62" s="355"/>
      <c r="AK62" s="117" t="s">
        <v>21</v>
      </c>
      <c r="AL62" s="355">
        <v>0.9</v>
      </c>
      <c r="AM62" s="355"/>
      <c r="AN62" s="355"/>
      <c r="AO62" s="91"/>
      <c r="AP62" s="91" t="s">
        <v>4</v>
      </c>
      <c r="AQ62" s="339">
        <f>S62*V62*AA62*((AE62+AI62+AL62)/3)</f>
        <v>289</v>
      </c>
      <c r="AR62" s="339"/>
      <c r="AS62" s="339"/>
      <c r="AT62" s="339"/>
      <c r="AU62" s="148" t="s">
        <v>24</v>
      </c>
      <c r="AV62" s="91"/>
      <c r="AW62" s="137"/>
    </row>
    <row r="63" spans="1:49" ht="11.25" customHeight="1">
      <c r="A63" s="109"/>
      <c r="B63" s="98"/>
      <c r="C63" s="3"/>
      <c r="D63" s="3"/>
      <c r="E63" s="2"/>
      <c r="F63" s="2"/>
      <c r="G63" s="2"/>
      <c r="H63" s="2"/>
      <c r="I63" s="2"/>
      <c r="J63" s="2"/>
      <c r="K63" s="2"/>
      <c r="L63" s="2"/>
      <c r="M63" s="2"/>
      <c r="N63" s="2"/>
      <c r="O63" s="2"/>
      <c r="P63" s="2"/>
      <c r="Q63" s="91"/>
      <c r="R63" s="91"/>
      <c r="S63" s="91"/>
      <c r="T63" s="91"/>
      <c r="U63" s="91"/>
      <c r="V63" s="91"/>
      <c r="W63" s="91"/>
      <c r="X63" s="91"/>
      <c r="Y63" s="91"/>
      <c r="Z63" s="91"/>
      <c r="AA63" s="91"/>
      <c r="AB63" s="91"/>
      <c r="AC63" s="91"/>
      <c r="AD63" s="91"/>
      <c r="AE63" s="91"/>
      <c r="AF63" s="91"/>
      <c r="AG63" s="91"/>
      <c r="AH63" s="91"/>
      <c r="AI63" s="91"/>
      <c r="AJ63" s="91">
        <v>3</v>
      </c>
      <c r="AK63" s="143"/>
      <c r="AL63" s="91"/>
      <c r="AM63" s="91"/>
      <c r="AN63" s="91"/>
      <c r="AO63" s="91"/>
      <c r="AP63" s="91"/>
      <c r="AQ63" s="91"/>
      <c r="AR63" s="91"/>
      <c r="AS63" s="91"/>
      <c r="AT63" s="91"/>
      <c r="AU63" s="91"/>
      <c r="AV63" s="91"/>
      <c r="AW63" s="137"/>
    </row>
    <row r="64" spans="1:49" ht="11.25" customHeight="1">
      <c r="A64" s="113"/>
      <c r="B64" s="98"/>
      <c r="C64" s="344" t="s">
        <v>254</v>
      </c>
      <c r="D64" s="345"/>
      <c r="E64" s="345"/>
      <c r="F64" s="345"/>
      <c r="G64" s="345"/>
      <c r="H64" s="345"/>
      <c r="I64" s="345"/>
      <c r="J64" s="345"/>
      <c r="K64" s="345"/>
      <c r="L64" s="345"/>
      <c r="M64" s="345"/>
      <c r="N64" s="345"/>
      <c r="O64" s="345"/>
      <c r="P64" s="345"/>
      <c r="Q64" s="345"/>
      <c r="R64" s="345"/>
      <c r="S64" s="345"/>
      <c r="T64" s="345"/>
      <c r="U64" s="345"/>
      <c r="V64" s="345"/>
      <c r="W64" s="345"/>
      <c r="X64" s="345"/>
      <c r="Y64" s="345"/>
      <c r="Z64" s="345"/>
      <c r="AA64" s="345"/>
      <c r="AB64" s="345"/>
      <c r="AC64" s="345"/>
      <c r="AD64" s="91"/>
      <c r="AE64" s="91"/>
      <c r="AF64" s="91"/>
      <c r="AG64" s="91"/>
      <c r="AH64" s="91"/>
      <c r="AI64" s="91"/>
      <c r="AJ64" s="91"/>
      <c r="AK64" s="91"/>
      <c r="AL64" s="91"/>
      <c r="AM64" s="91"/>
      <c r="AN64" s="91"/>
      <c r="AO64" s="91"/>
      <c r="AP64" s="91"/>
      <c r="AQ64" s="91"/>
      <c r="AR64" s="91"/>
      <c r="AS64" s="2"/>
      <c r="AT64" s="2"/>
      <c r="AU64" s="2"/>
      <c r="AV64" s="91"/>
      <c r="AW64" s="137"/>
    </row>
    <row r="65" spans="1:50" ht="10.5" customHeight="1">
      <c r="A65" s="113"/>
      <c r="B65" s="98"/>
      <c r="C65" s="3"/>
      <c r="D65" s="3"/>
      <c r="E65" s="2" t="s">
        <v>165</v>
      </c>
      <c r="F65" s="2"/>
      <c r="G65" s="2"/>
      <c r="H65" s="2"/>
      <c r="I65" s="2"/>
      <c r="J65" s="2"/>
      <c r="K65" s="2"/>
      <c r="L65" s="2"/>
      <c r="M65" s="2"/>
      <c r="N65" s="2"/>
      <c r="O65" s="2"/>
      <c r="P65" s="2"/>
      <c r="Q65" s="2"/>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2"/>
      <c r="AT65" s="2"/>
      <c r="AU65" s="2"/>
      <c r="AV65" s="91"/>
      <c r="AW65" s="137"/>
    </row>
    <row r="66" spans="1:50" ht="10.5" customHeight="1">
      <c r="A66" s="113"/>
      <c r="B66" s="98"/>
      <c r="C66" s="3"/>
      <c r="D66" s="3"/>
      <c r="E66" s="14" t="s">
        <v>238</v>
      </c>
      <c r="F66" s="2"/>
      <c r="G66" s="2"/>
      <c r="H66" s="2"/>
      <c r="I66" s="2"/>
      <c r="J66" s="2"/>
      <c r="K66" s="2"/>
      <c r="L66" s="2"/>
      <c r="M66" s="2"/>
      <c r="N66" s="2"/>
      <c r="O66" s="2"/>
      <c r="P66" s="2"/>
      <c r="Q66" s="2" t="s">
        <v>239</v>
      </c>
      <c r="R66" s="91"/>
      <c r="S66" s="91" t="s">
        <v>4</v>
      </c>
      <c r="T66" s="352">
        <f>T80</f>
        <v>37.927275000000009</v>
      </c>
      <c r="U66" s="352"/>
      <c r="V66" s="146" t="s">
        <v>22</v>
      </c>
      <c r="W66" s="116"/>
      <c r="X66" s="333" t="s">
        <v>240</v>
      </c>
      <c r="Y66" s="333"/>
      <c r="Z66" s="333"/>
      <c r="AA66" s="147">
        <v>0</v>
      </c>
      <c r="AB66" s="91" t="s">
        <v>20</v>
      </c>
      <c r="AC66" s="147">
        <v>8</v>
      </c>
      <c r="AD66" s="91" t="s">
        <v>4</v>
      </c>
      <c r="AE66" s="91"/>
      <c r="AF66" s="144">
        <f>AC66-AA66</f>
        <v>8</v>
      </c>
      <c r="AG66" s="91" t="s">
        <v>6</v>
      </c>
      <c r="AH66" s="91"/>
      <c r="AI66" s="116"/>
      <c r="AJ66" s="116"/>
      <c r="AK66" s="116"/>
      <c r="AL66" s="116"/>
      <c r="AM66" s="116"/>
      <c r="AN66" s="91"/>
      <c r="AO66" s="91"/>
      <c r="AP66" s="91"/>
      <c r="AQ66" s="91"/>
      <c r="AR66" s="91"/>
      <c r="AS66" s="2"/>
      <c r="AT66" s="2"/>
      <c r="AU66" s="2"/>
      <c r="AV66" s="91"/>
      <c r="AW66" s="137"/>
    </row>
    <row r="67" spans="1:50" ht="10.5" customHeight="1">
      <c r="A67" s="113"/>
      <c r="B67" s="98"/>
      <c r="C67" s="3"/>
      <c r="D67" s="3"/>
      <c r="E67" s="2"/>
      <c r="F67" s="2"/>
      <c r="G67" s="2"/>
      <c r="H67" s="2"/>
      <c r="I67" s="2"/>
      <c r="J67" s="2"/>
      <c r="K67" s="2"/>
      <c r="L67" s="2"/>
      <c r="M67" s="2"/>
      <c r="N67" s="2"/>
      <c r="O67" s="2"/>
      <c r="P67" s="2"/>
      <c r="Q67" s="2"/>
      <c r="R67" s="352"/>
      <c r="S67" s="352"/>
      <c r="T67" s="352"/>
      <c r="U67" s="91"/>
      <c r="V67" s="339" t="s">
        <v>241</v>
      </c>
      <c r="W67" s="339"/>
      <c r="X67" s="339"/>
      <c r="Y67" s="339"/>
      <c r="Z67" s="91" t="s">
        <v>4</v>
      </c>
      <c r="AA67" s="339">
        <f>T66*AF66</f>
        <v>303.41820000000007</v>
      </c>
      <c r="AB67" s="339"/>
      <c r="AC67" s="339"/>
      <c r="AD67" s="146" t="s">
        <v>24</v>
      </c>
      <c r="AG67" s="91"/>
      <c r="AH67" s="91"/>
      <c r="AI67" s="91" t="s">
        <v>4</v>
      </c>
      <c r="AJ67" s="339">
        <f>AA67</f>
        <v>303.41820000000007</v>
      </c>
      <c r="AK67" s="341"/>
      <c r="AL67" s="341"/>
      <c r="AM67" s="146" t="s">
        <v>24</v>
      </c>
      <c r="AN67" s="91"/>
      <c r="AO67" s="91"/>
      <c r="AP67" s="91"/>
      <c r="AQ67" s="91"/>
      <c r="AR67" s="91"/>
      <c r="AS67" s="2"/>
      <c r="AT67" s="2"/>
      <c r="AU67" s="2"/>
      <c r="AV67" s="91"/>
      <c r="AW67" s="137"/>
    </row>
    <row r="68" spans="1:50" ht="10.5" customHeight="1">
      <c r="A68" s="113"/>
      <c r="B68" s="98"/>
      <c r="C68" s="3"/>
      <c r="D68" s="3"/>
      <c r="E68" s="2" t="s">
        <v>166</v>
      </c>
      <c r="F68" s="2"/>
      <c r="G68" s="2"/>
      <c r="H68" s="2"/>
      <c r="I68" s="2"/>
      <c r="J68" s="2"/>
      <c r="K68" s="2"/>
      <c r="L68" s="2"/>
      <c r="M68" s="2"/>
      <c r="N68" s="2"/>
      <c r="O68" s="2"/>
      <c r="P68" s="2"/>
      <c r="Q68" s="2"/>
      <c r="R68" s="91"/>
      <c r="S68" s="91"/>
      <c r="T68" s="341"/>
      <c r="U68" s="341"/>
      <c r="V68" s="341"/>
      <c r="W68" s="91"/>
      <c r="X68" s="91"/>
      <c r="Y68" s="91"/>
      <c r="Z68" s="91"/>
      <c r="AD68" s="91"/>
      <c r="AE68" s="91"/>
      <c r="AF68" s="91"/>
      <c r="AG68" s="91"/>
      <c r="AH68" s="91"/>
      <c r="AI68" s="91"/>
      <c r="AJ68" s="91"/>
      <c r="AK68" s="91"/>
      <c r="AL68" s="91"/>
      <c r="AM68" s="146"/>
      <c r="AN68" s="91"/>
      <c r="AO68" s="91"/>
      <c r="AP68" s="91"/>
      <c r="AQ68" s="91"/>
      <c r="AR68" s="91"/>
      <c r="AS68" s="2"/>
      <c r="AT68" s="2"/>
      <c r="AU68" s="2"/>
      <c r="AV68" s="91"/>
      <c r="AW68" s="137"/>
    </row>
    <row r="69" spans="1:50" ht="10.5" customHeight="1">
      <c r="A69" s="113"/>
      <c r="B69" s="98"/>
      <c r="C69" s="3"/>
      <c r="D69" s="3"/>
      <c r="E69" s="2"/>
      <c r="F69" s="2"/>
      <c r="G69" s="2"/>
      <c r="H69" s="2"/>
      <c r="I69" s="2"/>
      <c r="J69" s="2"/>
      <c r="K69" s="2"/>
      <c r="L69" s="2"/>
      <c r="M69" s="2"/>
      <c r="N69" s="2"/>
      <c r="O69" s="2"/>
      <c r="P69" s="2"/>
      <c r="Q69" s="2"/>
      <c r="R69" s="91"/>
      <c r="S69" s="341">
        <v>1</v>
      </c>
      <c r="T69" s="341"/>
      <c r="U69" s="91"/>
      <c r="V69" s="352">
        <f>V83</f>
        <v>32</v>
      </c>
      <c r="W69" s="352"/>
      <c r="X69" s="92"/>
      <c r="Y69" s="341">
        <f>Y83</f>
        <v>18</v>
      </c>
      <c r="Z69" s="341"/>
      <c r="AA69" s="91" t="s">
        <v>34</v>
      </c>
      <c r="AB69" s="341">
        <f>AB83</f>
        <v>0.6</v>
      </c>
      <c r="AC69" s="341"/>
      <c r="AD69" s="91"/>
      <c r="AE69" s="352"/>
      <c r="AF69" s="352"/>
      <c r="AG69" s="352"/>
      <c r="AH69" s="91"/>
      <c r="AI69" s="91" t="s">
        <v>4</v>
      </c>
      <c r="AJ69" s="352">
        <f>S69*V69*Y69*AB69</f>
        <v>345.59999999999997</v>
      </c>
      <c r="AK69" s="352"/>
      <c r="AL69" s="352"/>
      <c r="AM69" s="146" t="s">
        <v>24</v>
      </c>
      <c r="AN69" s="91"/>
      <c r="AO69" s="91"/>
      <c r="AP69" s="91"/>
      <c r="AQ69" s="91"/>
      <c r="AR69" s="91"/>
      <c r="AS69" s="2"/>
      <c r="AT69" s="2"/>
      <c r="AU69" s="2"/>
      <c r="AV69" s="91"/>
      <c r="AW69" s="137"/>
    </row>
    <row r="70" spans="1:50" ht="11.25" customHeight="1">
      <c r="A70" s="109"/>
      <c r="B70" s="98"/>
      <c r="C70" s="4"/>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7" t="s">
        <v>9</v>
      </c>
      <c r="AN70" s="3"/>
      <c r="AO70" s="3"/>
      <c r="AP70" s="91" t="s">
        <v>4</v>
      </c>
      <c r="AQ70" s="352">
        <f>-(AJ67+AJ69)</f>
        <v>-649.01819999999998</v>
      </c>
      <c r="AR70" s="341"/>
      <c r="AS70" s="341"/>
      <c r="AT70" s="341"/>
      <c r="AU70" s="91"/>
      <c r="AV70" s="91"/>
      <c r="AW70" s="137"/>
    </row>
    <row r="71" spans="1:50" ht="11.25" customHeight="1">
      <c r="A71" s="109"/>
      <c r="B71" s="99"/>
      <c r="C71" s="26"/>
      <c r="D71" s="26"/>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21"/>
      <c r="AM71" s="21"/>
      <c r="AN71" s="21"/>
      <c r="AO71" s="21"/>
      <c r="AP71" s="21"/>
      <c r="AQ71" s="119"/>
      <c r="AR71" s="386" t="s">
        <v>9</v>
      </c>
      <c r="AS71" s="386"/>
      <c r="AT71" s="386"/>
      <c r="AU71" s="21" t="s">
        <v>4</v>
      </c>
      <c r="AV71" s="124">
        <f>SUM(AQ53:AT70)</f>
        <v>2978.9318000000017</v>
      </c>
      <c r="AW71" s="157" t="s">
        <v>24</v>
      </c>
    </row>
    <row r="72" spans="1:50" ht="36" customHeight="1">
      <c r="A72" s="112">
        <v>9</v>
      </c>
      <c r="B72" s="95" t="s">
        <v>186</v>
      </c>
      <c r="C72" s="360" t="s">
        <v>18</v>
      </c>
      <c r="D72" s="361"/>
      <c r="E72" s="361"/>
      <c r="F72" s="361"/>
      <c r="G72" s="361"/>
      <c r="H72" s="361"/>
      <c r="I72" s="361"/>
      <c r="J72" s="361"/>
      <c r="K72" s="361"/>
      <c r="L72" s="361"/>
      <c r="M72" s="361"/>
      <c r="N72" s="361"/>
      <c r="O72" s="361"/>
      <c r="P72" s="361"/>
      <c r="Q72" s="361"/>
      <c r="R72" s="361"/>
      <c r="S72" s="361"/>
      <c r="T72" s="361"/>
      <c r="U72" s="361"/>
      <c r="V72" s="361"/>
      <c r="W72" s="361"/>
      <c r="X72" s="361"/>
      <c r="Y72" s="361"/>
      <c r="Z72" s="361"/>
      <c r="AA72" s="361"/>
      <c r="AB72" s="361"/>
      <c r="AC72" s="361"/>
      <c r="AD72" s="361"/>
      <c r="AE72" s="361"/>
      <c r="AF72" s="361"/>
      <c r="AG72" s="361"/>
      <c r="AH72" s="361"/>
      <c r="AI72" s="361"/>
      <c r="AJ72" s="361"/>
      <c r="AK72" s="361"/>
      <c r="AL72" s="361"/>
      <c r="AM72" s="361"/>
      <c r="AN72" s="361"/>
      <c r="AO72" s="361"/>
      <c r="AP72" s="361"/>
      <c r="AQ72" s="361"/>
      <c r="AR72" s="361"/>
      <c r="AS72" s="361"/>
      <c r="AT72" s="361"/>
      <c r="AU72" s="2"/>
      <c r="AV72" s="91"/>
      <c r="AW72" s="137"/>
    </row>
    <row r="73" spans="1:50" ht="14.25" customHeight="1">
      <c r="A73" s="113"/>
      <c r="B73" s="98"/>
      <c r="C73" s="385" t="s">
        <v>163</v>
      </c>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c r="AC73" s="374"/>
      <c r="AD73" s="2"/>
      <c r="AE73" s="2"/>
      <c r="AF73" s="2"/>
      <c r="AG73" s="2"/>
      <c r="AH73" s="2"/>
      <c r="AI73" s="2"/>
      <c r="AJ73" s="2"/>
      <c r="AK73" s="2"/>
      <c r="AL73" s="2"/>
      <c r="AM73" s="2"/>
      <c r="AN73" s="2"/>
      <c r="AO73" s="2"/>
      <c r="AP73" s="2"/>
      <c r="AQ73" s="120"/>
      <c r="AR73" s="2"/>
      <c r="AS73" s="2"/>
      <c r="AT73" s="2"/>
      <c r="AU73" s="2"/>
      <c r="AV73" s="91"/>
      <c r="AW73" s="137"/>
    </row>
    <row r="74" spans="1:50" ht="15" customHeight="1">
      <c r="A74" s="113"/>
      <c r="B74" s="98"/>
      <c r="C74" s="3"/>
      <c r="D74" s="3"/>
      <c r="E74" s="148" t="s">
        <v>164</v>
      </c>
      <c r="F74" s="3"/>
      <c r="G74" s="3"/>
      <c r="H74" s="3"/>
      <c r="I74" s="3"/>
      <c r="J74" s="3"/>
      <c r="K74" s="3"/>
      <c r="L74" s="3"/>
      <c r="M74" s="3"/>
      <c r="N74" s="3"/>
      <c r="O74" s="3"/>
      <c r="P74" s="3"/>
      <c r="Q74" s="3"/>
      <c r="R74" s="2"/>
      <c r="S74" s="2"/>
      <c r="T74" s="2"/>
      <c r="U74" s="2"/>
      <c r="V74" s="2"/>
      <c r="W74" s="2"/>
      <c r="X74" s="2"/>
      <c r="Y74" s="2"/>
      <c r="Z74" s="2"/>
      <c r="AA74" s="2"/>
      <c r="AB74" s="2"/>
      <c r="AC74" s="2"/>
      <c r="AD74" s="2"/>
      <c r="AE74" s="2"/>
      <c r="AF74" s="2"/>
      <c r="AG74" s="2"/>
      <c r="AH74" s="2"/>
      <c r="AI74" s="2"/>
      <c r="AJ74" s="2"/>
      <c r="AK74" s="2"/>
      <c r="AL74" s="2"/>
      <c r="AM74" s="2"/>
      <c r="AN74" s="2"/>
      <c r="AO74" s="2"/>
      <c r="AP74" s="2"/>
      <c r="AQ74" s="120"/>
      <c r="AR74" s="2"/>
      <c r="AS74" s="2"/>
      <c r="AT74" s="2"/>
      <c r="AU74" s="2"/>
      <c r="AV74" s="91"/>
      <c r="AW74" s="137"/>
    </row>
    <row r="75" spans="1:50" ht="12.75" customHeight="1">
      <c r="A75" s="109"/>
      <c r="B75" s="96"/>
      <c r="C75" s="2"/>
      <c r="D75" s="2"/>
      <c r="E75" s="2"/>
      <c r="F75" s="2"/>
      <c r="G75" s="2"/>
      <c r="H75" s="2"/>
      <c r="I75" s="2"/>
      <c r="J75" s="2"/>
      <c r="K75" s="2"/>
      <c r="L75" s="2"/>
      <c r="M75" s="2"/>
      <c r="N75" s="2" t="s">
        <v>84</v>
      </c>
      <c r="O75" s="2"/>
      <c r="P75" s="2"/>
      <c r="Q75" s="2"/>
      <c r="R75" s="91"/>
      <c r="S75" s="121"/>
      <c r="T75" s="121"/>
      <c r="U75" s="121"/>
      <c r="V75" s="91" t="s">
        <v>4</v>
      </c>
      <c r="W75" s="352">
        <v>0</v>
      </c>
      <c r="X75" s="352"/>
      <c r="Y75" s="352"/>
      <c r="Z75" s="352"/>
      <c r="AA75" s="91" t="s">
        <v>20</v>
      </c>
      <c r="AB75" s="339">
        <f>AC117</f>
        <v>10</v>
      </c>
      <c r="AC75" s="339"/>
      <c r="AD75" s="339"/>
      <c r="AE75" s="91" t="s">
        <v>4</v>
      </c>
      <c r="AF75" s="339">
        <f>AB75-W75</f>
        <v>10</v>
      </c>
      <c r="AG75" s="339"/>
      <c r="AH75" s="339"/>
      <c r="AI75" s="91" t="s">
        <v>6</v>
      </c>
      <c r="AJ75" s="116"/>
      <c r="AK75" s="91"/>
      <c r="AL75" s="91"/>
      <c r="AM75" s="91"/>
      <c r="AN75" s="91"/>
      <c r="AO75" s="91"/>
      <c r="AP75" s="91"/>
      <c r="AQ75" s="91"/>
      <c r="AR75" s="91"/>
      <c r="AS75" s="2"/>
      <c r="AT75" s="2"/>
      <c r="AU75" s="2"/>
      <c r="AV75" s="91"/>
      <c r="AW75" s="137"/>
    </row>
    <row r="76" spans="1:50" ht="10.5" customHeight="1">
      <c r="A76" s="113"/>
      <c r="B76" s="98"/>
      <c r="C76" s="3"/>
      <c r="D76" s="3"/>
      <c r="E76" s="2" t="s">
        <v>166</v>
      </c>
      <c r="F76" s="2"/>
      <c r="G76" s="2"/>
      <c r="H76" s="2"/>
      <c r="I76" s="2"/>
      <c r="J76" s="2"/>
      <c r="K76" s="2"/>
      <c r="L76" s="2"/>
      <c r="M76" s="2"/>
      <c r="N76" s="2"/>
      <c r="O76" s="2"/>
      <c r="P76" s="2"/>
      <c r="Q76" s="2"/>
      <c r="R76" s="91"/>
      <c r="S76" s="341">
        <v>1</v>
      </c>
      <c r="T76" s="341"/>
      <c r="U76" s="91"/>
      <c r="V76" s="352">
        <f>AB75</f>
        <v>10</v>
      </c>
      <c r="W76" s="352"/>
      <c r="X76" s="92"/>
      <c r="Y76" s="341">
        <v>2.4</v>
      </c>
      <c r="Z76" s="341"/>
      <c r="AA76" s="91" t="s">
        <v>34</v>
      </c>
      <c r="AB76" s="339">
        <v>1.75</v>
      </c>
      <c r="AC76" s="339"/>
      <c r="AD76" s="91"/>
      <c r="AE76" s="30"/>
      <c r="AF76" s="30"/>
      <c r="AG76" s="30"/>
      <c r="AH76" s="91"/>
      <c r="AI76" s="91" t="s">
        <v>4</v>
      </c>
      <c r="AJ76" s="352">
        <f>S76*V76*Y76*AB76</f>
        <v>42</v>
      </c>
      <c r="AK76" s="352"/>
      <c r="AL76" s="352"/>
      <c r="AM76" s="146" t="s">
        <v>24</v>
      </c>
      <c r="AN76" s="91"/>
      <c r="AO76" s="91"/>
      <c r="AP76" s="91"/>
      <c r="AQ76" s="91"/>
      <c r="AR76" s="91"/>
      <c r="AS76" s="2"/>
      <c r="AT76" s="2"/>
      <c r="AU76" s="2"/>
      <c r="AV76" s="91"/>
      <c r="AW76" s="137"/>
      <c r="AX76" s="81">
        <f>12.6-10.95</f>
        <v>1.6500000000000004</v>
      </c>
    </row>
    <row r="77" spans="1:50" ht="10.5" customHeight="1">
      <c r="A77" s="113"/>
      <c r="B77" s="98"/>
      <c r="C77" s="3"/>
      <c r="D77" s="3"/>
      <c r="E77" s="2" t="s">
        <v>175</v>
      </c>
      <c r="F77" s="2"/>
      <c r="G77" s="2"/>
      <c r="H77" s="2"/>
      <c r="I77" s="2"/>
      <c r="J77" s="2"/>
      <c r="K77" s="2"/>
      <c r="L77" s="2"/>
      <c r="M77" s="2"/>
      <c r="N77" s="2"/>
      <c r="O77" s="2"/>
      <c r="P77" s="2"/>
      <c r="Q77" s="2"/>
      <c r="R77" s="91"/>
      <c r="S77" s="341">
        <v>1</v>
      </c>
      <c r="T77" s="341"/>
      <c r="U77" s="91"/>
      <c r="V77" s="352">
        <f>AB75</f>
        <v>10</v>
      </c>
      <c r="W77" s="352"/>
      <c r="X77" s="92"/>
      <c r="Y77" s="339">
        <v>4</v>
      </c>
      <c r="Z77" s="339"/>
      <c r="AA77" s="91" t="s">
        <v>34</v>
      </c>
      <c r="AB77" s="341">
        <v>3.5</v>
      </c>
      <c r="AC77" s="341"/>
      <c r="AD77" s="91" t="s">
        <v>34</v>
      </c>
      <c r="AE77" s="352">
        <v>0.5</v>
      </c>
      <c r="AF77" s="352"/>
      <c r="AG77" s="352"/>
      <c r="AH77" s="91"/>
      <c r="AI77" s="91" t="s">
        <v>4</v>
      </c>
      <c r="AJ77" s="352">
        <f>S77*V77*Y77*AB77*AE77</f>
        <v>70</v>
      </c>
      <c r="AK77" s="352"/>
      <c r="AL77" s="352"/>
      <c r="AM77" s="146" t="s">
        <v>24</v>
      </c>
      <c r="AN77" s="91"/>
      <c r="AO77" s="91"/>
      <c r="AP77" s="91"/>
      <c r="AQ77" s="91"/>
      <c r="AR77" s="91"/>
      <c r="AS77" s="2"/>
      <c r="AT77" s="2"/>
      <c r="AU77" s="2"/>
      <c r="AV77" s="91"/>
      <c r="AW77" s="137"/>
    </row>
    <row r="78" spans="1:50" ht="11.25" customHeight="1">
      <c r="A78" s="113"/>
      <c r="B78" s="98"/>
      <c r="C78" s="3"/>
      <c r="D78" s="3"/>
      <c r="E78" s="332" t="s">
        <v>262</v>
      </c>
      <c r="F78" s="332"/>
      <c r="G78" s="332"/>
      <c r="H78" s="332"/>
      <c r="I78" s="332"/>
      <c r="J78" s="332"/>
      <c r="K78" s="332"/>
      <c r="L78" s="332"/>
      <c r="M78" s="332"/>
      <c r="N78" s="332"/>
      <c r="O78" s="332"/>
      <c r="P78" s="332"/>
      <c r="Q78" s="332"/>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2"/>
      <c r="AT78" s="2"/>
      <c r="AU78" s="2"/>
      <c r="AV78" s="91"/>
      <c r="AW78" s="137"/>
    </row>
    <row r="79" spans="1:50" ht="10.5" customHeight="1">
      <c r="A79" s="113"/>
      <c r="B79" s="98"/>
      <c r="C79" s="3"/>
      <c r="D79" s="3"/>
      <c r="E79" s="2" t="s">
        <v>165</v>
      </c>
      <c r="F79" s="2"/>
      <c r="G79" s="2"/>
      <c r="H79" s="2"/>
      <c r="I79" s="2"/>
      <c r="J79" s="2"/>
      <c r="K79" s="2"/>
      <c r="L79" s="2"/>
      <c r="M79" s="2"/>
      <c r="N79" s="2"/>
      <c r="O79" s="2"/>
      <c r="P79" s="2"/>
      <c r="Q79" s="2"/>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2"/>
      <c r="AT79" s="2"/>
      <c r="AU79" s="2"/>
      <c r="AV79" s="91"/>
      <c r="AW79" s="137"/>
    </row>
    <row r="80" spans="1:50" ht="10.5" customHeight="1">
      <c r="A80" s="113"/>
      <c r="B80" s="98"/>
      <c r="C80" s="3"/>
      <c r="D80" s="3"/>
      <c r="E80" s="14" t="s">
        <v>238</v>
      </c>
      <c r="F80" s="2"/>
      <c r="G80" s="2"/>
      <c r="H80" s="2"/>
      <c r="I80" s="2"/>
      <c r="J80" s="2"/>
      <c r="K80" s="2"/>
      <c r="L80" s="2"/>
      <c r="M80" s="2"/>
      <c r="N80" s="2"/>
      <c r="O80" s="2"/>
      <c r="P80" s="2"/>
      <c r="Q80" s="2" t="s">
        <v>239</v>
      </c>
      <c r="R80" s="91"/>
      <c r="S80" s="91" t="s">
        <v>4</v>
      </c>
      <c r="T80" s="352">
        <f>'E Work'!F56</f>
        <v>37.927275000000009</v>
      </c>
      <c r="U80" s="352"/>
      <c r="V80" s="146" t="s">
        <v>22</v>
      </c>
      <c r="W80" s="116"/>
      <c r="X80" s="91" t="s">
        <v>240</v>
      </c>
      <c r="Y80" s="91"/>
      <c r="Z80" s="116"/>
      <c r="AA80" s="147">
        <v>0</v>
      </c>
      <c r="AB80" s="91" t="s">
        <v>20</v>
      </c>
      <c r="AC80" s="147">
        <f>AC66</f>
        <v>8</v>
      </c>
      <c r="AD80" s="91" t="s">
        <v>4</v>
      </c>
      <c r="AE80" s="91"/>
      <c r="AF80" s="144">
        <f>AC80-AA80</f>
        <v>8</v>
      </c>
      <c r="AG80" s="91" t="s">
        <v>6</v>
      </c>
      <c r="AH80" s="91"/>
      <c r="AI80" s="116"/>
      <c r="AJ80" s="116"/>
      <c r="AK80" s="116"/>
      <c r="AL80" s="116"/>
      <c r="AM80" s="116"/>
      <c r="AN80" s="91"/>
      <c r="AO80" s="91"/>
      <c r="AP80" s="91"/>
      <c r="AQ80" s="91"/>
      <c r="AR80" s="91"/>
      <c r="AS80" s="2"/>
      <c r="AT80" s="2"/>
      <c r="AU80" s="2"/>
      <c r="AV80" s="91"/>
      <c r="AW80" s="137"/>
    </row>
    <row r="81" spans="1:49" ht="10.5" customHeight="1">
      <c r="A81" s="113"/>
      <c r="B81" s="98"/>
      <c r="C81" s="3"/>
      <c r="D81" s="3"/>
      <c r="E81" s="2"/>
      <c r="F81" s="2"/>
      <c r="G81" s="2"/>
      <c r="H81" s="2"/>
      <c r="I81" s="2"/>
      <c r="J81" s="2"/>
      <c r="K81" s="2"/>
      <c r="L81" s="2"/>
      <c r="M81" s="2"/>
      <c r="N81" s="2"/>
      <c r="O81" s="2"/>
      <c r="P81" s="2"/>
      <c r="Q81" s="2"/>
      <c r="R81" s="352"/>
      <c r="S81" s="352"/>
      <c r="T81" s="352"/>
      <c r="U81" s="91"/>
      <c r="V81" s="339" t="s">
        <v>241</v>
      </c>
      <c r="W81" s="339"/>
      <c r="X81" s="339"/>
      <c r="Y81" s="339"/>
      <c r="Z81" s="91" t="s">
        <v>4</v>
      </c>
      <c r="AA81" s="339">
        <f>T80*AF80</f>
        <v>303.41820000000007</v>
      </c>
      <c r="AB81" s="339"/>
      <c r="AC81" s="339"/>
      <c r="AD81" s="146" t="s">
        <v>24</v>
      </c>
      <c r="AG81" s="91"/>
      <c r="AH81" s="91"/>
      <c r="AI81" s="91" t="s">
        <v>4</v>
      </c>
      <c r="AJ81" s="339">
        <f>AA81</f>
        <v>303.41820000000007</v>
      </c>
      <c r="AK81" s="341"/>
      <c r="AL81" s="341"/>
      <c r="AM81" s="146" t="s">
        <v>24</v>
      </c>
      <c r="AN81" s="91"/>
      <c r="AO81" s="91"/>
      <c r="AP81" s="91"/>
      <c r="AQ81" s="91"/>
      <c r="AR81" s="91"/>
      <c r="AS81" s="2"/>
      <c r="AT81" s="2"/>
      <c r="AU81" s="2"/>
      <c r="AV81" s="91"/>
      <c r="AW81" s="137"/>
    </row>
    <row r="82" spans="1:49" ht="10.5" customHeight="1">
      <c r="A82" s="113"/>
      <c r="B82" s="98"/>
      <c r="C82" s="3"/>
      <c r="D82" s="3"/>
      <c r="E82" s="2" t="s">
        <v>166</v>
      </c>
      <c r="F82" s="2"/>
      <c r="G82" s="2"/>
      <c r="H82" s="2"/>
      <c r="I82" s="2"/>
      <c r="J82" s="2"/>
      <c r="K82" s="2"/>
      <c r="L82" s="2"/>
      <c r="M82" s="2"/>
      <c r="N82" s="2"/>
      <c r="O82" s="2"/>
      <c r="P82" s="2"/>
      <c r="Q82" s="2"/>
      <c r="R82" s="91"/>
      <c r="S82" s="91"/>
      <c r="T82" s="341"/>
      <c r="U82" s="341"/>
      <c r="V82" s="341"/>
      <c r="W82" s="91"/>
      <c r="X82" s="91"/>
      <c r="Y82" s="91"/>
      <c r="Z82" s="91"/>
      <c r="AD82" s="91"/>
      <c r="AE82" s="91"/>
      <c r="AF82" s="91"/>
      <c r="AG82" s="91"/>
      <c r="AH82" s="91"/>
      <c r="AI82" s="91"/>
      <c r="AJ82" s="91"/>
      <c r="AK82" s="91"/>
      <c r="AL82" s="91"/>
      <c r="AM82" s="146"/>
      <c r="AN82" s="91"/>
      <c r="AO82" s="91"/>
      <c r="AP82" s="91"/>
      <c r="AQ82" s="91"/>
      <c r="AR82" s="91"/>
      <c r="AS82" s="2"/>
      <c r="AT82" s="2"/>
      <c r="AU82" s="2"/>
      <c r="AV82" s="91"/>
      <c r="AW82" s="137"/>
    </row>
    <row r="83" spans="1:49" ht="10.5" customHeight="1">
      <c r="A83" s="113"/>
      <c r="B83" s="98"/>
      <c r="C83" s="3"/>
      <c r="D83" s="3"/>
      <c r="E83" s="2"/>
      <c r="F83" s="2"/>
      <c r="G83" s="2"/>
      <c r="H83" s="2"/>
      <c r="I83" s="2"/>
      <c r="J83" s="2"/>
      <c r="K83" s="2"/>
      <c r="L83" s="2"/>
      <c r="M83" s="2"/>
      <c r="N83" s="2"/>
      <c r="O83" s="2"/>
      <c r="P83" s="2"/>
      <c r="Q83" s="2"/>
      <c r="R83" s="91"/>
      <c r="S83" s="341">
        <v>1</v>
      </c>
      <c r="T83" s="341"/>
      <c r="U83" s="91"/>
      <c r="V83" s="352">
        <f>40-8</f>
        <v>32</v>
      </c>
      <c r="W83" s="352"/>
      <c r="X83" s="92"/>
      <c r="Y83" s="341">
        <v>18</v>
      </c>
      <c r="Z83" s="341"/>
      <c r="AA83" s="91" t="s">
        <v>34</v>
      </c>
      <c r="AB83" s="341">
        <v>0.6</v>
      </c>
      <c r="AC83" s="341"/>
      <c r="AD83" s="91"/>
      <c r="AE83" s="352"/>
      <c r="AF83" s="352"/>
      <c r="AG83" s="352"/>
      <c r="AH83" s="91"/>
      <c r="AI83" s="91" t="s">
        <v>4</v>
      </c>
      <c r="AJ83" s="352">
        <f>S83*V83*Y83*AB83</f>
        <v>345.59999999999997</v>
      </c>
      <c r="AK83" s="352"/>
      <c r="AL83" s="352"/>
      <c r="AM83" s="146" t="s">
        <v>24</v>
      </c>
      <c r="AN83" s="91"/>
      <c r="AO83" s="91"/>
      <c r="AP83" s="91"/>
      <c r="AQ83" s="91"/>
      <c r="AR83" s="91"/>
      <c r="AS83" s="2"/>
      <c r="AT83" s="2"/>
      <c r="AU83" s="2"/>
      <c r="AV83" s="91"/>
      <c r="AW83" s="137"/>
    </row>
    <row r="84" spans="1:49" ht="11.25" customHeight="1">
      <c r="A84" s="109"/>
      <c r="B84" s="98"/>
      <c r="C84" s="27"/>
      <c r="D84" s="26"/>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21"/>
      <c r="AM84" s="21"/>
      <c r="AN84" s="21"/>
      <c r="AO84" s="21"/>
      <c r="AP84" s="21"/>
      <c r="AQ84" s="119"/>
      <c r="AR84" s="150" t="s">
        <v>9</v>
      </c>
      <c r="AS84" s="9"/>
      <c r="AT84" s="21"/>
      <c r="AU84" s="21" t="s">
        <v>4</v>
      </c>
      <c r="AV84" s="124">
        <f>SUM(AJ76:AL83)</f>
        <v>761.01819999999998</v>
      </c>
      <c r="AW84" s="157" t="s">
        <v>24</v>
      </c>
    </row>
    <row r="85" spans="1:49" ht="39.75" customHeight="1">
      <c r="A85" s="112">
        <v>10</v>
      </c>
      <c r="B85" s="95" t="s">
        <v>162</v>
      </c>
      <c r="C85" s="360" t="s">
        <v>97</v>
      </c>
      <c r="D85" s="361"/>
      <c r="E85" s="361"/>
      <c r="F85" s="361"/>
      <c r="G85" s="361"/>
      <c r="H85" s="361"/>
      <c r="I85" s="361"/>
      <c r="J85" s="361"/>
      <c r="K85" s="361"/>
      <c r="L85" s="361"/>
      <c r="M85" s="361"/>
      <c r="N85" s="361"/>
      <c r="O85" s="361"/>
      <c r="P85" s="361"/>
      <c r="Q85" s="361"/>
      <c r="R85" s="361"/>
      <c r="S85" s="361"/>
      <c r="T85" s="361"/>
      <c r="U85" s="361"/>
      <c r="V85" s="361"/>
      <c r="W85" s="361"/>
      <c r="X85" s="361"/>
      <c r="Y85" s="361"/>
      <c r="Z85" s="361"/>
      <c r="AA85" s="361"/>
      <c r="AB85" s="361"/>
      <c r="AC85" s="361"/>
      <c r="AD85" s="361"/>
      <c r="AE85" s="361"/>
      <c r="AF85" s="361"/>
      <c r="AG85" s="361"/>
      <c r="AH85" s="361"/>
      <c r="AI85" s="361"/>
      <c r="AJ85" s="361"/>
      <c r="AK85" s="361"/>
      <c r="AL85" s="361"/>
      <c r="AM85" s="361"/>
      <c r="AN85" s="361"/>
      <c r="AO85" s="361"/>
      <c r="AP85" s="361"/>
      <c r="AQ85" s="361"/>
      <c r="AR85" s="361"/>
      <c r="AS85" s="361"/>
      <c r="AT85" s="361"/>
      <c r="AU85" s="2"/>
      <c r="AV85" s="91"/>
      <c r="AW85" s="137"/>
    </row>
    <row r="86" spans="1:49" ht="10.5" customHeight="1">
      <c r="A86" s="113"/>
      <c r="B86" s="98"/>
      <c r="C86" s="3"/>
      <c r="D86" s="3"/>
      <c r="E86" s="332" t="s">
        <v>167</v>
      </c>
      <c r="F86" s="332"/>
      <c r="G86" s="332"/>
      <c r="H86" s="332"/>
      <c r="I86" s="332"/>
      <c r="J86" s="332"/>
      <c r="K86" s="332"/>
      <c r="L86" s="332"/>
      <c r="M86" s="332"/>
      <c r="N86" s="332"/>
      <c r="O86" s="332"/>
      <c r="P86" s="332"/>
      <c r="Q86" s="332"/>
      <c r="R86" s="2"/>
      <c r="S86" s="2"/>
      <c r="T86" s="2"/>
      <c r="U86" s="2"/>
      <c r="V86" s="2"/>
      <c r="W86" s="2"/>
      <c r="X86" s="2"/>
      <c r="Y86" s="2"/>
      <c r="Z86" s="2"/>
      <c r="AA86" s="2"/>
      <c r="AB86" s="2"/>
      <c r="AC86" s="2"/>
      <c r="AD86" s="2"/>
      <c r="AE86" s="2"/>
      <c r="AF86" s="2"/>
      <c r="AG86" s="2"/>
      <c r="AH86" s="2"/>
      <c r="AI86" s="2"/>
      <c r="AJ86" s="2"/>
      <c r="AK86" s="2"/>
      <c r="AL86" s="2"/>
      <c r="AM86" s="2"/>
      <c r="AN86" s="2"/>
      <c r="AO86" s="2"/>
      <c r="AP86" s="2"/>
      <c r="AQ86" s="120"/>
      <c r="AR86" s="2"/>
      <c r="AS86" s="2"/>
      <c r="AT86" s="2"/>
      <c r="AU86" s="2"/>
      <c r="AV86" s="91"/>
      <c r="AW86" s="137"/>
    </row>
    <row r="87" spans="1:49" ht="10.5" customHeight="1">
      <c r="A87" s="113"/>
      <c r="B87" s="98"/>
      <c r="C87" s="3"/>
      <c r="D87" s="3"/>
      <c r="E87" s="2"/>
      <c r="F87" s="2"/>
      <c r="G87" s="2"/>
      <c r="H87" s="2"/>
      <c r="I87" s="2"/>
      <c r="J87" s="2"/>
      <c r="K87" s="2"/>
      <c r="L87" s="2"/>
      <c r="M87" s="2"/>
      <c r="N87" s="335"/>
      <c r="O87" s="335"/>
      <c r="P87" s="2"/>
      <c r="Q87" s="2"/>
      <c r="R87" s="2"/>
      <c r="S87" s="339">
        <v>4.5</v>
      </c>
      <c r="T87" s="339"/>
      <c r="U87" s="91"/>
      <c r="V87" s="341">
        <v>3.4750000000000001</v>
      </c>
      <c r="W87" s="341"/>
      <c r="X87" s="91"/>
      <c r="Y87" s="91"/>
      <c r="Z87" s="355">
        <v>10</v>
      </c>
      <c r="AA87" s="355"/>
      <c r="AB87" s="117" t="s">
        <v>21</v>
      </c>
      <c r="AC87" s="184">
        <v>3</v>
      </c>
      <c r="AD87" s="117"/>
      <c r="AE87" s="339"/>
      <c r="AF87" s="339"/>
      <c r="AG87" s="91"/>
      <c r="AH87" s="91"/>
      <c r="AI87" s="91" t="s">
        <v>4</v>
      </c>
      <c r="AJ87" s="341">
        <f>S87*V87*((Z87+AC87)/AB88)</f>
        <v>101.64375000000001</v>
      </c>
      <c r="AK87" s="341"/>
      <c r="AL87" s="341"/>
      <c r="AM87" s="146" t="s">
        <v>24</v>
      </c>
      <c r="AN87" s="91"/>
      <c r="AO87" s="2"/>
      <c r="AP87" s="2"/>
      <c r="AQ87" s="120"/>
      <c r="AR87" s="2"/>
      <c r="AS87" s="2"/>
      <c r="AT87" s="2"/>
      <c r="AU87" s="2"/>
      <c r="AV87" s="91"/>
      <c r="AW87" s="137"/>
    </row>
    <row r="88" spans="1:49" ht="12" customHeight="1">
      <c r="A88" s="113"/>
      <c r="B88" s="98"/>
      <c r="C88" s="3"/>
      <c r="D88" s="3"/>
      <c r="E88" s="2"/>
      <c r="F88" s="2"/>
      <c r="G88" s="2"/>
      <c r="H88" s="2"/>
      <c r="I88" s="2"/>
      <c r="J88" s="2"/>
      <c r="K88" s="2"/>
      <c r="L88" s="2"/>
      <c r="M88" s="2"/>
      <c r="N88" s="2"/>
      <c r="O88" s="2"/>
      <c r="P88" s="2"/>
      <c r="Q88" s="2"/>
      <c r="R88" s="2"/>
      <c r="S88" s="92"/>
      <c r="T88" s="92"/>
      <c r="U88" s="91"/>
      <c r="V88" s="91"/>
      <c r="W88" s="91"/>
      <c r="X88" s="91"/>
      <c r="Y88" s="91"/>
      <c r="Z88" s="91"/>
      <c r="AA88" s="91"/>
      <c r="AB88" s="91">
        <v>2</v>
      </c>
      <c r="AC88" s="91"/>
      <c r="AD88" s="91"/>
      <c r="AE88" s="91"/>
      <c r="AF88" s="91"/>
      <c r="AG88" s="91"/>
      <c r="AH88" s="91"/>
      <c r="AI88" s="91"/>
      <c r="AJ88" s="91"/>
      <c r="AK88" s="91"/>
      <c r="AL88" s="118"/>
      <c r="AM88" s="118"/>
      <c r="AN88" s="118"/>
      <c r="AO88" s="21"/>
      <c r="AP88" s="21"/>
      <c r="AQ88" s="119"/>
      <c r="AR88" s="9" t="s">
        <v>9</v>
      </c>
      <c r="AS88" s="9"/>
      <c r="AT88" s="21"/>
      <c r="AU88" s="21" t="s">
        <v>4</v>
      </c>
      <c r="AV88" s="124">
        <f>SUM(AJ87)</f>
        <v>101.64375000000001</v>
      </c>
      <c r="AW88" s="157" t="s">
        <v>24</v>
      </c>
    </row>
    <row r="89" spans="1:49" ht="27" customHeight="1">
      <c r="A89" s="387">
        <v>11</v>
      </c>
      <c r="B89" s="95" t="s">
        <v>177</v>
      </c>
      <c r="C89" s="360" t="s">
        <v>178</v>
      </c>
      <c r="D89" s="361"/>
      <c r="E89" s="361"/>
      <c r="F89" s="361"/>
      <c r="G89" s="361"/>
      <c r="H89" s="361"/>
      <c r="I89" s="361"/>
      <c r="J89" s="361"/>
      <c r="K89" s="361"/>
      <c r="L89" s="361"/>
      <c r="M89" s="361"/>
      <c r="N89" s="361"/>
      <c r="O89" s="361"/>
      <c r="P89" s="361"/>
      <c r="Q89" s="361"/>
      <c r="R89" s="361"/>
      <c r="S89" s="361"/>
      <c r="T89" s="361"/>
      <c r="U89" s="361"/>
      <c r="V89" s="361"/>
      <c r="W89" s="361"/>
      <c r="X89" s="361"/>
      <c r="Y89" s="361"/>
      <c r="Z89" s="361"/>
      <c r="AA89" s="361"/>
      <c r="AB89" s="361"/>
      <c r="AC89" s="361"/>
      <c r="AD89" s="361"/>
      <c r="AE89" s="361"/>
      <c r="AF89" s="361"/>
      <c r="AG89" s="361"/>
      <c r="AH89" s="361"/>
      <c r="AI89" s="361"/>
      <c r="AJ89" s="361"/>
      <c r="AK89" s="361"/>
      <c r="AL89" s="361"/>
      <c r="AM89" s="361"/>
      <c r="AN89" s="361"/>
      <c r="AO89" s="361"/>
      <c r="AP89" s="361"/>
      <c r="AQ89" s="361"/>
      <c r="AR89" s="361"/>
      <c r="AS89" s="361"/>
      <c r="AT89" s="361"/>
      <c r="AU89" s="10"/>
      <c r="AV89" s="123"/>
      <c r="AW89" s="156"/>
    </row>
    <row r="90" spans="1:49">
      <c r="A90" s="388"/>
      <c r="B90" s="93" t="s">
        <v>179</v>
      </c>
      <c r="C90" s="10" t="s">
        <v>180</v>
      </c>
      <c r="D90" s="10"/>
      <c r="E90" s="10"/>
      <c r="F90" s="10"/>
      <c r="G90" s="10"/>
      <c r="H90" s="10"/>
      <c r="I90" s="10"/>
      <c r="J90" s="10"/>
      <c r="K90" s="10"/>
      <c r="L90" s="33"/>
      <c r="M90" s="33"/>
      <c r="N90" s="33"/>
      <c r="O90" s="33"/>
      <c r="P90" s="33"/>
      <c r="Q90" s="33"/>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41"/>
      <c r="AR90" s="10"/>
      <c r="AS90" s="10"/>
      <c r="AT90" s="10"/>
      <c r="AU90" s="10"/>
      <c r="AV90" s="123"/>
      <c r="AW90" s="156"/>
    </row>
    <row r="91" spans="1:49">
      <c r="A91" s="388"/>
      <c r="B91" s="96"/>
      <c r="C91" s="2"/>
      <c r="D91" s="2"/>
      <c r="E91" s="2"/>
      <c r="F91" s="332" t="s">
        <v>245</v>
      </c>
      <c r="G91" s="332"/>
      <c r="H91" s="332"/>
      <c r="I91" s="332"/>
      <c r="J91" s="332"/>
      <c r="K91" s="332"/>
      <c r="L91" s="332"/>
      <c r="M91" s="332"/>
      <c r="N91" s="332"/>
      <c r="O91" s="332"/>
      <c r="P91" s="1"/>
      <c r="Q91" s="1"/>
      <c r="R91" s="2"/>
      <c r="AD91" s="2"/>
      <c r="AE91" s="2"/>
      <c r="AF91" s="2"/>
      <c r="AG91" s="2"/>
      <c r="AH91" s="2"/>
      <c r="AI91" s="2"/>
      <c r="AJ91" s="2"/>
      <c r="AK91" s="2"/>
      <c r="AL91" s="2"/>
      <c r="AM91" s="2"/>
      <c r="AN91" s="2"/>
      <c r="AO91" s="2"/>
      <c r="AP91" s="2"/>
      <c r="AQ91" s="120"/>
      <c r="AR91" s="2"/>
      <c r="AS91" s="2"/>
      <c r="AT91" s="2"/>
      <c r="AU91" s="2"/>
      <c r="AV91" s="91"/>
      <c r="AW91" s="137"/>
    </row>
    <row r="92" spans="1:49" ht="12.75" customHeight="1">
      <c r="A92" s="388"/>
      <c r="B92" s="96"/>
      <c r="C92" s="2"/>
      <c r="D92" s="2"/>
      <c r="E92" s="2"/>
      <c r="F92" s="2"/>
      <c r="G92" s="2"/>
      <c r="H92" s="2"/>
      <c r="I92" s="2"/>
      <c r="J92" s="2" t="s">
        <v>287</v>
      </c>
      <c r="K92" s="2"/>
      <c r="L92" s="2"/>
      <c r="M92" s="2"/>
      <c r="N92" s="2" t="s">
        <v>21</v>
      </c>
      <c r="O92" s="2" t="s">
        <v>288</v>
      </c>
      <c r="P92" s="1"/>
      <c r="Q92" s="1"/>
      <c r="R92" s="2" t="s">
        <v>4</v>
      </c>
      <c r="S92" s="339">
        <f>AV84</f>
        <v>761.01819999999998</v>
      </c>
      <c r="T92" s="341"/>
      <c r="U92" s="341"/>
      <c r="V92" s="2" t="s">
        <v>21</v>
      </c>
      <c r="W92" s="339">
        <f>AV71</f>
        <v>2978.9318000000017</v>
      </c>
      <c r="X92" s="341"/>
      <c r="Y92" s="341"/>
      <c r="Z92" s="81" t="s">
        <v>4</v>
      </c>
      <c r="AA92" s="339">
        <f>S92+W92</f>
        <v>3739.9500000000016</v>
      </c>
      <c r="AB92" s="339"/>
      <c r="AC92" s="339"/>
      <c r="AD92" s="1" t="s">
        <v>24</v>
      </c>
      <c r="AE92" s="1"/>
      <c r="AF92" s="2"/>
      <c r="AG92" s="2"/>
      <c r="AH92" s="2"/>
      <c r="AI92" s="2"/>
      <c r="AJ92" s="2"/>
      <c r="AK92" s="2"/>
      <c r="AL92" s="2"/>
      <c r="AM92" s="2"/>
      <c r="AN92" s="2"/>
      <c r="AO92" s="2"/>
      <c r="AP92" s="2"/>
      <c r="AQ92" s="120"/>
      <c r="AR92" s="2"/>
      <c r="AS92" s="2"/>
      <c r="AT92" s="2"/>
      <c r="AU92" s="2"/>
      <c r="AV92" s="91"/>
      <c r="AW92" s="137"/>
    </row>
    <row r="93" spans="1:49">
      <c r="A93" s="389"/>
      <c r="B93" s="97"/>
      <c r="C93" s="32"/>
      <c r="D93" s="17"/>
      <c r="E93" s="17"/>
      <c r="G93" s="17"/>
      <c r="H93" s="17"/>
      <c r="I93" s="17"/>
      <c r="J93" s="17"/>
      <c r="K93" s="17"/>
      <c r="L93" s="18"/>
      <c r="M93" s="18"/>
      <c r="N93" s="18"/>
      <c r="O93" s="18"/>
      <c r="P93" s="18"/>
      <c r="Q93" s="18"/>
      <c r="R93" s="17"/>
      <c r="AD93" s="17"/>
      <c r="AE93" s="17"/>
      <c r="AF93" s="17"/>
      <c r="AG93" s="17"/>
      <c r="AH93" s="17"/>
      <c r="AI93" s="17"/>
      <c r="AJ93" s="17"/>
      <c r="AK93" s="17"/>
      <c r="AL93" s="21"/>
      <c r="AM93" s="334" t="s">
        <v>192</v>
      </c>
      <c r="AN93" s="334"/>
      <c r="AO93" s="334"/>
      <c r="AP93" s="334"/>
      <c r="AQ93" s="334"/>
      <c r="AR93" s="334"/>
      <c r="AS93" s="334"/>
      <c r="AT93" s="334"/>
      <c r="AU93" s="21" t="s">
        <v>4</v>
      </c>
      <c r="AV93" s="126">
        <f>AA92</f>
        <v>3739.9500000000016</v>
      </c>
      <c r="AW93" s="155" t="s">
        <v>24</v>
      </c>
    </row>
    <row r="94" spans="1:49" ht="27" customHeight="1">
      <c r="A94" s="112">
        <v>12</v>
      </c>
      <c r="B94" s="95" t="s">
        <v>168</v>
      </c>
      <c r="C94" s="360" t="s">
        <v>169</v>
      </c>
      <c r="D94" s="361"/>
      <c r="E94" s="361"/>
      <c r="F94" s="361"/>
      <c r="G94" s="361"/>
      <c r="H94" s="361"/>
      <c r="I94" s="361"/>
      <c r="J94" s="361"/>
      <c r="K94" s="361"/>
      <c r="L94" s="361"/>
      <c r="M94" s="361"/>
      <c r="N94" s="361"/>
      <c r="O94" s="361"/>
      <c r="P94" s="361"/>
      <c r="Q94" s="361"/>
      <c r="R94" s="361"/>
      <c r="S94" s="361"/>
      <c r="T94" s="361"/>
      <c r="U94" s="361"/>
      <c r="V94" s="361"/>
      <c r="W94" s="361"/>
      <c r="X94" s="361"/>
      <c r="Y94" s="361"/>
      <c r="Z94" s="361"/>
      <c r="AA94" s="361"/>
      <c r="AB94" s="361"/>
      <c r="AC94" s="361"/>
      <c r="AD94" s="361"/>
      <c r="AE94" s="361"/>
      <c r="AF94" s="361"/>
      <c r="AG94" s="361"/>
      <c r="AH94" s="361"/>
      <c r="AI94" s="361"/>
      <c r="AJ94" s="361"/>
      <c r="AK94" s="361"/>
      <c r="AL94" s="361"/>
      <c r="AM94" s="361"/>
      <c r="AN94" s="361"/>
      <c r="AO94" s="361"/>
      <c r="AP94" s="361"/>
      <c r="AQ94" s="361"/>
      <c r="AR94" s="361"/>
      <c r="AS94" s="361"/>
      <c r="AT94" s="361"/>
      <c r="AU94" s="2"/>
      <c r="AV94" s="91"/>
      <c r="AW94" s="137"/>
    </row>
    <row r="95" spans="1:49" ht="13.5" customHeight="1">
      <c r="A95" s="113"/>
      <c r="B95" s="98"/>
      <c r="C95" s="2" t="s">
        <v>170</v>
      </c>
      <c r="D95" s="3"/>
      <c r="E95" s="2"/>
      <c r="F95" s="2"/>
      <c r="G95" s="3"/>
      <c r="H95" s="3"/>
      <c r="I95" s="3"/>
      <c r="J95" s="3"/>
      <c r="K95" s="3"/>
      <c r="L95" s="3"/>
      <c r="M95" s="3"/>
      <c r="N95" s="3"/>
      <c r="O95" s="3"/>
      <c r="P95" s="3"/>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120"/>
      <c r="AR95" s="2"/>
      <c r="AS95" s="2"/>
      <c r="AT95" s="2"/>
      <c r="AU95" s="2"/>
      <c r="AV95" s="91"/>
      <c r="AW95" s="137"/>
    </row>
    <row r="96" spans="1:49" ht="15.75" customHeight="1">
      <c r="A96" s="113"/>
      <c r="B96" s="98"/>
      <c r="C96" s="3"/>
      <c r="D96" s="3"/>
      <c r="E96" s="2"/>
      <c r="F96" s="2"/>
      <c r="G96" s="2"/>
      <c r="H96" s="2"/>
      <c r="I96" s="2"/>
      <c r="J96" s="91">
        <v>2</v>
      </c>
      <c r="K96" s="91" t="s">
        <v>34</v>
      </c>
      <c r="L96" s="91"/>
      <c r="M96" s="339">
        <v>4.0999999999999996</v>
      </c>
      <c r="N96" s="339"/>
      <c r="O96" s="339"/>
      <c r="P96" s="91" t="s">
        <v>34</v>
      </c>
      <c r="Q96" s="339">
        <v>3</v>
      </c>
      <c r="R96" s="339"/>
      <c r="S96" s="339"/>
      <c r="T96" s="91"/>
      <c r="U96" s="91" t="s">
        <v>4</v>
      </c>
      <c r="V96" s="341">
        <f>Q96*M96*J96</f>
        <v>24.599999999999998</v>
      </c>
      <c r="W96" s="341"/>
      <c r="X96" s="146" t="s">
        <v>22</v>
      </c>
      <c r="Y96" s="91"/>
      <c r="Z96" s="341"/>
      <c r="AA96" s="341"/>
      <c r="AB96" s="91"/>
      <c r="AC96" s="339"/>
      <c r="AD96" s="339"/>
      <c r="AE96" s="91"/>
      <c r="AF96" s="91"/>
      <c r="AG96" s="2"/>
      <c r="AH96" s="2"/>
      <c r="AI96" s="2"/>
      <c r="AJ96" s="2"/>
      <c r="AK96" s="2"/>
      <c r="AL96" s="2"/>
      <c r="AM96" s="2"/>
      <c r="AN96" s="2"/>
      <c r="AO96" s="2"/>
      <c r="AP96" s="2"/>
      <c r="AQ96" s="120"/>
      <c r="AR96" s="2"/>
      <c r="AS96" s="2"/>
      <c r="AT96" s="2"/>
      <c r="AU96" s="2"/>
      <c r="AV96" s="91"/>
      <c r="AW96" s="137"/>
    </row>
    <row r="97" spans="1:50" ht="10.5" customHeight="1">
      <c r="A97" s="114"/>
      <c r="B97" s="99"/>
      <c r="C97" s="26"/>
      <c r="D97" s="26"/>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21"/>
      <c r="AM97" s="334" t="s">
        <v>192</v>
      </c>
      <c r="AN97" s="334"/>
      <c r="AO97" s="334"/>
      <c r="AP97" s="334"/>
      <c r="AQ97" s="334"/>
      <c r="AR97" s="334"/>
      <c r="AS97" s="334"/>
      <c r="AT97" s="334"/>
      <c r="AU97" s="21" t="s">
        <v>4</v>
      </c>
      <c r="AV97" s="126">
        <f>V96</f>
        <v>24.599999999999998</v>
      </c>
      <c r="AW97" s="155" t="s">
        <v>22</v>
      </c>
    </row>
    <row r="98" spans="1:50" ht="40.5" customHeight="1">
      <c r="A98" s="110">
        <v>13</v>
      </c>
      <c r="B98" s="93" t="s">
        <v>66</v>
      </c>
      <c r="C98" s="360" t="s">
        <v>67</v>
      </c>
      <c r="D98" s="361"/>
      <c r="E98" s="361"/>
      <c r="F98" s="361"/>
      <c r="G98" s="361"/>
      <c r="H98" s="361"/>
      <c r="I98" s="361"/>
      <c r="J98" s="361"/>
      <c r="K98" s="361"/>
      <c r="L98" s="361"/>
      <c r="M98" s="361"/>
      <c r="N98" s="361"/>
      <c r="O98" s="361"/>
      <c r="P98" s="361"/>
      <c r="Q98" s="361"/>
      <c r="R98" s="361"/>
      <c r="S98" s="361"/>
      <c r="T98" s="361"/>
      <c r="U98" s="361"/>
      <c r="V98" s="361"/>
      <c r="W98" s="361"/>
      <c r="X98" s="361"/>
      <c r="Y98" s="361"/>
      <c r="Z98" s="361"/>
      <c r="AA98" s="361"/>
      <c r="AB98" s="361"/>
      <c r="AC98" s="361"/>
      <c r="AD98" s="361"/>
      <c r="AE98" s="361"/>
      <c r="AF98" s="361"/>
      <c r="AG98" s="361"/>
      <c r="AH98" s="361"/>
      <c r="AI98" s="361"/>
      <c r="AJ98" s="361"/>
      <c r="AK98" s="361"/>
      <c r="AL98" s="361"/>
      <c r="AM98" s="361"/>
      <c r="AN98" s="361"/>
      <c r="AO98" s="361"/>
      <c r="AP98" s="361"/>
      <c r="AQ98" s="361"/>
      <c r="AR98" s="361"/>
      <c r="AS98" s="361"/>
      <c r="AT98" s="361"/>
      <c r="AU98" s="2"/>
      <c r="AV98" s="91"/>
      <c r="AW98" s="137"/>
    </row>
    <row r="99" spans="1:50" ht="15" customHeight="1">
      <c r="A99" s="109"/>
      <c r="B99" s="109" t="s">
        <v>68</v>
      </c>
      <c r="C99" s="5" t="s">
        <v>69</v>
      </c>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2"/>
      <c r="AI99" s="2"/>
      <c r="AJ99" s="2"/>
      <c r="AK99" s="2"/>
      <c r="AL99" s="2"/>
      <c r="AM99" s="2"/>
      <c r="AN99" s="2"/>
      <c r="AO99" s="2"/>
      <c r="AP99" s="2"/>
      <c r="AQ99" s="120"/>
      <c r="AR99" s="2"/>
      <c r="AS99" s="2"/>
      <c r="AT99" s="2"/>
      <c r="AU99" s="2"/>
      <c r="AV99" s="91"/>
      <c r="AW99" s="137"/>
    </row>
    <row r="100" spans="1:50" ht="24.75" customHeight="1">
      <c r="A100" s="109"/>
      <c r="B100" s="109"/>
      <c r="C100" s="348" t="s">
        <v>290</v>
      </c>
      <c r="D100" s="349"/>
      <c r="E100" s="349"/>
      <c r="F100" s="349"/>
      <c r="G100" s="349"/>
      <c r="H100" s="349"/>
      <c r="I100" s="349"/>
      <c r="J100" s="349"/>
      <c r="K100" s="349"/>
      <c r="L100" s="349"/>
      <c r="M100" s="349"/>
      <c r="N100" s="349"/>
      <c r="O100" s="349"/>
      <c r="P100" s="349"/>
      <c r="Q100" s="349"/>
      <c r="R100" s="349"/>
      <c r="S100" s="349"/>
      <c r="T100" s="349"/>
      <c r="U100" s="349"/>
      <c r="V100" s="349"/>
      <c r="W100" s="349"/>
      <c r="X100" s="349"/>
      <c r="Y100" s="349"/>
      <c r="Z100" s="349"/>
      <c r="AA100" s="349"/>
      <c r="AB100" s="349"/>
      <c r="AC100" s="349"/>
      <c r="AD100" s="349"/>
      <c r="AE100" s="349"/>
      <c r="AF100" s="349"/>
      <c r="AG100" s="349"/>
      <c r="AH100" s="349"/>
      <c r="AI100" s="349"/>
      <c r="AJ100" s="349"/>
      <c r="AK100" s="349"/>
      <c r="AL100" s="349"/>
      <c r="AM100" s="349"/>
      <c r="AN100" s="349"/>
      <c r="AO100" s="349"/>
      <c r="AP100" s="349"/>
      <c r="AQ100" s="349"/>
      <c r="AR100" s="349"/>
      <c r="AS100" s="349"/>
      <c r="AT100" s="349"/>
      <c r="AU100" s="2"/>
      <c r="AV100" s="91"/>
      <c r="AW100" s="137"/>
    </row>
    <row r="101" spans="1:50" ht="12" customHeight="1">
      <c r="A101" s="96"/>
      <c r="B101" s="96"/>
      <c r="C101" s="5"/>
      <c r="D101" s="7"/>
      <c r="E101" s="7"/>
      <c r="F101" s="7"/>
      <c r="G101" s="121">
        <v>3</v>
      </c>
      <c r="H101" s="359" t="s">
        <v>12</v>
      </c>
      <c r="I101" s="359"/>
      <c r="J101" s="359">
        <v>20</v>
      </c>
      <c r="K101" s="359"/>
      <c r="L101" s="374" t="s">
        <v>70</v>
      </c>
      <c r="M101" s="374"/>
      <c r="N101" s="91"/>
      <c r="O101" s="91"/>
      <c r="P101" s="359">
        <v>10</v>
      </c>
      <c r="Q101" s="359"/>
      <c r="R101" s="145" t="s">
        <v>71</v>
      </c>
      <c r="S101" s="121"/>
      <c r="T101" s="121"/>
      <c r="U101" s="121"/>
      <c r="V101" s="121"/>
      <c r="W101" s="121"/>
      <c r="X101" s="121"/>
      <c r="Y101" s="121"/>
      <c r="Z101" s="121"/>
      <c r="AA101" s="91"/>
      <c r="AB101" s="91"/>
      <c r="AC101" s="91"/>
      <c r="AD101" s="121"/>
      <c r="AE101" s="121"/>
      <c r="AF101" s="121"/>
      <c r="AG101" s="121"/>
      <c r="AH101" s="91"/>
      <c r="AI101" s="91"/>
      <c r="AJ101" s="91"/>
      <c r="AK101" s="91"/>
      <c r="AL101" s="91"/>
      <c r="AM101" s="91"/>
      <c r="AN101" s="91"/>
      <c r="AO101" s="91"/>
      <c r="AP101" s="2"/>
      <c r="AQ101" s="120"/>
      <c r="AR101" s="2"/>
      <c r="AS101" s="2"/>
      <c r="AT101" s="2"/>
      <c r="AU101" s="2"/>
      <c r="AV101" s="91"/>
      <c r="AW101" s="137"/>
    </row>
    <row r="102" spans="1:50">
      <c r="A102" s="96"/>
      <c r="B102" s="96"/>
      <c r="C102" s="5"/>
      <c r="D102" s="7"/>
      <c r="E102" s="7"/>
      <c r="F102" s="7"/>
      <c r="G102" s="121">
        <f>G101</f>
        <v>3</v>
      </c>
      <c r="H102" s="121" t="s">
        <v>34</v>
      </c>
      <c r="I102" s="359">
        <f>J101</f>
        <v>20</v>
      </c>
      <c r="J102" s="359"/>
      <c r="K102" s="121" t="s">
        <v>34</v>
      </c>
      <c r="L102" s="359">
        <f>P101</f>
        <v>10</v>
      </c>
      <c r="M102" s="359"/>
      <c r="N102" s="121" t="s">
        <v>34</v>
      </c>
      <c r="O102" s="359">
        <v>60</v>
      </c>
      <c r="P102" s="359"/>
      <c r="Q102" s="121" t="s">
        <v>34</v>
      </c>
      <c r="R102" s="359">
        <v>60</v>
      </c>
      <c r="S102" s="359"/>
      <c r="T102" s="121" t="s">
        <v>34</v>
      </c>
      <c r="U102" s="359">
        <v>70</v>
      </c>
      <c r="V102" s="359"/>
      <c r="W102" s="145" t="s">
        <v>72</v>
      </c>
      <c r="X102" s="91"/>
      <c r="Y102" s="91"/>
      <c r="Z102" s="91"/>
      <c r="AA102" s="91"/>
      <c r="AB102" s="91"/>
      <c r="AC102" s="91"/>
      <c r="AD102" s="91" t="s">
        <v>4</v>
      </c>
      <c r="AE102" s="375">
        <f>(G102*I102*L102*O102*R102*U102)/100</f>
        <v>1512000</v>
      </c>
      <c r="AF102" s="375"/>
      <c r="AG102" s="375"/>
      <c r="AH102" s="375"/>
      <c r="AI102" s="375"/>
      <c r="AJ102" s="121" t="s">
        <v>73</v>
      </c>
      <c r="AK102" s="91"/>
      <c r="AL102" s="91"/>
      <c r="AM102" s="91"/>
      <c r="AN102" s="91"/>
      <c r="AO102" s="91"/>
      <c r="AP102" s="2"/>
      <c r="AQ102" s="120"/>
      <c r="AR102" s="2"/>
      <c r="AS102" s="2"/>
      <c r="AT102" s="2"/>
      <c r="AU102" s="2"/>
      <c r="AV102" s="91"/>
      <c r="AW102" s="137"/>
    </row>
    <row r="103" spans="1:50" ht="14.25" customHeight="1">
      <c r="A103" s="96"/>
      <c r="B103" s="96"/>
      <c r="C103" s="5"/>
      <c r="D103" s="7"/>
      <c r="E103" s="7"/>
      <c r="F103" s="7"/>
      <c r="G103" s="121"/>
      <c r="H103" s="121"/>
      <c r="I103" s="121"/>
      <c r="J103" s="121"/>
      <c r="K103" s="121"/>
      <c r="L103" s="121"/>
      <c r="M103" s="121"/>
      <c r="N103" s="121"/>
      <c r="O103" s="121"/>
      <c r="P103" s="121"/>
      <c r="Q103" s="121"/>
      <c r="R103" s="121"/>
      <c r="S103" s="121"/>
      <c r="T103" s="121"/>
      <c r="U103" s="121"/>
      <c r="V103" s="121"/>
      <c r="W103" s="121"/>
      <c r="X103" s="91"/>
      <c r="Y103" s="91"/>
      <c r="Z103" s="91"/>
      <c r="AA103" s="91"/>
      <c r="AB103" s="91"/>
      <c r="AC103" s="91"/>
      <c r="AD103" s="121" t="s">
        <v>4</v>
      </c>
      <c r="AE103" s="354">
        <f>AE102/35.31</f>
        <v>42820.730671197962</v>
      </c>
      <c r="AF103" s="354"/>
      <c r="AG103" s="354"/>
      <c r="AH103" s="354"/>
      <c r="AI103" s="354"/>
      <c r="AJ103" s="145" t="s">
        <v>24</v>
      </c>
      <c r="AK103" s="121"/>
      <c r="AL103" s="121"/>
      <c r="AM103" s="121"/>
      <c r="AN103" s="91"/>
      <c r="AO103" s="91"/>
      <c r="AP103" s="2"/>
      <c r="AQ103" s="120"/>
      <c r="AR103" s="2"/>
      <c r="AS103" s="2"/>
      <c r="AT103" s="2"/>
      <c r="AU103" s="2"/>
      <c r="AV103" s="91"/>
      <c r="AW103" s="137"/>
    </row>
    <row r="104" spans="1:50" ht="12" customHeight="1">
      <c r="A104" s="97"/>
      <c r="B104" s="97"/>
      <c r="C104" s="5"/>
      <c r="D104" s="7"/>
      <c r="E104" s="7"/>
      <c r="F104" s="7"/>
      <c r="G104" s="7"/>
      <c r="H104" s="7"/>
      <c r="I104" s="7"/>
      <c r="J104" s="7"/>
      <c r="K104" s="7"/>
      <c r="L104" s="7"/>
      <c r="M104" s="7"/>
      <c r="N104" s="7"/>
      <c r="O104" s="7"/>
      <c r="P104" s="7"/>
      <c r="Q104" s="7"/>
      <c r="R104" s="7"/>
      <c r="S104" s="7"/>
      <c r="T104" s="7"/>
      <c r="U104" s="7"/>
      <c r="V104" s="7"/>
      <c r="W104" s="7"/>
      <c r="X104" s="7"/>
      <c r="Y104" s="7"/>
      <c r="Z104" s="7"/>
      <c r="AA104" s="2"/>
      <c r="AB104" s="7"/>
      <c r="AC104" s="7"/>
      <c r="AD104" s="7"/>
      <c r="AE104" s="7"/>
      <c r="AF104" s="2"/>
      <c r="AG104" s="2"/>
      <c r="AH104" s="2"/>
      <c r="AI104" s="2"/>
      <c r="AJ104" s="2"/>
      <c r="AK104" s="2"/>
      <c r="AL104" s="10"/>
      <c r="AM104" s="10"/>
      <c r="AN104" s="10"/>
      <c r="AO104" s="10"/>
      <c r="AP104" s="10"/>
      <c r="AQ104" s="141"/>
      <c r="AR104" s="21"/>
      <c r="AS104" s="151" t="s">
        <v>9</v>
      </c>
      <c r="AT104" s="21"/>
      <c r="AU104" s="21" t="s">
        <v>4</v>
      </c>
      <c r="AV104" s="134">
        <f>AE103</f>
        <v>42820.730671197962</v>
      </c>
      <c r="AW104" s="186" t="s">
        <v>24</v>
      </c>
      <c r="AX104" s="278"/>
    </row>
    <row r="105" spans="1:50" ht="48.75" customHeight="1">
      <c r="A105" s="109">
        <v>14</v>
      </c>
      <c r="B105" s="112" t="s">
        <v>274</v>
      </c>
      <c r="C105" s="360" t="s">
        <v>273</v>
      </c>
      <c r="D105" s="361"/>
      <c r="E105" s="361"/>
      <c r="F105" s="361"/>
      <c r="G105" s="361"/>
      <c r="H105" s="361"/>
      <c r="I105" s="361"/>
      <c r="J105" s="361"/>
      <c r="K105" s="361"/>
      <c r="L105" s="361"/>
      <c r="M105" s="361"/>
      <c r="N105" s="361"/>
      <c r="O105" s="361"/>
      <c r="P105" s="361"/>
      <c r="Q105" s="361"/>
      <c r="R105" s="361"/>
      <c r="S105" s="361"/>
      <c r="T105" s="361"/>
      <c r="U105" s="361"/>
      <c r="V105" s="361"/>
      <c r="W105" s="361"/>
      <c r="X105" s="361"/>
      <c r="Y105" s="361"/>
      <c r="Z105" s="361"/>
      <c r="AA105" s="361"/>
      <c r="AB105" s="361"/>
      <c r="AC105" s="361"/>
      <c r="AD105" s="361"/>
      <c r="AE105" s="361"/>
      <c r="AF105" s="361"/>
      <c r="AG105" s="361"/>
      <c r="AH105" s="361"/>
      <c r="AI105" s="361"/>
      <c r="AJ105" s="361"/>
      <c r="AK105" s="361"/>
      <c r="AL105" s="361"/>
      <c r="AM105" s="361"/>
      <c r="AN105" s="361"/>
      <c r="AO105" s="361"/>
      <c r="AP105" s="361"/>
      <c r="AQ105" s="361"/>
      <c r="AR105" s="361"/>
      <c r="AS105" s="361"/>
      <c r="AT105" s="361"/>
      <c r="AU105" s="2"/>
      <c r="AV105" s="91"/>
      <c r="AW105" s="137"/>
      <c r="AX105" s="278"/>
    </row>
    <row r="106" spans="1:50">
      <c r="A106" s="109"/>
      <c r="B106" s="96" t="s">
        <v>275</v>
      </c>
      <c r="C106" s="332" t="s">
        <v>79</v>
      </c>
      <c r="D106" s="332"/>
      <c r="E106" s="332"/>
      <c r="F106" s="332"/>
      <c r="G106" s="332"/>
      <c r="H106" s="332"/>
      <c r="I106" s="332"/>
      <c r="J106" s="332"/>
      <c r="K106" s="332"/>
      <c r="L106" s="332"/>
      <c r="M106" s="332"/>
      <c r="N106" s="332"/>
      <c r="O106" s="332"/>
      <c r="P106" s="332"/>
      <c r="Q106" s="332"/>
      <c r="R106" s="332"/>
      <c r="S106" s="332"/>
      <c r="T106" s="332"/>
      <c r="U106" s="332"/>
      <c r="V106" s="332"/>
      <c r="W106" s="332"/>
      <c r="X106" s="332"/>
      <c r="Y106" s="332"/>
      <c r="Z106" s="1"/>
      <c r="AA106" s="1"/>
      <c r="AB106" s="1"/>
      <c r="AC106" s="1"/>
      <c r="AD106" s="1"/>
      <c r="AE106" s="1"/>
      <c r="AF106" s="1"/>
      <c r="AG106" s="1"/>
      <c r="AH106" s="1"/>
      <c r="AI106" s="1"/>
      <c r="AJ106" s="1"/>
      <c r="AK106" s="1"/>
      <c r="AL106" s="1"/>
      <c r="AM106" s="1"/>
      <c r="AN106" s="1"/>
      <c r="AO106" s="1"/>
      <c r="AP106" s="1"/>
      <c r="AQ106" s="1"/>
      <c r="AR106" s="1"/>
      <c r="AS106" s="1"/>
      <c r="AT106" s="1"/>
      <c r="AU106" s="2"/>
      <c r="AV106" s="91"/>
      <c r="AW106" s="137"/>
      <c r="AX106" s="278"/>
    </row>
    <row r="107" spans="1:50" ht="12.75" customHeight="1">
      <c r="A107" s="109"/>
      <c r="B107" s="96"/>
      <c r="C107" s="344" t="s">
        <v>261</v>
      </c>
      <c r="D107" s="345"/>
      <c r="E107" s="345"/>
      <c r="F107" s="345"/>
      <c r="G107" s="345"/>
      <c r="H107" s="345"/>
      <c r="I107" s="345"/>
      <c r="J107" s="345"/>
      <c r="K107" s="345"/>
      <c r="L107" s="345"/>
      <c r="M107" s="345"/>
      <c r="N107" s="345"/>
      <c r="O107" s="345"/>
      <c r="P107" s="345"/>
      <c r="Q107" s="2"/>
      <c r="R107" s="2"/>
      <c r="S107" s="2"/>
      <c r="T107" s="2"/>
      <c r="U107" s="2"/>
      <c r="V107" s="2"/>
      <c r="W107" s="2"/>
      <c r="X107" s="2"/>
      <c r="Y107" s="2"/>
      <c r="Z107" s="2"/>
      <c r="AA107" s="2"/>
      <c r="AB107" s="332"/>
      <c r="AC107" s="332"/>
      <c r="AD107" s="331"/>
      <c r="AE107" s="331"/>
      <c r="AF107" s="331"/>
      <c r="AG107" s="2"/>
      <c r="AH107" s="2"/>
      <c r="AI107" s="331"/>
      <c r="AJ107" s="332"/>
      <c r="AK107" s="332"/>
      <c r="AL107" s="332"/>
      <c r="AM107" s="332"/>
      <c r="AN107" s="2"/>
      <c r="AO107" s="2"/>
      <c r="AP107" s="2"/>
      <c r="AQ107" s="120"/>
      <c r="AR107" s="2"/>
      <c r="AS107" s="2"/>
      <c r="AT107" s="2"/>
      <c r="AU107" s="2"/>
      <c r="AV107" s="91"/>
      <c r="AW107" s="137"/>
    </row>
    <row r="108" spans="1:50">
      <c r="A108" s="109"/>
      <c r="B108" s="96"/>
      <c r="C108" s="2"/>
      <c r="D108" s="2"/>
      <c r="E108" s="2"/>
      <c r="F108" s="2" t="s">
        <v>58</v>
      </c>
      <c r="G108" s="2"/>
      <c r="H108" s="2"/>
      <c r="I108" s="2"/>
      <c r="J108" s="2"/>
      <c r="K108" s="2"/>
      <c r="L108" s="2"/>
      <c r="M108" s="2"/>
      <c r="N108" s="2"/>
      <c r="O108" s="2"/>
      <c r="P108" s="332"/>
      <c r="Q108" s="332"/>
      <c r="R108" s="2"/>
      <c r="S108" s="333" t="s">
        <v>19</v>
      </c>
      <c r="T108" s="333"/>
      <c r="U108" s="333"/>
      <c r="V108" s="332" t="s">
        <v>4</v>
      </c>
      <c r="W108" s="332"/>
      <c r="X108" s="339">
        <v>0</v>
      </c>
      <c r="Y108" s="339"/>
      <c r="Z108" s="339"/>
      <c r="AA108" s="1" t="s">
        <v>20</v>
      </c>
      <c r="AB108" s="331" t="s">
        <v>6</v>
      </c>
      <c r="AC108" s="331"/>
      <c r="AD108" s="339">
        <v>8</v>
      </c>
      <c r="AE108" s="339"/>
      <c r="AF108" s="339"/>
      <c r="AG108" s="1"/>
      <c r="AH108" s="1" t="s">
        <v>4</v>
      </c>
      <c r="AI108" s="339">
        <f>AD108-X108</f>
        <v>8</v>
      </c>
      <c r="AJ108" s="339"/>
      <c r="AK108" s="339"/>
      <c r="AL108" s="331" t="s">
        <v>6</v>
      </c>
      <c r="AM108" s="331"/>
      <c r="AN108" s="2"/>
      <c r="AO108" s="2"/>
      <c r="AP108" s="2"/>
      <c r="AQ108" s="120"/>
      <c r="AR108" s="2"/>
      <c r="AS108" s="2"/>
      <c r="AT108" s="2"/>
      <c r="AU108" s="2"/>
      <c r="AV108" s="91"/>
      <c r="AW108" s="137"/>
    </row>
    <row r="109" spans="1:50">
      <c r="A109" s="109"/>
      <c r="B109" s="96"/>
      <c r="C109" s="2"/>
      <c r="D109" s="2"/>
      <c r="E109" s="2"/>
      <c r="F109" s="2"/>
      <c r="G109" s="2"/>
      <c r="H109" s="2"/>
      <c r="I109" s="2"/>
      <c r="J109" s="2"/>
      <c r="K109" s="2"/>
      <c r="L109" s="2"/>
      <c r="M109" s="2"/>
      <c r="N109" s="2"/>
      <c r="O109" s="2"/>
      <c r="P109" s="2"/>
      <c r="Q109" s="2"/>
      <c r="R109" s="2"/>
      <c r="S109" s="2"/>
      <c r="T109" s="2"/>
      <c r="U109" s="2"/>
      <c r="V109" s="2"/>
      <c r="W109" s="2"/>
      <c r="X109" s="339">
        <f>AD108</f>
        <v>8</v>
      </c>
      <c r="Y109" s="339"/>
      <c r="Z109" s="339"/>
      <c r="AA109" s="1"/>
      <c r="AB109" s="1" t="s">
        <v>6</v>
      </c>
      <c r="AC109" s="1"/>
      <c r="AD109" s="339">
        <v>20</v>
      </c>
      <c r="AE109" s="339"/>
      <c r="AF109" s="339"/>
      <c r="AG109" s="1"/>
      <c r="AH109" s="1" t="s">
        <v>4</v>
      </c>
      <c r="AI109" s="339">
        <f>AD109-X109</f>
        <v>12</v>
      </c>
      <c r="AJ109" s="339"/>
      <c r="AK109" s="339"/>
      <c r="AL109" s="331" t="s">
        <v>6</v>
      </c>
      <c r="AM109" s="331"/>
      <c r="AN109" s="2"/>
      <c r="AO109" s="2"/>
      <c r="AP109" s="2"/>
      <c r="AQ109" s="120"/>
      <c r="AR109" s="2"/>
      <c r="AS109" s="2"/>
      <c r="AT109" s="2"/>
      <c r="AU109" s="2"/>
      <c r="AV109" s="91"/>
      <c r="AW109" s="137"/>
    </row>
    <row r="110" spans="1:50">
      <c r="A110" s="109"/>
      <c r="B110" s="96"/>
      <c r="C110" s="2"/>
      <c r="D110" s="2"/>
      <c r="E110" s="2"/>
      <c r="F110" s="2"/>
      <c r="G110" s="2"/>
      <c r="H110" s="2"/>
      <c r="I110" s="2"/>
      <c r="J110" s="2"/>
      <c r="K110" s="2"/>
      <c r="L110" s="2"/>
      <c r="M110" s="2"/>
      <c r="N110" s="2"/>
      <c r="O110" s="2"/>
      <c r="P110" s="2"/>
      <c r="Q110" s="2"/>
      <c r="R110" s="2"/>
      <c r="S110" s="2"/>
      <c r="T110" s="2"/>
      <c r="U110" s="2"/>
      <c r="V110" s="2"/>
      <c r="W110" s="2"/>
      <c r="X110" s="339">
        <f>AD109</f>
        <v>20</v>
      </c>
      <c r="Y110" s="339"/>
      <c r="Z110" s="339"/>
      <c r="AA110" s="1"/>
      <c r="AB110" s="1" t="s">
        <v>6</v>
      </c>
      <c r="AC110" s="1"/>
      <c r="AD110" s="343">
        <v>37.555999999999997</v>
      </c>
      <c r="AE110" s="343"/>
      <c r="AF110" s="343"/>
      <c r="AG110" s="1"/>
      <c r="AH110" s="1" t="s">
        <v>4</v>
      </c>
      <c r="AI110" s="339">
        <f>AD110-X110</f>
        <v>17.555999999999997</v>
      </c>
      <c r="AJ110" s="339"/>
      <c r="AK110" s="339"/>
      <c r="AL110" s="331" t="s">
        <v>6</v>
      </c>
      <c r="AM110" s="331"/>
      <c r="AN110" s="2"/>
      <c r="AO110" s="2"/>
      <c r="AP110" s="2"/>
      <c r="AQ110" s="120"/>
      <c r="AR110" s="2"/>
      <c r="AS110" s="2"/>
      <c r="AT110" s="2"/>
      <c r="AU110" s="2"/>
      <c r="AV110" s="91"/>
      <c r="AW110" s="137"/>
    </row>
    <row r="111" spans="1:50">
      <c r="A111" s="109"/>
      <c r="B111" s="96"/>
      <c r="C111" s="2"/>
      <c r="D111" s="2"/>
      <c r="E111" s="2"/>
      <c r="F111" s="2"/>
      <c r="G111" s="2"/>
      <c r="H111" s="2"/>
      <c r="I111" s="2"/>
      <c r="J111" s="2"/>
      <c r="K111" s="2"/>
      <c r="L111" s="2"/>
      <c r="M111" s="2"/>
      <c r="N111" s="2"/>
      <c r="O111" s="2"/>
      <c r="P111" s="2"/>
      <c r="Q111" s="2"/>
      <c r="R111" s="2"/>
      <c r="S111" s="2"/>
      <c r="T111" s="2"/>
      <c r="U111" s="2"/>
      <c r="V111" s="2"/>
      <c r="W111" s="2"/>
      <c r="X111" s="1"/>
      <c r="Y111" s="1"/>
      <c r="Z111" s="1"/>
      <c r="AA111" s="1"/>
      <c r="AB111" s="1"/>
      <c r="AC111" s="1"/>
      <c r="AD111" s="331" t="s">
        <v>9</v>
      </c>
      <c r="AE111" s="331"/>
      <c r="AF111" s="331"/>
      <c r="AG111" s="1"/>
      <c r="AH111" s="1" t="s">
        <v>4</v>
      </c>
      <c r="AI111" s="339">
        <f>AI108+AI109+AI110</f>
        <v>37.555999999999997</v>
      </c>
      <c r="AJ111" s="339"/>
      <c r="AK111" s="339"/>
      <c r="AL111" s="331" t="s">
        <v>6</v>
      </c>
      <c r="AM111" s="331"/>
      <c r="AN111" s="2"/>
      <c r="AO111" s="2"/>
      <c r="AP111" s="2"/>
      <c r="AQ111" s="120"/>
      <c r="AR111" s="2"/>
      <c r="AS111" s="2"/>
      <c r="AT111" s="2"/>
      <c r="AU111" s="2"/>
      <c r="AV111" s="91"/>
      <c r="AW111" s="137"/>
    </row>
    <row r="112" spans="1:50">
      <c r="A112" s="109"/>
      <c r="B112" s="96"/>
      <c r="C112" s="2"/>
      <c r="D112" s="2"/>
      <c r="E112" s="2"/>
      <c r="F112" s="332" t="s">
        <v>160</v>
      </c>
      <c r="G112" s="332"/>
      <c r="H112" s="332"/>
      <c r="I112" s="332"/>
      <c r="J112" s="332"/>
      <c r="K112" s="332"/>
      <c r="L112" s="2"/>
      <c r="M112" s="2"/>
      <c r="N112" s="2"/>
      <c r="O112" s="2" t="s">
        <v>4</v>
      </c>
      <c r="P112" s="331">
        <v>17.350000000000001</v>
      </c>
      <c r="Q112" s="331"/>
      <c r="R112" s="331"/>
      <c r="S112" s="2" t="s">
        <v>6</v>
      </c>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120"/>
      <c r="AR112" s="2"/>
      <c r="AS112" s="2"/>
      <c r="AT112" s="2"/>
      <c r="AU112" s="2"/>
      <c r="AV112" s="91"/>
      <c r="AW112" s="137"/>
    </row>
    <row r="113" spans="1:51">
      <c r="A113" s="109"/>
      <c r="B113" s="96"/>
      <c r="C113" s="2"/>
      <c r="D113" s="2"/>
      <c r="E113" s="2"/>
      <c r="F113" s="332" t="s">
        <v>161</v>
      </c>
      <c r="G113" s="332"/>
      <c r="H113" s="332"/>
      <c r="I113" s="332"/>
      <c r="J113" s="332"/>
      <c r="K113" s="332"/>
      <c r="L113" s="2"/>
      <c r="M113" s="2"/>
      <c r="N113" s="2"/>
      <c r="O113" s="2" t="s">
        <v>4</v>
      </c>
      <c r="P113" s="331">
        <v>18</v>
      </c>
      <c r="Q113" s="331"/>
      <c r="R113" s="331"/>
      <c r="S113" s="2" t="s">
        <v>6</v>
      </c>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120"/>
      <c r="AR113" s="2"/>
      <c r="AS113" s="2"/>
      <c r="AT113" s="2"/>
      <c r="AU113" s="2"/>
      <c r="AV113" s="91"/>
      <c r="AW113" s="137"/>
    </row>
    <row r="114" spans="1:51">
      <c r="A114" s="111"/>
      <c r="B114" s="97"/>
      <c r="C114" s="17"/>
      <c r="D114" s="17"/>
      <c r="E114" s="17"/>
      <c r="F114" s="356"/>
      <c r="G114" s="356"/>
      <c r="H114" s="356"/>
      <c r="I114" s="356"/>
      <c r="J114" s="356"/>
      <c r="K114" s="356"/>
      <c r="L114" s="17"/>
      <c r="M114" s="17"/>
      <c r="N114" s="17"/>
      <c r="O114" s="17"/>
      <c r="P114" s="337"/>
      <c r="Q114" s="337"/>
      <c r="R114" s="337"/>
      <c r="S114" s="17"/>
      <c r="T114" s="17"/>
      <c r="U114" s="17"/>
      <c r="V114" s="17"/>
      <c r="W114" s="17"/>
      <c r="X114" s="17"/>
      <c r="Y114" s="17"/>
      <c r="Z114" s="17"/>
      <c r="AA114" s="17"/>
      <c r="AB114" s="17"/>
      <c r="AC114" s="17"/>
      <c r="AD114" s="17"/>
      <c r="AE114" s="17"/>
      <c r="AF114" s="356" t="s">
        <v>25</v>
      </c>
      <c r="AG114" s="356"/>
      <c r="AH114" s="356"/>
      <c r="AI114" s="356"/>
      <c r="AJ114" s="356"/>
      <c r="AK114" s="356"/>
      <c r="AL114" s="356"/>
      <c r="AM114" s="17" t="s">
        <v>4</v>
      </c>
      <c r="AN114" s="355">
        <f>P112*AI108+AI109*P113+AI110*P113</f>
        <v>670.80799999999999</v>
      </c>
      <c r="AO114" s="355"/>
      <c r="AP114" s="355"/>
      <c r="AQ114" s="355"/>
      <c r="AR114" s="355"/>
      <c r="AS114" s="356" t="s">
        <v>22</v>
      </c>
      <c r="AT114" s="356"/>
      <c r="AU114" s="17"/>
      <c r="AV114" s="117"/>
      <c r="AW114" s="158"/>
    </row>
    <row r="115" spans="1:51">
      <c r="A115" s="110"/>
      <c r="B115" s="93"/>
      <c r="C115" s="10"/>
      <c r="D115" s="10"/>
      <c r="E115" s="367" t="s">
        <v>246</v>
      </c>
      <c r="F115" s="367"/>
      <c r="G115" s="367"/>
      <c r="H115" s="367"/>
      <c r="I115" s="367"/>
      <c r="J115" s="367"/>
      <c r="K115" s="367"/>
      <c r="L115" s="367"/>
      <c r="M115" s="367"/>
      <c r="N115" s="367"/>
      <c r="O115" s="367"/>
      <c r="P115" s="367"/>
      <c r="Q115" s="367"/>
      <c r="R115" s="367"/>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41"/>
      <c r="AR115" s="10"/>
      <c r="AS115" s="10"/>
      <c r="AT115" s="10"/>
      <c r="AU115" s="10"/>
      <c r="AV115" s="123"/>
      <c r="AW115" s="156"/>
    </row>
    <row r="116" spans="1:51">
      <c r="A116" s="109"/>
      <c r="B116" s="96"/>
      <c r="C116" s="2"/>
      <c r="D116" s="2"/>
      <c r="E116" s="332" t="s">
        <v>77</v>
      </c>
      <c r="F116" s="332"/>
      <c r="G116" s="332"/>
      <c r="H116" s="332"/>
      <c r="I116" s="332"/>
      <c r="J116" s="332"/>
      <c r="K116" s="332"/>
      <c r="L116" s="332"/>
      <c r="M116" s="332"/>
      <c r="N116" s="332"/>
      <c r="O116" s="332"/>
      <c r="P116" s="332"/>
      <c r="Q116" s="332"/>
      <c r="R116" s="332"/>
      <c r="S116" s="332"/>
      <c r="T116" s="2"/>
      <c r="U116" s="2"/>
      <c r="V116" s="2"/>
      <c r="W116" s="2"/>
      <c r="X116" s="2"/>
      <c r="Y116" s="1"/>
      <c r="Z116" s="1"/>
      <c r="AA116" s="1"/>
      <c r="AB116" s="2"/>
      <c r="AC116" s="2"/>
      <c r="AD116" s="2"/>
      <c r="AE116" s="1"/>
      <c r="AF116" s="1"/>
      <c r="AG116" s="1"/>
      <c r="AH116" s="2"/>
      <c r="AI116" s="2"/>
      <c r="AJ116" s="1"/>
      <c r="AK116" s="1"/>
      <c r="AL116" s="1"/>
      <c r="AM116" s="1"/>
      <c r="AN116" s="2"/>
      <c r="AO116" s="2"/>
      <c r="AP116" s="2"/>
      <c r="AQ116" s="120"/>
      <c r="AR116" s="2"/>
      <c r="AS116" s="2"/>
      <c r="AT116" s="2"/>
      <c r="AU116" s="2"/>
      <c r="AV116" s="91"/>
      <c r="AW116" s="137"/>
    </row>
    <row r="117" spans="1:51">
      <c r="A117" s="109"/>
      <c r="B117" s="96"/>
      <c r="C117" s="2"/>
      <c r="D117" s="2"/>
      <c r="E117" s="2"/>
      <c r="F117" s="2"/>
      <c r="G117" s="2"/>
      <c r="H117" s="2"/>
      <c r="I117" s="2"/>
      <c r="J117" s="2"/>
      <c r="K117" s="2"/>
      <c r="L117" s="2"/>
      <c r="M117" s="2"/>
      <c r="N117" s="2"/>
      <c r="O117" s="2"/>
      <c r="P117" s="332"/>
      <c r="Q117" s="332"/>
      <c r="R117" s="2"/>
      <c r="T117" s="2"/>
      <c r="U117" s="2" t="s">
        <v>19</v>
      </c>
      <c r="W117" s="2" t="s">
        <v>4</v>
      </c>
      <c r="X117" s="331">
        <v>0</v>
      </c>
      <c r="Y117" s="331"/>
      <c r="Z117" s="331"/>
      <c r="AA117" s="1" t="s">
        <v>20</v>
      </c>
      <c r="AB117" s="1" t="s">
        <v>6</v>
      </c>
      <c r="AC117" s="30">
        <v>10</v>
      </c>
      <c r="AD117" s="1" t="s">
        <v>4</v>
      </c>
      <c r="AE117" s="331">
        <f>AC117-X1033</f>
        <v>10</v>
      </c>
      <c r="AF117" s="331"/>
      <c r="AG117" s="1" t="s">
        <v>6</v>
      </c>
      <c r="AI117" s="1"/>
      <c r="AN117" s="2"/>
      <c r="AO117" s="2"/>
      <c r="AP117" s="2"/>
      <c r="AQ117" s="120"/>
      <c r="AR117" s="2"/>
      <c r="AS117" s="2"/>
      <c r="AT117" s="2"/>
      <c r="AU117" s="2"/>
      <c r="AV117" s="91"/>
      <c r="AW117" s="137"/>
    </row>
    <row r="118" spans="1:51">
      <c r="A118" s="96"/>
      <c r="B118" s="100"/>
      <c r="C118" s="2"/>
      <c r="D118" s="2"/>
      <c r="E118" s="2"/>
      <c r="F118" s="332" t="s">
        <v>78</v>
      </c>
      <c r="G118" s="332"/>
      <c r="H118" s="332"/>
      <c r="I118" s="332"/>
      <c r="J118" s="332"/>
      <c r="K118" s="332"/>
      <c r="L118" s="2"/>
      <c r="M118" s="2"/>
      <c r="N118" s="2"/>
      <c r="O118" s="2" t="s">
        <v>4</v>
      </c>
      <c r="P118" s="331">
        <v>2.4</v>
      </c>
      <c r="Q118" s="331"/>
      <c r="R118" s="331"/>
      <c r="S118" s="2" t="s">
        <v>6</v>
      </c>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120"/>
      <c r="AR118" s="2"/>
      <c r="AS118" s="2"/>
      <c r="AT118" s="2"/>
      <c r="AU118" s="2"/>
      <c r="AV118" s="91"/>
      <c r="AW118" s="137"/>
    </row>
    <row r="119" spans="1:51">
      <c r="A119" s="109"/>
      <c r="B119" s="96"/>
      <c r="C119" s="2"/>
      <c r="D119" s="2"/>
      <c r="E119" s="332" t="s">
        <v>90</v>
      </c>
      <c r="F119" s="332"/>
      <c r="G119" s="332"/>
      <c r="H119" s="332"/>
      <c r="I119" s="332"/>
      <c r="J119" s="332"/>
      <c r="K119" s="332"/>
      <c r="L119" s="332"/>
      <c r="M119" s="332"/>
      <c r="N119" s="332"/>
      <c r="O119" s="332"/>
      <c r="P119" s="332"/>
      <c r="Q119" s="1"/>
      <c r="R119" s="2"/>
      <c r="S119" s="2"/>
      <c r="T119" s="332" t="s">
        <v>26</v>
      </c>
      <c r="U119" s="332"/>
      <c r="V119" s="332"/>
      <c r="W119" s="332"/>
      <c r="X119" s="332"/>
      <c r="Y119" s="2"/>
      <c r="Z119" s="2" t="s">
        <v>4</v>
      </c>
      <c r="AA119" s="331">
        <f>AE117</f>
        <v>10</v>
      </c>
      <c r="AB119" s="331"/>
      <c r="AC119" s="1" t="s">
        <v>6</v>
      </c>
      <c r="AD119" s="1"/>
      <c r="AE119" s="2"/>
      <c r="AF119" s="2"/>
      <c r="AG119" s="2"/>
      <c r="AH119" s="2"/>
      <c r="AI119" s="2"/>
      <c r="AJ119" s="2"/>
      <c r="AK119" s="2"/>
      <c r="AL119" s="2"/>
      <c r="AM119" s="2"/>
      <c r="AN119" s="2"/>
      <c r="AO119" s="2"/>
      <c r="AP119" s="2"/>
      <c r="AQ119" s="120"/>
      <c r="AR119" s="2"/>
      <c r="AS119" s="2"/>
      <c r="AT119" s="2"/>
      <c r="AU119" s="2"/>
      <c r="AV119" s="91"/>
      <c r="AW119" s="137"/>
    </row>
    <row r="120" spans="1:51">
      <c r="A120" s="109"/>
      <c r="B120" s="96"/>
      <c r="C120" s="2"/>
      <c r="D120" s="2"/>
      <c r="E120" s="2"/>
      <c r="F120" s="2"/>
      <c r="G120" s="2"/>
      <c r="H120" s="2"/>
      <c r="I120" s="2"/>
      <c r="J120" s="2"/>
      <c r="K120" s="2"/>
      <c r="L120" s="2"/>
      <c r="M120" s="2"/>
      <c r="N120" s="2"/>
      <c r="O120" s="1"/>
      <c r="P120" s="1"/>
      <c r="Q120" s="1"/>
      <c r="R120" s="2"/>
      <c r="S120" s="2"/>
      <c r="T120" s="332" t="s">
        <v>27</v>
      </c>
      <c r="U120" s="332"/>
      <c r="V120" s="332"/>
      <c r="W120" s="332"/>
      <c r="X120" s="332"/>
      <c r="Y120" s="2"/>
      <c r="Z120" s="2" t="s">
        <v>4</v>
      </c>
      <c r="AA120" s="331">
        <v>2.4</v>
      </c>
      <c r="AB120" s="331"/>
      <c r="AC120" s="2" t="s">
        <v>6</v>
      </c>
      <c r="AD120" s="2"/>
      <c r="AE120" s="2"/>
      <c r="AF120" s="2"/>
      <c r="AG120" s="2"/>
      <c r="AH120" s="1"/>
      <c r="AI120" s="1"/>
      <c r="AJ120" s="1"/>
      <c r="AK120" s="1"/>
      <c r="AL120" s="1"/>
      <c r="AM120" s="2"/>
      <c r="AN120" s="2"/>
      <c r="AO120" s="2"/>
      <c r="AP120" s="2"/>
      <c r="AQ120" s="120"/>
      <c r="AR120" s="2"/>
      <c r="AS120" s="2"/>
      <c r="AT120" s="2"/>
      <c r="AU120" s="2"/>
      <c r="AV120" s="91"/>
      <c r="AW120" s="137"/>
    </row>
    <row r="121" spans="1:51" ht="12.75" customHeight="1">
      <c r="A121" s="109"/>
      <c r="B121" s="96"/>
      <c r="C121" s="2"/>
      <c r="D121" s="2"/>
      <c r="E121" s="2"/>
      <c r="F121" s="2"/>
      <c r="G121" s="2"/>
      <c r="H121" s="2"/>
      <c r="I121" s="2"/>
      <c r="J121" s="2"/>
      <c r="K121" s="2"/>
      <c r="L121" s="2"/>
      <c r="M121" s="2"/>
      <c r="N121" s="2"/>
      <c r="O121" s="1"/>
      <c r="P121" s="1"/>
      <c r="Q121" s="1"/>
      <c r="R121" s="2"/>
      <c r="S121" s="2" t="s">
        <v>247</v>
      </c>
      <c r="T121" s="2"/>
      <c r="U121" s="2"/>
      <c r="V121" s="2"/>
      <c r="W121" s="2"/>
      <c r="X121" s="2"/>
      <c r="Y121" s="2"/>
      <c r="Z121" s="2" t="s">
        <v>4</v>
      </c>
      <c r="AA121" s="331">
        <f>(AA119*AA120)</f>
        <v>24</v>
      </c>
      <c r="AB121" s="331"/>
      <c r="AC121" s="2" t="s">
        <v>22</v>
      </c>
      <c r="AE121" s="2"/>
      <c r="AF121" s="1"/>
      <c r="AI121" s="2"/>
      <c r="AJ121" s="2"/>
      <c r="AK121" s="2"/>
      <c r="AL121" s="2"/>
      <c r="AM121" s="2"/>
      <c r="AN121" s="2"/>
      <c r="AO121" s="2"/>
      <c r="AP121" s="2"/>
      <c r="AQ121" s="120"/>
      <c r="AR121" s="2"/>
      <c r="AS121" s="2"/>
      <c r="AT121" s="2"/>
      <c r="AU121" s="2"/>
      <c r="AV121" s="91"/>
      <c r="AW121" s="137"/>
    </row>
    <row r="122" spans="1:51">
      <c r="A122" s="109"/>
      <c r="B122" s="96"/>
      <c r="C122" s="2"/>
      <c r="D122" s="2"/>
      <c r="E122" s="2"/>
      <c r="F122" s="2"/>
      <c r="G122" s="2"/>
      <c r="H122" s="2"/>
      <c r="I122" s="2"/>
      <c r="J122" s="2"/>
      <c r="K122" s="2"/>
      <c r="L122" s="2"/>
      <c r="M122" s="2"/>
      <c r="N122" s="2"/>
      <c r="O122" s="1"/>
      <c r="P122" s="1"/>
      <c r="Q122" s="1"/>
      <c r="R122" s="2"/>
      <c r="S122" s="2"/>
      <c r="T122" s="2"/>
      <c r="U122" s="2"/>
      <c r="V122" s="2"/>
      <c r="W122" s="2"/>
      <c r="X122" s="2"/>
      <c r="Y122" s="2"/>
      <c r="Z122" s="2"/>
      <c r="AA122" s="2"/>
      <c r="AB122" s="2"/>
      <c r="AC122" s="2"/>
      <c r="AD122" s="2"/>
      <c r="AE122" s="2"/>
      <c r="AF122" s="333" t="s">
        <v>25</v>
      </c>
      <c r="AG122" s="333"/>
      <c r="AH122" s="333"/>
      <c r="AI122" s="333"/>
      <c r="AJ122" s="333"/>
      <c r="AK122" s="333"/>
      <c r="AL122" s="333"/>
      <c r="AM122" s="2" t="s">
        <v>4</v>
      </c>
      <c r="AN122" s="339">
        <f>AA121</f>
        <v>24</v>
      </c>
      <c r="AO122" s="339"/>
      <c r="AP122" s="339"/>
      <c r="AQ122" s="339"/>
      <c r="AR122" s="339"/>
      <c r="AS122" s="332" t="s">
        <v>22</v>
      </c>
      <c r="AT122" s="332"/>
      <c r="AU122" s="2"/>
      <c r="AV122" s="91"/>
      <c r="AW122" s="137"/>
    </row>
    <row r="123" spans="1:51" ht="12.75" customHeight="1">
      <c r="A123" s="96"/>
      <c r="B123" s="100"/>
      <c r="C123" s="2"/>
      <c r="D123" s="2"/>
      <c r="E123" s="2"/>
      <c r="F123" s="2"/>
      <c r="G123" s="2"/>
      <c r="H123" s="332" t="s">
        <v>253</v>
      </c>
      <c r="I123" s="332"/>
      <c r="J123" s="332"/>
      <c r="K123" s="332"/>
      <c r="L123" s="332"/>
      <c r="M123" s="332"/>
      <c r="N123" s="332"/>
      <c r="O123" s="332"/>
      <c r="P123" s="332"/>
      <c r="Q123" s="332"/>
      <c r="R123" s="332"/>
      <c r="S123" s="332"/>
      <c r="T123" s="332"/>
      <c r="U123" s="332"/>
      <c r="V123" s="332"/>
      <c r="W123" s="332"/>
      <c r="X123" s="332"/>
      <c r="Y123" s="332"/>
      <c r="Z123" s="332"/>
      <c r="AA123" s="332"/>
      <c r="AB123" s="2"/>
      <c r="AC123" s="2"/>
      <c r="AD123" s="2"/>
      <c r="AE123" s="2"/>
      <c r="AF123" s="2"/>
      <c r="AG123" s="2"/>
      <c r="AH123" s="362" t="s">
        <v>49</v>
      </c>
      <c r="AI123" s="362"/>
      <c r="AJ123" s="362"/>
      <c r="AK123" s="362"/>
      <c r="AL123" s="362"/>
      <c r="AM123" s="2" t="s">
        <v>4</v>
      </c>
      <c r="AN123" s="373">
        <f>(AN114+AN122)*0.95</f>
        <v>660.06759999999997</v>
      </c>
      <c r="AO123" s="373"/>
      <c r="AP123" s="373"/>
      <c r="AQ123" s="373"/>
      <c r="AR123" s="373"/>
      <c r="AS123" s="17" t="s">
        <v>22</v>
      </c>
      <c r="AU123" s="17"/>
      <c r="AV123" s="91"/>
      <c r="AW123" s="137"/>
    </row>
    <row r="124" spans="1:51">
      <c r="A124" s="96"/>
      <c r="B124" s="101"/>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21"/>
      <c r="AI124" s="21"/>
      <c r="AJ124" s="21"/>
      <c r="AK124" s="21"/>
      <c r="AL124" s="21"/>
      <c r="AM124" s="21" t="s">
        <v>248</v>
      </c>
      <c r="AN124" s="21"/>
      <c r="AO124" s="21"/>
      <c r="AP124" s="21"/>
      <c r="AQ124" s="119"/>
      <c r="AR124" s="21"/>
      <c r="AS124" s="21"/>
      <c r="AT124" s="21"/>
      <c r="AU124" s="21" t="s">
        <v>4</v>
      </c>
      <c r="AV124" s="127">
        <f>ROUND(AN123/(0.4*0.4),0)</f>
        <v>4125</v>
      </c>
      <c r="AW124" s="155" t="s">
        <v>12</v>
      </c>
    </row>
    <row r="125" spans="1:51">
      <c r="A125" s="96"/>
      <c r="B125" s="93" t="s">
        <v>81</v>
      </c>
      <c r="C125" s="332" t="s">
        <v>80</v>
      </c>
      <c r="D125" s="332"/>
      <c r="E125" s="332"/>
      <c r="F125" s="332"/>
      <c r="G125" s="332"/>
      <c r="H125" s="332"/>
      <c r="I125" s="332"/>
      <c r="J125" s="332"/>
      <c r="K125" s="332"/>
      <c r="L125" s="332"/>
      <c r="M125" s="332"/>
      <c r="N125" s="332"/>
      <c r="O125" s="332"/>
      <c r="P125" s="332"/>
      <c r="Q125" s="332"/>
      <c r="R125" s="332"/>
      <c r="S125" s="332"/>
      <c r="T125" s="332"/>
      <c r="U125" s="332"/>
      <c r="V125" s="332"/>
      <c r="W125" s="332"/>
      <c r="X125" s="332"/>
      <c r="Y125" s="332"/>
      <c r="Z125" s="332"/>
      <c r="AA125" s="2"/>
      <c r="AB125" s="2"/>
      <c r="AC125" s="2"/>
      <c r="AD125" s="2"/>
      <c r="AE125" s="2"/>
      <c r="AF125" s="2"/>
      <c r="AG125" s="2"/>
      <c r="AH125" s="2"/>
      <c r="AI125" s="2"/>
      <c r="AJ125" s="2"/>
      <c r="AK125" s="2"/>
      <c r="AL125" s="2"/>
      <c r="AM125" s="2"/>
      <c r="AN125" s="2"/>
      <c r="AO125" s="2"/>
      <c r="AP125" s="2"/>
      <c r="AQ125" s="120"/>
      <c r="AR125" s="2"/>
      <c r="AS125" s="2"/>
      <c r="AT125" s="2"/>
      <c r="AU125" s="2"/>
      <c r="AV125" s="91"/>
      <c r="AW125" s="137"/>
    </row>
    <row r="126" spans="1:51">
      <c r="A126" s="96"/>
      <c r="B126" s="100"/>
      <c r="C126" s="2"/>
      <c r="D126" s="2"/>
      <c r="E126" s="2"/>
      <c r="F126" s="2"/>
      <c r="G126" s="2"/>
      <c r="H126" s="332" t="s">
        <v>253</v>
      </c>
      <c r="I126" s="332"/>
      <c r="J126" s="332"/>
      <c r="K126" s="332"/>
      <c r="L126" s="332"/>
      <c r="M126" s="332"/>
      <c r="N126" s="332"/>
      <c r="O126" s="332"/>
      <c r="P126" s="332"/>
      <c r="Q126" s="332"/>
      <c r="R126" s="332"/>
      <c r="S126" s="332"/>
      <c r="T126" s="332"/>
      <c r="U126" s="332"/>
      <c r="V126" s="332"/>
      <c r="W126" s="332"/>
      <c r="X126" s="332"/>
      <c r="Y126" s="332"/>
      <c r="Z126" s="332"/>
      <c r="AA126" s="332"/>
      <c r="AB126" s="2"/>
      <c r="AC126" s="2"/>
      <c r="AD126" s="2"/>
      <c r="AF126" s="2"/>
      <c r="AG126" s="2"/>
      <c r="AH126" s="2"/>
      <c r="AI126" s="2" t="s">
        <v>49</v>
      </c>
      <c r="AK126" s="2"/>
      <c r="AL126" s="2"/>
      <c r="AM126" s="2"/>
      <c r="AN126" s="2" t="s">
        <v>4</v>
      </c>
      <c r="AO126" s="355">
        <f>AN123</f>
        <v>660.06759999999997</v>
      </c>
      <c r="AP126" s="355"/>
      <c r="AQ126" s="355"/>
      <c r="AR126" s="355"/>
      <c r="AS126" s="355"/>
      <c r="AT126" s="332" t="s">
        <v>22</v>
      </c>
      <c r="AU126" s="332"/>
      <c r="AV126" s="91"/>
      <c r="AW126" s="137"/>
    </row>
    <row r="127" spans="1:51">
      <c r="A127" s="97"/>
      <c r="B127" s="101"/>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334" t="s">
        <v>266</v>
      </c>
      <c r="AI127" s="334"/>
      <c r="AJ127" s="334"/>
      <c r="AK127" s="334"/>
      <c r="AL127" s="334"/>
      <c r="AM127" s="334"/>
      <c r="AN127" s="334"/>
      <c r="AO127" s="334"/>
      <c r="AP127" s="334"/>
      <c r="AQ127" s="334"/>
      <c r="AR127" s="334"/>
      <c r="AS127" s="334"/>
      <c r="AT127" s="334"/>
      <c r="AU127" s="21" t="s">
        <v>4</v>
      </c>
      <c r="AV127" s="127">
        <f>ROUND(AO126/(0.3*0.3),0)</f>
        <v>7334</v>
      </c>
      <c r="AW127" s="155" t="s">
        <v>12</v>
      </c>
      <c r="AY127" s="84"/>
    </row>
    <row r="128" spans="1:51" ht="13.5" customHeight="1">
      <c r="A128" s="98"/>
      <c r="B128" s="103" t="s">
        <v>82</v>
      </c>
      <c r="C128" s="10" t="s">
        <v>89</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2"/>
      <c r="AB128" s="332"/>
      <c r="AC128" s="332"/>
      <c r="AD128" s="331"/>
      <c r="AE128" s="331"/>
      <c r="AF128" s="331"/>
      <c r="AG128" s="2"/>
      <c r="AH128" s="2"/>
      <c r="AI128" s="331"/>
      <c r="AJ128" s="332"/>
      <c r="AK128" s="332"/>
      <c r="AL128" s="332"/>
      <c r="AM128" s="332"/>
      <c r="AN128" s="2"/>
      <c r="AO128" s="2"/>
      <c r="AP128" s="2"/>
      <c r="AQ128" s="120"/>
      <c r="AR128" s="2"/>
      <c r="AS128" s="2"/>
      <c r="AT128" s="2"/>
      <c r="AU128" s="2"/>
      <c r="AV128" s="91"/>
      <c r="AW128" s="137"/>
    </row>
    <row r="129" spans="1:49">
      <c r="A129" s="98"/>
      <c r="B129" s="104"/>
      <c r="C129" s="2"/>
      <c r="D129" s="2" t="s">
        <v>261</v>
      </c>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1"/>
      <c r="AE129" s="1"/>
      <c r="AF129" s="1"/>
      <c r="AG129" s="2"/>
      <c r="AH129" s="2"/>
      <c r="AI129" s="1"/>
      <c r="AJ129" s="2"/>
      <c r="AK129" s="2"/>
      <c r="AL129" s="2"/>
      <c r="AM129" s="2"/>
      <c r="AN129" s="2"/>
      <c r="AO129" s="2"/>
      <c r="AP129" s="2"/>
      <c r="AQ129" s="120"/>
      <c r="AR129" s="2"/>
      <c r="AS129" s="2"/>
      <c r="AT129" s="2"/>
      <c r="AU129" s="2"/>
      <c r="AV129" s="91"/>
      <c r="AW129" s="137"/>
    </row>
    <row r="130" spans="1:49">
      <c r="A130" s="109"/>
      <c r="B130" s="96"/>
      <c r="C130" s="2"/>
      <c r="D130" s="2"/>
      <c r="E130" s="2"/>
      <c r="F130" s="2"/>
      <c r="G130" s="2"/>
      <c r="H130" s="2"/>
      <c r="I130" s="2"/>
      <c r="J130" s="2"/>
      <c r="K130" s="2"/>
      <c r="L130" s="2"/>
      <c r="M130" s="2"/>
      <c r="N130" s="2"/>
      <c r="O130" s="2"/>
      <c r="P130" s="332"/>
      <c r="Q130" s="332"/>
      <c r="R130" s="2"/>
      <c r="T130" s="2"/>
      <c r="U130" s="2"/>
      <c r="V130" s="2" t="s">
        <v>249</v>
      </c>
      <c r="W130" s="2"/>
      <c r="X130" s="331">
        <v>0</v>
      </c>
      <c r="Y130" s="331"/>
      <c r="Z130" s="331"/>
      <c r="AA130" s="1" t="s">
        <v>20</v>
      </c>
      <c r="AB130" s="1"/>
      <c r="AC130" s="30">
        <v>8</v>
      </c>
      <c r="AE130" s="1"/>
      <c r="AF130" s="1"/>
      <c r="AG130" s="1"/>
      <c r="AH130" s="1" t="s">
        <v>4</v>
      </c>
      <c r="AI130" s="331">
        <f>AC130-X130</f>
        <v>8</v>
      </c>
      <c r="AJ130" s="331"/>
      <c r="AK130" s="331"/>
      <c r="AL130" s="331" t="s">
        <v>6</v>
      </c>
      <c r="AM130" s="331"/>
      <c r="AN130" s="1"/>
      <c r="AO130" s="1"/>
      <c r="AP130" s="2"/>
      <c r="AQ130" s="120"/>
      <c r="AR130" s="2"/>
      <c r="AS130" s="2"/>
      <c r="AT130" s="2"/>
      <c r="AU130" s="2"/>
      <c r="AV130" s="91"/>
      <c r="AW130" s="137"/>
    </row>
    <row r="131" spans="1:49">
      <c r="A131" s="109"/>
      <c r="B131" s="96"/>
      <c r="C131" s="2"/>
      <c r="D131" s="2"/>
      <c r="E131" s="2"/>
      <c r="F131" s="2"/>
      <c r="G131" s="2"/>
      <c r="H131" s="2"/>
      <c r="I131" s="2"/>
      <c r="J131" s="2"/>
      <c r="K131" s="2"/>
      <c r="L131" s="2"/>
      <c r="M131" s="2"/>
      <c r="N131" s="2"/>
      <c r="O131" s="2"/>
      <c r="P131" s="2"/>
      <c r="Q131" s="2"/>
      <c r="R131" s="2"/>
      <c r="S131" s="2"/>
      <c r="T131" s="2"/>
      <c r="U131" s="2"/>
      <c r="V131" s="2"/>
      <c r="W131" s="2"/>
      <c r="X131" s="331">
        <f>AC130</f>
        <v>8</v>
      </c>
      <c r="Y131" s="331"/>
      <c r="Z131" s="331"/>
      <c r="AA131" s="1" t="s">
        <v>20</v>
      </c>
      <c r="AB131" s="1"/>
      <c r="AC131" s="30">
        <f>AD110</f>
        <v>37.555999999999997</v>
      </c>
      <c r="AE131" s="1"/>
      <c r="AF131" s="1"/>
      <c r="AG131" s="1"/>
      <c r="AH131" s="1" t="s">
        <v>4</v>
      </c>
      <c r="AI131" s="331">
        <f>AC131-X131</f>
        <v>29.555999999999997</v>
      </c>
      <c r="AJ131" s="331"/>
      <c r="AK131" s="331"/>
      <c r="AL131" s="331" t="s">
        <v>6</v>
      </c>
      <c r="AM131" s="331"/>
      <c r="AN131" s="1"/>
      <c r="AO131" s="1"/>
      <c r="AP131" s="2"/>
      <c r="AQ131" s="120"/>
      <c r="AR131" s="2"/>
      <c r="AS131" s="2"/>
      <c r="AT131" s="2"/>
      <c r="AU131" s="2"/>
      <c r="AV131" s="91"/>
      <c r="AW131" s="137"/>
    </row>
    <row r="132" spans="1:49">
      <c r="A132" s="109"/>
      <c r="B132" s="96"/>
      <c r="C132" s="2"/>
      <c r="D132" s="2"/>
      <c r="E132" s="2"/>
      <c r="F132" s="2"/>
      <c r="G132" s="2"/>
      <c r="H132" s="2"/>
      <c r="I132" s="2"/>
      <c r="J132" s="2"/>
      <c r="K132" s="2"/>
      <c r="L132" s="2"/>
      <c r="M132" s="2"/>
      <c r="N132" s="2"/>
      <c r="O132" s="2"/>
      <c r="P132" s="2"/>
      <c r="Q132" s="2"/>
      <c r="R132" s="2"/>
      <c r="S132" s="2"/>
      <c r="T132" s="2"/>
      <c r="U132" s="2"/>
      <c r="V132" s="2"/>
      <c r="W132" s="2"/>
      <c r="X132" s="1"/>
      <c r="Y132" s="1"/>
      <c r="Z132" s="1"/>
      <c r="AA132" s="1"/>
      <c r="AB132" s="1"/>
      <c r="AC132" s="1"/>
      <c r="AD132" s="331" t="s">
        <v>9</v>
      </c>
      <c r="AE132" s="331"/>
      <c r="AF132" s="331"/>
      <c r="AG132" s="331"/>
      <c r="AH132" s="1" t="s">
        <v>4</v>
      </c>
      <c r="AI132" s="331">
        <f>AI130+AI131</f>
        <v>37.555999999999997</v>
      </c>
      <c r="AJ132" s="331"/>
      <c r="AK132" s="331"/>
      <c r="AL132" s="331" t="str">
        <f>AL130</f>
        <v>M</v>
      </c>
      <c r="AM132" s="331"/>
      <c r="AN132" s="1"/>
      <c r="AO132" s="1"/>
      <c r="AP132" s="2"/>
      <c r="AQ132" s="120"/>
      <c r="AR132" s="2"/>
      <c r="AS132" s="2"/>
      <c r="AT132" s="2"/>
      <c r="AU132" s="2"/>
      <c r="AV132" s="91"/>
      <c r="AW132" s="137"/>
    </row>
    <row r="133" spans="1:49" s="7" customFormat="1" ht="13.5" customHeight="1">
      <c r="A133" s="113"/>
      <c r="B133" s="98"/>
      <c r="D133" s="2"/>
      <c r="E133" s="2"/>
      <c r="F133" s="2"/>
      <c r="G133" s="2"/>
      <c r="H133" s="2" t="s">
        <v>83</v>
      </c>
      <c r="I133" s="331">
        <f>16.68-0.2</f>
        <v>16.48</v>
      </c>
      <c r="J133" s="331"/>
      <c r="K133" s="331"/>
      <c r="L133" s="2"/>
      <c r="M133" s="2"/>
      <c r="N133" s="2" t="s">
        <v>84</v>
      </c>
      <c r="O133" s="2"/>
      <c r="P133" s="2"/>
      <c r="Q133" s="2"/>
      <c r="R133" s="2"/>
      <c r="V133" s="2" t="s">
        <v>4</v>
      </c>
      <c r="Y133" s="332">
        <v>0</v>
      </c>
      <c r="Z133" s="332"/>
      <c r="AA133" s="2" t="s">
        <v>85</v>
      </c>
      <c r="AB133" s="331">
        <f>AC130</f>
        <v>8</v>
      </c>
      <c r="AC133" s="332"/>
      <c r="AD133" s="2" t="s">
        <v>4</v>
      </c>
      <c r="AE133" s="339">
        <f>AB133-Y133</f>
        <v>8</v>
      </c>
      <c r="AF133" s="339"/>
      <c r="AG133" s="91"/>
      <c r="AH133" s="2"/>
      <c r="AI133" s="2"/>
      <c r="AJ133" s="2"/>
      <c r="AK133" s="2"/>
      <c r="AL133" s="2"/>
      <c r="AM133" s="2"/>
      <c r="AN133" s="2"/>
      <c r="AO133" s="2"/>
      <c r="AP133" s="2"/>
      <c r="AQ133" s="120"/>
      <c r="AR133" s="2"/>
      <c r="AV133" s="121"/>
      <c r="AW133" s="100"/>
    </row>
    <row r="134" spans="1:49" s="7" customFormat="1" ht="13.5" customHeight="1">
      <c r="A134" s="113"/>
      <c r="B134" s="98"/>
      <c r="D134" s="2"/>
      <c r="E134" s="2"/>
      <c r="F134" s="2"/>
      <c r="G134" s="2"/>
      <c r="H134" s="2"/>
      <c r="I134" s="2"/>
      <c r="J134" s="2"/>
      <c r="K134" s="2"/>
      <c r="L134" s="2"/>
      <c r="M134" s="2"/>
      <c r="N134" s="2"/>
      <c r="O134" s="2"/>
      <c r="P134" s="2"/>
      <c r="Q134" s="2"/>
      <c r="R134" s="2"/>
      <c r="S134" s="2"/>
      <c r="Y134" s="2" t="s">
        <v>86</v>
      </c>
      <c r="Z134" s="2"/>
      <c r="AA134" s="2"/>
      <c r="AB134" s="2"/>
      <c r="AC134" s="2"/>
      <c r="AD134" s="2" t="s">
        <v>4</v>
      </c>
      <c r="AE134" s="341">
        <f>ROUND(SQRT(((I137*I137)+(O139*O139))),2)</f>
        <v>14.89</v>
      </c>
      <c r="AF134" s="341"/>
      <c r="AG134" s="341"/>
      <c r="AH134" s="2" t="s">
        <v>6</v>
      </c>
      <c r="AI134" s="2"/>
      <c r="AK134" s="2"/>
      <c r="AL134" s="2"/>
      <c r="AM134" s="2"/>
      <c r="AN134" s="2"/>
      <c r="AO134" s="2"/>
      <c r="AP134" s="2"/>
      <c r="AQ134" s="120"/>
      <c r="AR134" s="2"/>
      <c r="AV134" s="121"/>
      <c r="AW134" s="100"/>
    </row>
    <row r="135" spans="1:49" s="7" customFormat="1" ht="13.5" customHeight="1">
      <c r="A135" s="113"/>
      <c r="B135" s="98"/>
      <c r="D135" s="2"/>
      <c r="E135" s="2"/>
      <c r="F135" s="2"/>
      <c r="G135" s="2"/>
      <c r="H135" s="2"/>
      <c r="J135" s="2"/>
      <c r="K135" s="2"/>
      <c r="L135" s="2"/>
      <c r="M135" s="2"/>
      <c r="N135" s="2"/>
      <c r="O135" s="2"/>
      <c r="P135" s="2"/>
      <c r="Q135" s="2"/>
      <c r="R135" s="2"/>
      <c r="S135" s="2"/>
      <c r="Y135" s="2" t="s">
        <v>87</v>
      </c>
      <c r="Z135" s="2"/>
      <c r="AA135" s="2"/>
      <c r="AB135" s="2"/>
      <c r="AC135" s="2"/>
      <c r="AD135" s="2" t="s">
        <v>4</v>
      </c>
      <c r="AE135" s="341">
        <f>AE134+0.8</f>
        <v>15.690000000000001</v>
      </c>
      <c r="AF135" s="341"/>
      <c r="AG135" s="341"/>
      <c r="AH135" s="2" t="s">
        <v>6</v>
      </c>
      <c r="AI135" s="2"/>
      <c r="AK135" s="2"/>
      <c r="AL135" s="2"/>
      <c r="AM135" s="2"/>
      <c r="AN135" s="2"/>
      <c r="AO135" s="2"/>
      <c r="AP135" s="2"/>
      <c r="AQ135" s="120"/>
      <c r="AR135" s="2"/>
      <c r="AV135" s="121"/>
      <c r="AW135" s="100"/>
    </row>
    <row r="136" spans="1:49" s="7" customFormat="1" ht="13.5" customHeight="1">
      <c r="A136" s="113"/>
      <c r="B136" s="98"/>
      <c r="D136" s="2"/>
      <c r="E136" s="2"/>
      <c r="F136" s="2"/>
      <c r="G136" s="2"/>
      <c r="H136" s="2"/>
      <c r="I136" s="2"/>
      <c r="J136" s="2"/>
      <c r="K136" s="2"/>
      <c r="L136" s="2"/>
      <c r="M136" s="2"/>
      <c r="N136" s="2"/>
      <c r="O136" s="2"/>
      <c r="R136" s="2"/>
      <c r="S136" s="2"/>
      <c r="Y136" s="2"/>
      <c r="Z136" s="2"/>
      <c r="AA136" s="2"/>
      <c r="AB136" s="2"/>
      <c r="AC136" s="2"/>
      <c r="AD136" s="2"/>
      <c r="AE136" s="2"/>
      <c r="AF136" s="2"/>
      <c r="AG136" s="2"/>
      <c r="AH136" s="2"/>
      <c r="AI136" s="2"/>
      <c r="AJ136" s="2"/>
      <c r="AK136" s="2"/>
      <c r="AL136" s="2"/>
      <c r="AM136" s="2"/>
      <c r="AN136" s="2"/>
      <c r="AO136" s="2"/>
      <c r="AP136" s="2"/>
      <c r="AQ136" s="120"/>
      <c r="AR136" s="2"/>
      <c r="AV136" s="121"/>
      <c r="AW136" s="100"/>
    </row>
    <row r="137" spans="1:49" s="7" customFormat="1" ht="13.5" customHeight="1">
      <c r="A137" s="113"/>
      <c r="B137" s="98"/>
      <c r="D137" s="2"/>
      <c r="E137" s="2"/>
      <c r="F137" s="2"/>
      <c r="G137" s="2"/>
      <c r="H137" s="2"/>
      <c r="I137" s="336">
        <f>I133-Y139</f>
        <v>6.66</v>
      </c>
      <c r="J137" s="336"/>
      <c r="L137" s="2"/>
      <c r="M137" s="2"/>
      <c r="N137" s="2"/>
      <c r="O137" s="2"/>
      <c r="P137" s="2"/>
      <c r="Q137" s="2"/>
      <c r="R137" s="2"/>
      <c r="S137" s="2"/>
      <c r="AH137" s="2" t="s">
        <v>88</v>
      </c>
      <c r="AI137" s="2"/>
      <c r="AJ137" s="2"/>
      <c r="AK137" s="2"/>
      <c r="AL137" s="2"/>
      <c r="AM137" s="2" t="s">
        <v>4</v>
      </c>
      <c r="AN137" s="332">
        <f>AE133*AE135</f>
        <v>125.52000000000001</v>
      </c>
      <c r="AO137" s="332"/>
      <c r="AP137" s="332"/>
      <c r="AQ137" s="120" t="s">
        <v>22</v>
      </c>
      <c r="AR137" s="2"/>
      <c r="AT137" s="2"/>
      <c r="AV137" s="121"/>
      <c r="AW137" s="100"/>
    </row>
    <row r="138" spans="1:49" s="7" customFormat="1" ht="13.5" customHeight="1">
      <c r="A138" s="113"/>
      <c r="B138" s="98"/>
      <c r="D138" s="2"/>
      <c r="E138" s="2"/>
      <c r="F138" s="2"/>
      <c r="G138" s="2"/>
      <c r="H138" s="2"/>
      <c r="I138" s="2"/>
      <c r="J138" s="2"/>
      <c r="K138" s="2"/>
      <c r="L138" s="2"/>
      <c r="M138" s="2"/>
      <c r="N138" s="2"/>
      <c r="O138" s="2"/>
      <c r="P138" s="2"/>
      <c r="Q138" s="2"/>
      <c r="R138" s="2"/>
      <c r="S138" s="2"/>
      <c r="Y138" s="2"/>
      <c r="Z138" s="2"/>
      <c r="AA138" s="2"/>
      <c r="AB138" s="2"/>
      <c r="AC138" s="2"/>
      <c r="AD138" s="2"/>
      <c r="AE138" s="2"/>
      <c r="AF138" s="2"/>
      <c r="AG138" s="2"/>
      <c r="AH138" s="2"/>
      <c r="AI138" s="2"/>
      <c r="AJ138" s="2"/>
      <c r="AK138" s="2"/>
      <c r="AL138" s="2"/>
      <c r="AM138" s="2"/>
      <c r="AN138" s="2"/>
      <c r="AO138" s="2"/>
      <c r="AP138" s="2"/>
      <c r="AQ138" s="120"/>
      <c r="AR138" s="2"/>
      <c r="AV138" s="121"/>
      <c r="AW138" s="100"/>
    </row>
    <row r="139" spans="1:49" s="7" customFormat="1" ht="13.5" customHeight="1">
      <c r="A139" s="98"/>
      <c r="B139" s="98"/>
      <c r="C139" s="5"/>
      <c r="D139" s="2"/>
      <c r="E139" s="2"/>
      <c r="F139" s="2"/>
      <c r="G139" s="2"/>
      <c r="H139" s="2"/>
      <c r="I139" s="2"/>
      <c r="J139" s="2"/>
      <c r="K139" s="2"/>
      <c r="L139" s="2"/>
      <c r="M139" s="2"/>
      <c r="N139" s="2"/>
      <c r="O139" s="332">
        <f>(I133-Y139)*2</f>
        <v>13.32</v>
      </c>
      <c r="P139" s="332"/>
      <c r="Q139" s="332"/>
      <c r="R139" s="2"/>
      <c r="S139" s="2"/>
      <c r="W139" s="332" t="s">
        <v>83</v>
      </c>
      <c r="X139" s="332"/>
      <c r="Y139" s="336">
        <f>10.52-0.7</f>
        <v>9.82</v>
      </c>
      <c r="Z139" s="336"/>
      <c r="AA139" s="336"/>
      <c r="AB139" s="2"/>
      <c r="AC139" s="2"/>
      <c r="AD139" s="2"/>
      <c r="AE139" s="2"/>
      <c r="AF139" s="2"/>
      <c r="AG139" s="2"/>
      <c r="AH139" s="2"/>
      <c r="AI139" s="2"/>
      <c r="AJ139" s="2"/>
      <c r="AK139" s="2"/>
      <c r="AL139" s="2"/>
      <c r="AM139" s="2"/>
      <c r="AN139" s="2"/>
      <c r="AO139" s="2"/>
      <c r="AP139" s="2"/>
      <c r="AQ139" s="120"/>
      <c r="AR139" s="2"/>
      <c r="AV139" s="121"/>
      <c r="AW139" s="100"/>
    </row>
    <row r="140" spans="1:49" s="7" customFormat="1" ht="7.5" customHeight="1">
      <c r="A140" s="98"/>
      <c r="B140" s="98"/>
      <c r="C140" s="5"/>
      <c r="D140" s="2"/>
      <c r="E140" s="2"/>
      <c r="F140" s="2"/>
      <c r="G140" s="2"/>
      <c r="H140" s="2"/>
      <c r="I140" s="2"/>
      <c r="J140" s="2"/>
      <c r="K140" s="2"/>
      <c r="L140" s="2"/>
      <c r="M140" s="2"/>
      <c r="N140" s="2"/>
      <c r="O140" s="2"/>
      <c r="P140" s="2"/>
      <c r="Q140" s="2"/>
      <c r="R140" s="2"/>
      <c r="S140" s="2"/>
      <c r="Y140" s="2"/>
      <c r="Z140" s="2"/>
      <c r="AA140" s="2"/>
      <c r="AB140" s="2"/>
      <c r="AC140" s="2"/>
      <c r="AD140" s="2"/>
      <c r="AE140" s="2"/>
      <c r="AF140" s="2"/>
      <c r="AG140" s="2"/>
      <c r="AH140" s="2"/>
      <c r="AI140" s="2"/>
      <c r="AJ140" s="2"/>
      <c r="AK140" s="2"/>
      <c r="AL140" s="2"/>
      <c r="AM140" s="2"/>
      <c r="AN140" s="2"/>
      <c r="AO140" s="2"/>
      <c r="AP140" s="2"/>
      <c r="AQ140" s="120"/>
      <c r="AR140" s="2"/>
      <c r="AV140" s="121"/>
      <c r="AW140" s="100"/>
    </row>
    <row r="141" spans="1:49" s="7" customFormat="1" ht="13.5" customHeight="1">
      <c r="A141" s="98"/>
      <c r="B141" s="98"/>
      <c r="C141" s="5"/>
      <c r="D141" s="2"/>
      <c r="E141" s="2"/>
      <c r="F141" s="2"/>
      <c r="G141" s="2"/>
      <c r="H141" s="2" t="s">
        <v>83</v>
      </c>
      <c r="I141" s="331">
        <f>16.68-0.2</f>
        <v>16.48</v>
      </c>
      <c r="J141" s="331"/>
      <c r="K141" s="331"/>
      <c r="L141" s="2"/>
      <c r="M141" s="2"/>
      <c r="N141" s="2" t="s">
        <v>84</v>
      </c>
      <c r="O141" s="2"/>
      <c r="P141" s="2"/>
      <c r="Q141" s="2"/>
      <c r="R141" s="2"/>
      <c r="V141" s="2" t="s">
        <v>4</v>
      </c>
      <c r="Y141" s="336">
        <f>AC130</f>
        <v>8</v>
      </c>
      <c r="Z141" s="332"/>
      <c r="AA141" s="2" t="s">
        <v>85</v>
      </c>
      <c r="AB141" s="331">
        <f>AC131</f>
        <v>37.555999999999997</v>
      </c>
      <c r="AC141" s="332"/>
      <c r="AD141" s="2" t="s">
        <v>4</v>
      </c>
      <c r="AE141" s="331">
        <f>AB141-Y141</f>
        <v>29.555999999999997</v>
      </c>
      <c r="AF141" s="331"/>
      <c r="AG141" s="2" t="s">
        <v>6</v>
      </c>
      <c r="AH141" s="2"/>
      <c r="AI141" s="2"/>
      <c r="AJ141" s="2"/>
      <c r="AK141" s="2"/>
      <c r="AL141" s="2"/>
      <c r="AM141" s="2"/>
      <c r="AN141" s="2"/>
      <c r="AO141" s="2"/>
      <c r="AP141" s="2"/>
      <c r="AQ141" s="120"/>
      <c r="AR141" s="2"/>
      <c r="AV141" s="121"/>
      <c r="AW141" s="100"/>
    </row>
    <row r="142" spans="1:49" s="7" customFormat="1" ht="13.5" customHeight="1">
      <c r="A142" s="98"/>
      <c r="B142" s="98"/>
      <c r="C142" s="5"/>
      <c r="D142" s="2"/>
      <c r="E142" s="2"/>
      <c r="F142" s="2"/>
      <c r="G142" s="2"/>
      <c r="H142" s="2"/>
      <c r="I142" s="2"/>
      <c r="J142" s="2"/>
      <c r="K142" s="2"/>
      <c r="L142" s="2"/>
      <c r="M142" s="2"/>
      <c r="N142" s="2"/>
      <c r="O142" s="2"/>
      <c r="P142" s="2"/>
      <c r="Q142" s="2"/>
      <c r="R142" s="2"/>
      <c r="S142" s="2"/>
      <c r="Y142" s="2" t="s">
        <v>86</v>
      </c>
      <c r="Z142" s="2"/>
      <c r="AA142" s="2"/>
      <c r="AB142" s="2"/>
      <c r="AC142" s="2"/>
      <c r="AD142" s="2" t="s">
        <v>4</v>
      </c>
      <c r="AE142" s="332">
        <f>ROUND(SQRT(((I145*I145)+(O147*O147))),2)</f>
        <v>16.73</v>
      </c>
      <c r="AF142" s="332"/>
      <c r="AG142" s="332"/>
      <c r="AH142" s="2" t="s">
        <v>6</v>
      </c>
      <c r="AI142" s="2"/>
      <c r="AK142" s="2"/>
      <c r="AL142" s="2"/>
      <c r="AM142" s="2"/>
      <c r="AN142" s="2"/>
      <c r="AO142" s="2"/>
      <c r="AP142" s="2"/>
      <c r="AQ142" s="120"/>
      <c r="AR142" s="2"/>
      <c r="AV142" s="121"/>
      <c r="AW142" s="100"/>
    </row>
    <row r="143" spans="1:49" s="7" customFormat="1" ht="13.5" customHeight="1">
      <c r="A143" s="113"/>
      <c r="B143" s="98"/>
      <c r="D143" s="2"/>
      <c r="E143" s="2"/>
      <c r="F143" s="2"/>
      <c r="G143" s="2"/>
      <c r="H143" s="2"/>
      <c r="J143" s="2"/>
      <c r="K143" s="2"/>
      <c r="L143" s="2"/>
      <c r="M143" s="2"/>
      <c r="N143" s="2"/>
      <c r="O143" s="2"/>
      <c r="P143" s="2"/>
      <c r="Q143" s="2"/>
      <c r="R143" s="2"/>
      <c r="S143" s="2"/>
      <c r="Y143" s="2" t="s">
        <v>87</v>
      </c>
      <c r="Z143" s="2"/>
      <c r="AA143" s="2"/>
      <c r="AB143" s="2"/>
      <c r="AC143" s="2"/>
      <c r="AD143" s="2" t="s">
        <v>4</v>
      </c>
      <c r="AE143" s="332">
        <f>AE142+0.8</f>
        <v>17.53</v>
      </c>
      <c r="AF143" s="332"/>
      <c r="AG143" s="332"/>
      <c r="AH143" s="2" t="s">
        <v>6</v>
      </c>
      <c r="AI143" s="2"/>
      <c r="AK143" s="2"/>
      <c r="AL143" s="2"/>
      <c r="AM143" s="2"/>
      <c r="AN143" s="2"/>
      <c r="AO143" s="2"/>
      <c r="AP143" s="2"/>
      <c r="AQ143" s="120"/>
      <c r="AR143" s="2"/>
      <c r="AV143" s="121"/>
      <c r="AW143" s="100"/>
    </row>
    <row r="144" spans="1:49" s="7" customFormat="1" ht="13.5" customHeight="1">
      <c r="A144" s="113"/>
      <c r="B144" s="98"/>
      <c r="D144" s="2"/>
      <c r="E144" s="2"/>
      <c r="F144" s="2"/>
      <c r="G144" s="2"/>
      <c r="H144" s="2"/>
      <c r="I144" s="2"/>
      <c r="J144" s="2"/>
      <c r="K144" s="2"/>
      <c r="L144" s="2"/>
      <c r="M144" s="2"/>
      <c r="N144" s="2"/>
      <c r="O144" s="2"/>
      <c r="R144" s="2"/>
      <c r="S144" s="2"/>
      <c r="Y144" s="2"/>
      <c r="Z144" s="2"/>
      <c r="AA144" s="2"/>
      <c r="AB144" s="2"/>
      <c r="AC144" s="2"/>
      <c r="AD144" s="2"/>
      <c r="AE144" s="2"/>
      <c r="AF144" s="2"/>
      <c r="AG144" s="2"/>
      <c r="AH144" s="2"/>
      <c r="AI144" s="2"/>
      <c r="AJ144" s="2"/>
      <c r="AK144" s="2"/>
      <c r="AL144" s="2"/>
      <c r="AM144" s="2"/>
      <c r="AN144" s="2"/>
      <c r="AO144" s="2"/>
      <c r="AP144" s="2"/>
      <c r="AQ144" s="120"/>
      <c r="AR144" s="2"/>
      <c r="AV144" s="121"/>
      <c r="AW144" s="100"/>
    </row>
    <row r="145" spans="1:51" s="7" customFormat="1" ht="13.5" customHeight="1">
      <c r="A145" s="113"/>
      <c r="B145" s="98"/>
      <c r="D145" s="2"/>
      <c r="E145" s="2"/>
      <c r="F145" s="2"/>
      <c r="G145" s="2"/>
      <c r="H145" s="2"/>
      <c r="I145" s="336">
        <f>I141-Y147</f>
        <v>7.48</v>
      </c>
      <c r="J145" s="336"/>
      <c r="L145" s="2"/>
      <c r="M145" s="2"/>
      <c r="N145" s="2"/>
      <c r="O145" s="2"/>
      <c r="P145" s="2"/>
      <c r="Q145" s="2"/>
      <c r="R145" s="2"/>
      <c r="S145" s="2"/>
      <c r="AH145" s="2" t="s">
        <v>88</v>
      </c>
      <c r="AI145" s="2"/>
      <c r="AJ145" s="2"/>
      <c r="AK145" s="2"/>
      <c r="AL145" s="2"/>
      <c r="AM145" s="2" t="s">
        <v>4</v>
      </c>
      <c r="AN145" s="336">
        <f>AE141*AE143</f>
        <v>518.11667999999997</v>
      </c>
      <c r="AO145" s="336"/>
      <c r="AP145" s="336"/>
      <c r="AQ145" s="120"/>
      <c r="AR145" s="2"/>
      <c r="AS145" s="2" t="s">
        <v>22</v>
      </c>
      <c r="AT145" s="2"/>
      <c r="AV145" s="121"/>
      <c r="AW145" s="100"/>
    </row>
    <row r="146" spans="1:51" s="7" customFormat="1" ht="13.5" customHeight="1">
      <c r="A146" s="113"/>
      <c r="B146" s="98"/>
      <c r="D146" s="2"/>
      <c r="E146" s="2"/>
      <c r="F146" s="2"/>
      <c r="G146" s="2"/>
      <c r="H146" s="2"/>
      <c r="I146" s="2"/>
      <c r="J146" s="2"/>
      <c r="K146" s="2"/>
      <c r="L146" s="2"/>
      <c r="M146" s="2"/>
      <c r="N146" s="2"/>
      <c r="O146" s="2"/>
      <c r="P146" s="2"/>
      <c r="Q146" s="2"/>
      <c r="R146" s="2"/>
      <c r="S146" s="2"/>
      <c r="Y146" s="2"/>
      <c r="Z146" s="2"/>
      <c r="AA146" s="2"/>
      <c r="AB146" s="2"/>
      <c r="AC146" s="2"/>
      <c r="AD146" s="2"/>
      <c r="AE146" s="2"/>
      <c r="AF146" s="2"/>
      <c r="AG146" s="2"/>
      <c r="AH146" s="2"/>
      <c r="AI146" s="2"/>
      <c r="AJ146" s="2"/>
      <c r="AK146" s="2"/>
      <c r="AL146" s="2"/>
      <c r="AM146" s="2"/>
      <c r="AN146" s="2"/>
      <c r="AO146" s="2"/>
      <c r="AP146" s="2"/>
      <c r="AQ146" s="120"/>
      <c r="AR146" s="2"/>
      <c r="AV146" s="121"/>
      <c r="AW146" s="100"/>
    </row>
    <row r="147" spans="1:51" s="7" customFormat="1" ht="13.5" customHeight="1">
      <c r="A147" s="113"/>
      <c r="B147" s="98"/>
      <c r="D147" s="2"/>
      <c r="E147" s="2"/>
      <c r="F147" s="2"/>
      <c r="G147" s="2"/>
      <c r="H147" s="2"/>
      <c r="I147" s="2"/>
      <c r="J147" s="2"/>
      <c r="K147" s="2"/>
      <c r="L147" s="2"/>
      <c r="M147" s="2"/>
      <c r="N147" s="2"/>
      <c r="O147" s="336">
        <f>(I141-Y147)*2</f>
        <v>14.96</v>
      </c>
      <c r="P147" s="336"/>
      <c r="Q147" s="336"/>
      <c r="R147" s="2"/>
      <c r="S147" s="2"/>
      <c r="W147" s="332" t="s">
        <v>83</v>
      </c>
      <c r="X147" s="332"/>
      <c r="Y147" s="331">
        <f>9.7-0.7</f>
        <v>9</v>
      </c>
      <c r="Z147" s="331"/>
      <c r="AA147" s="331"/>
      <c r="AB147" s="2"/>
      <c r="AC147" s="2"/>
      <c r="AD147" s="2"/>
      <c r="AE147" s="2"/>
      <c r="AF147" s="2"/>
      <c r="AG147" s="2"/>
      <c r="AH147" s="2"/>
      <c r="AI147" s="2"/>
      <c r="AJ147" s="2"/>
      <c r="AK147" s="2"/>
      <c r="AL147" s="2"/>
      <c r="AM147" s="2"/>
      <c r="AN147" s="2"/>
      <c r="AO147" s="2"/>
      <c r="AP147" s="2"/>
      <c r="AQ147" s="120"/>
      <c r="AR147" s="2"/>
      <c r="AV147" s="121"/>
      <c r="AW147" s="100"/>
    </row>
    <row r="148" spans="1:51" s="2" customFormat="1">
      <c r="A148" s="109"/>
      <c r="B148" s="96"/>
      <c r="F148" s="332"/>
      <c r="G148" s="332"/>
      <c r="H148" s="332"/>
      <c r="I148" s="332"/>
      <c r="J148" s="332"/>
      <c r="K148" s="332"/>
      <c r="P148" s="331"/>
      <c r="Q148" s="331"/>
      <c r="R148" s="331"/>
      <c r="AF148" s="332" t="s">
        <v>25</v>
      </c>
      <c r="AG148" s="332"/>
      <c r="AH148" s="332"/>
      <c r="AI148" s="332"/>
      <c r="AJ148" s="332"/>
      <c r="AK148" s="332"/>
      <c r="AL148" s="332"/>
      <c r="AM148" s="2" t="s">
        <v>4</v>
      </c>
      <c r="AN148" s="331">
        <f>AN137+AN145</f>
        <v>643.63667999999996</v>
      </c>
      <c r="AO148" s="331"/>
      <c r="AP148" s="331"/>
      <c r="AQ148" s="331"/>
      <c r="AR148" s="331"/>
      <c r="AS148" s="332" t="s">
        <v>22</v>
      </c>
      <c r="AT148" s="332"/>
      <c r="AV148" s="91"/>
      <c r="AW148" s="137"/>
    </row>
    <row r="149" spans="1:51" s="2" customFormat="1">
      <c r="A149" s="109"/>
      <c r="B149" s="96"/>
      <c r="AA149" s="2" t="s">
        <v>93</v>
      </c>
      <c r="AM149" s="2" t="s">
        <v>4</v>
      </c>
      <c r="AN149" s="332">
        <f>AN148*2</f>
        <v>1287.2733599999999</v>
      </c>
      <c r="AO149" s="332"/>
      <c r="AP149" s="332"/>
      <c r="AQ149" s="332"/>
      <c r="AR149" s="332"/>
      <c r="AS149" s="332" t="s">
        <v>22</v>
      </c>
      <c r="AT149" s="332"/>
      <c r="AV149" s="128"/>
      <c r="AW149" s="137"/>
      <c r="AY149" s="85"/>
    </row>
    <row r="150" spans="1:51">
      <c r="A150" s="96"/>
      <c r="B150" s="96"/>
      <c r="C150" s="2"/>
      <c r="D150" s="332" t="s">
        <v>91</v>
      </c>
      <c r="E150" s="332"/>
      <c r="F150" s="332"/>
      <c r="G150" s="332"/>
      <c r="H150" s="332"/>
      <c r="I150" s="332"/>
      <c r="J150" s="332"/>
      <c r="K150" s="332"/>
      <c r="L150" s="332"/>
      <c r="M150" s="332"/>
      <c r="N150" s="332"/>
      <c r="O150" s="332"/>
      <c r="P150" s="332"/>
      <c r="Q150" s="33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120"/>
      <c r="AR150" s="2"/>
      <c r="AS150" s="2"/>
      <c r="AT150" s="2"/>
      <c r="AU150" s="2"/>
      <c r="AV150" s="91"/>
      <c r="AW150" s="137"/>
    </row>
    <row r="151" spans="1:51" s="7" customFormat="1" ht="13.5" customHeight="1">
      <c r="A151" s="113"/>
      <c r="B151" s="98"/>
      <c r="D151" s="2"/>
      <c r="E151" s="2"/>
      <c r="F151" s="2"/>
      <c r="G151" s="2"/>
      <c r="H151" s="2" t="s">
        <v>83</v>
      </c>
      <c r="I151" s="331">
        <f>16.5-0.2</f>
        <v>16.3</v>
      </c>
      <c r="J151" s="331"/>
      <c r="K151" s="331"/>
      <c r="L151" s="2"/>
      <c r="M151" s="2"/>
      <c r="N151" s="2" t="s">
        <v>84</v>
      </c>
      <c r="O151" s="2"/>
      <c r="P151" s="2"/>
      <c r="Q151" s="2"/>
      <c r="R151" s="2"/>
      <c r="V151" s="2" t="s">
        <v>4</v>
      </c>
      <c r="Y151" s="336">
        <f>X148</f>
        <v>0</v>
      </c>
      <c r="Z151" s="336"/>
      <c r="AA151" s="2" t="s">
        <v>85</v>
      </c>
      <c r="AB151" s="336">
        <f>AC117</f>
        <v>10</v>
      </c>
      <c r="AC151" s="336"/>
      <c r="AD151" s="2" t="s">
        <v>4</v>
      </c>
      <c r="AE151" s="331">
        <f>AB151-Y151</f>
        <v>10</v>
      </c>
      <c r="AF151" s="331"/>
      <c r="AG151" s="331"/>
      <c r="AH151" s="2" t="s">
        <v>6</v>
      </c>
      <c r="AI151" s="2"/>
      <c r="AK151" s="2"/>
      <c r="AL151" s="2"/>
      <c r="AM151" s="2"/>
      <c r="AN151" s="2"/>
      <c r="AO151" s="2"/>
      <c r="AP151" s="2"/>
      <c r="AQ151" s="120"/>
      <c r="AR151" s="2"/>
      <c r="AV151" s="121"/>
      <c r="AW151" s="100"/>
    </row>
    <row r="152" spans="1:51" s="7" customFormat="1" ht="13.5" customHeight="1">
      <c r="A152" s="113"/>
      <c r="B152" s="98"/>
      <c r="D152" s="2"/>
      <c r="E152" s="2"/>
      <c r="F152" s="2"/>
      <c r="G152" s="2"/>
      <c r="H152" s="2"/>
      <c r="I152" s="2"/>
      <c r="J152" s="2"/>
      <c r="K152" s="2"/>
      <c r="L152" s="2"/>
      <c r="M152" s="2"/>
      <c r="N152" s="2"/>
      <c r="O152" s="2"/>
      <c r="P152" s="2"/>
      <c r="Q152" s="2"/>
      <c r="R152" s="2"/>
      <c r="S152" s="2"/>
      <c r="AA152" s="2" t="s">
        <v>86</v>
      </c>
      <c r="AB152" s="2"/>
      <c r="AC152" s="2"/>
      <c r="AD152" s="2" t="s">
        <v>4</v>
      </c>
      <c r="AE152" s="332">
        <f>ROUND(SQRT(((I155*I155)+(O157*O157))),2)</f>
        <v>11.96</v>
      </c>
      <c r="AF152" s="332"/>
      <c r="AG152" s="332"/>
      <c r="AH152" s="2" t="s">
        <v>6</v>
      </c>
      <c r="AI152" s="2"/>
      <c r="AK152" s="2"/>
      <c r="AL152" s="2"/>
      <c r="AM152" s="2"/>
      <c r="AN152" s="2"/>
      <c r="AO152" s="2"/>
      <c r="AP152" s="2"/>
      <c r="AQ152" s="120"/>
      <c r="AR152" s="2"/>
      <c r="AV152" s="121"/>
      <c r="AW152" s="100"/>
    </row>
    <row r="153" spans="1:51" s="7" customFormat="1" ht="13.5" customHeight="1">
      <c r="A153" s="113"/>
      <c r="B153" s="98"/>
      <c r="D153" s="2"/>
      <c r="E153" s="2"/>
      <c r="F153" s="2"/>
      <c r="G153" s="2"/>
      <c r="H153" s="2"/>
      <c r="J153" s="2"/>
      <c r="K153" s="2"/>
      <c r="L153" s="2"/>
      <c r="M153" s="2"/>
      <c r="N153" s="2"/>
      <c r="O153" s="2"/>
      <c r="P153" s="2"/>
      <c r="Q153" s="2"/>
      <c r="R153" s="2"/>
      <c r="S153" s="2"/>
      <c r="AA153" s="2" t="s">
        <v>87</v>
      </c>
      <c r="AB153" s="2"/>
      <c r="AC153" s="2"/>
      <c r="AD153" s="2" t="s">
        <v>4</v>
      </c>
      <c r="AE153" s="332">
        <f>AE152+1.2</f>
        <v>13.16</v>
      </c>
      <c r="AF153" s="332"/>
      <c r="AG153" s="332"/>
      <c r="AH153" s="2" t="s">
        <v>6</v>
      </c>
      <c r="AI153" s="2"/>
      <c r="AK153" s="2"/>
      <c r="AL153" s="2"/>
      <c r="AM153" s="2"/>
      <c r="AN153" s="2"/>
      <c r="AO153" s="2"/>
      <c r="AP153" s="2"/>
      <c r="AQ153" s="120"/>
      <c r="AR153" s="2"/>
      <c r="AV153" s="121"/>
      <c r="AW153" s="100"/>
    </row>
    <row r="154" spans="1:51" s="7" customFormat="1" ht="13.5" customHeight="1">
      <c r="A154" s="98"/>
      <c r="B154" s="98"/>
      <c r="C154" s="5"/>
      <c r="D154" s="2"/>
      <c r="E154" s="2"/>
      <c r="F154" s="2"/>
      <c r="G154" s="2"/>
      <c r="H154" s="2"/>
      <c r="I154" s="2"/>
      <c r="J154" s="2"/>
      <c r="K154" s="2"/>
      <c r="L154" s="2"/>
      <c r="M154" s="2"/>
      <c r="N154" s="2"/>
      <c r="O154" s="2"/>
      <c r="R154" s="2"/>
      <c r="S154" s="2"/>
      <c r="Y154" s="2"/>
      <c r="Z154" s="2"/>
      <c r="AA154" s="2"/>
      <c r="AB154" s="2"/>
      <c r="AC154" s="2"/>
      <c r="AD154" s="2"/>
      <c r="AE154" s="2"/>
      <c r="AF154" s="2"/>
      <c r="AG154" s="2"/>
      <c r="AH154" s="2"/>
      <c r="AI154" s="2"/>
      <c r="AJ154" s="2"/>
      <c r="AK154" s="2"/>
      <c r="AL154" s="2"/>
      <c r="AM154" s="2"/>
      <c r="AN154" s="2"/>
      <c r="AO154" s="2"/>
      <c r="AP154" s="2"/>
      <c r="AQ154" s="120"/>
      <c r="AR154" s="2"/>
      <c r="AV154" s="121"/>
      <c r="AW154" s="100"/>
    </row>
    <row r="155" spans="1:51" s="7" customFormat="1" ht="13.5" customHeight="1">
      <c r="A155" s="98"/>
      <c r="B155" s="104"/>
      <c r="C155" s="5"/>
      <c r="D155" s="2"/>
      <c r="E155" s="2"/>
      <c r="F155" s="2"/>
      <c r="G155" s="2"/>
      <c r="H155" s="2"/>
      <c r="I155" s="336">
        <f>I151-Y157</f>
        <v>5.3500000000000014</v>
      </c>
      <c r="J155" s="336"/>
      <c r="L155" s="2"/>
      <c r="M155" s="2"/>
      <c r="N155" s="2"/>
      <c r="O155" s="2"/>
      <c r="P155" s="2"/>
      <c r="Q155" s="2"/>
      <c r="R155" s="2"/>
      <c r="S155" s="2"/>
      <c r="AH155" s="2" t="s">
        <v>88</v>
      </c>
      <c r="AI155" s="2"/>
      <c r="AJ155" s="2"/>
      <c r="AK155" s="2"/>
      <c r="AL155" s="2"/>
      <c r="AM155" s="2" t="s">
        <v>4</v>
      </c>
      <c r="AN155" s="332">
        <f>AE151*AE153</f>
        <v>131.6</v>
      </c>
      <c r="AO155" s="332"/>
      <c r="AP155" s="332"/>
      <c r="AQ155" s="120"/>
      <c r="AR155" s="2"/>
      <c r="AS155" s="2" t="s">
        <v>22</v>
      </c>
      <c r="AT155" s="2"/>
      <c r="AV155" s="121"/>
      <c r="AW155" s="100"/>
    </row>
    <row r="156" spans="1:51" s="7" customFormat="1" ht="13.5" customHeight="1">
      <c r="A156" s="98"/>
      <c r="B156" s="104"/>
      <c r="C156" s="5"/>
      <c r="D156" s="2"/>
      <c r="E156" s="2"/>
      <c r="F156" s="2"/>
      <c r="G156" s="2"/>
      <c r="H156" s="2"/>
      <c r="I156" s="2"/>
      <c r="J156" s="2"/>
      <c r="K156" s="2"/>
      <c r="L156" s="2"/>
      <c r="M156" s="2"/>
      <c r="N156" s="2"/>
      <c r="O156" s="2"/>
      <c r="P156" s="2"/>
      <c r="Q156" s="2"/>
      <c r="R156" s="2"/>
      <c r="S156" s="2"/>
      <c r="Y156" s="2"/>
      <c r="Z156" s="2"/>
      <c r="AA156" s="2"/>
      <c r="AB156" s="2"/>
      <c r="AC156" s="2"/>
      <c r="AD156" s="2"/>
      <c r="AE156" s="2"/>
      <c r="AF156" s="2"/>
      <c r="AG156" s="2"/>
      <c r="AH156" s="2"/>
      <c r="AI156" s="2"/>
      <c r="AJ156" s="2"/>
      <c r="AK156" s="2"/>
      <c r="AL156" s="2"/>
      <c r="AM156" s="2"/>
      <c r="AN156" s="2"/>
      <c r="AO156" s="2"/>
      <c r="AP156" s="2"/>
      <c r="AQ156" s="120"/>
      <c r="AR156" s="2"/>
      <c r="AV156" s="121"/>
      <c r="AW156" s="100"/>
    </row>
    <row r="157" spans="1:51" s="7" customFormat="1" ht="13.5" customHeight="1">
      <c r="A157" s="98"/>
      <c r="B157" s="98"/>
      <c r="D157" s="2"/>
      <c r="E157" s="2"/>
      <c r="F157" s="2"/>
      <c r="G157" s="2"/>
      <c r="H157" s="2"/>
      <c r="I157" s="2"/>
      <c r="J157" s="2"/>
      <c r="K157" s="2"/>
      <c r="L157" s="2"/>
      <c r="M157" s="2"/>
      <c r="N157" s="2"/>
      <c r="O157" s="332">
        <f>(I151-Y157)*2</f>
        <v>10.700000000000003</v>
      </c>
      <c r="P157" s="332"/>
      <c r="Q157" s="332"/>
      <c r="R157" s="2"/>
      <c r="S157" s="2"/>
      <c r="W157" s="332" t="s">
        <v>83</v>
      </c>
      <c r="X157" s="332"/>
      <c r="Y157" s="331">
        <f>10.95</f>
        <v>10.95</v>
      </c>
      <c r="Z157" s="331"/>
      <c r="AA157" s="331"/>
      <c r="AB157" s="2"/>
      <c r="AC157" s="2"/>
      <c r="AD157" s="2"/>
      <c r="AE157" s="2"/>
      <c r="AF157" s="2"/>
      <c r="AG157" s="2"/>
      <c r="AH157" s="2"/>
      <c r="AI157" s="2"/>
      <c r="AJ157" s="2"/>
      <c r="AK157" s="2"/>
      <c r="AL157" s="2"/>
      <c r="AM157" s="2"/>
      <c r="AN157" s="2"/>
      <c r="AO157" s="2"/>
      <c r="AP157" s="2"/>
      <c r="AQ157" s="120"/>
      <c r="AR157" s="2"/>
      <c r="AV157" s="121"/>
      <c r="AW157" s="100"/>
    </row>
    <row r="158" spans="1:51">
      <c r="A158" s="109"/>
      <c r="B158" s="96"/>
      <c r="C158" s="2"/>
      <c r="D158" s="2"/>
      <c r="E158" s="2"/>
      <c r="F158" s="2"/>
      <c r="G158" s="2"/>
      <c r="H158" s="2"/>
      <c r="I158" s="2"/>
      <c r="J158" s="2"/>
      <c r="K158" s="2"/>
      <c r="L158" s="2"/>
      <c r="M158" s="2"/>
      <c r="N158" s="2"/>
      <c r="O158" s="1"/>
      <c r="P158" s="1"/>
      <c r="Q158" s="1"/>
      <c r="R158" s="2"/>
      <c r="S158" s="332"/>
      <c r="T158" s="332"/>
      <c r="U158" s="332"/>
      <c r="V158" s="332"/>
      <c r="W158" s="332"/>
      <c r="X158" s="332"/>
      <c r="Y158" s="332"/>
      <c r="Z158" s="332"/>
      <c r="AA158" s="332"/>
      <c r="AB158" s="332"/>
      <c r="AC158" s="332"/>
      <c r="AD158" s="332"/>
      <c r="AE158" s="332"/>
      <c r="AF158" s="332" t="s">
        <v>25</v>
      </c>
      <c r="AG158" s="332"/>
      <c r="AH158" s="332"/>
      <c r="AI158" s="332"/>
      <c r="AJ158" s="332"/>
      <c r="AK158" s="332"/>
      <c r="AL158" s="332"/>
      <c r="AM158" s="2" t="s">
        <v>4</v>
      </c>
      <c r="AN158" s="331">
        <f>AN155+AN149</f>
        <v>1418.8733599999998</v>
      </c>
      <c r="AO158" s="331"/>
      <c r="AP158" s="331"/>
      <c r="AQ158" s="331"/>
      <c r="AR158" s="331"/>
      <c r="AS158" s="332" t="s">
        <v>22</v>
      </c>
      <c r="AT158" s="332"/>
      <c r="AU158" s="2"/>
      <c r="AV158" s="91"/>
      <c r="AW158" s="137"/>
    </row>
    <row r="159" spans="1:51">
      <c r="A159" s="109"/>
      <c r="B159" s="96"/>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t="s">
        <v>92</v>
      </c>
      <c r="AD159" s="2"/>
      <c r="AE159" s="2"/>
      <c r="AF159" s="2"/>
      <c r="AG159" s="2"/>
      <c r="AH159" s="2"/>
      <c r="AI159" s="2"/>
      <c r="AJ159" s="2"/>
      <c r="AK159" s="2"/>
      <c r="AL159" s="2"/>
      <c r="AM159" s="2" t="s">
        <v>4</v>
      </c>
      <c r="AN159" s="331">
        <f>AN158</f>
        <v>1418.8733599999998</v>
      </c>
      <c r="AO159" s="331"/>
      <c r="AP159" s="331"/>
      <c r="AQ159" s="331"/>
      <c r="AR159" s="331"/>
      <c r="AS159" s="332" t="s">
        <v>22</v>
      </c>
      <c r="AT159" s="332"/>
      <c r="AU159" s="2"/>
      <c r="AV159" s="91"/>
      <c r="AW159" s="137"/>
    </row>
    <row r="160" spans="1:51">
      <c r="A160" s="109"/>
      <c r="B160" s="96"/>
      <c r="C160" s="2"/>
      <c r="D160" s="2"/>
      <c r="E160" s="2"/>
      <c r="F160" s="2"/>
      <c r="G160" s="2"/>
      <c r="H160" s="2"/>
      <c r="I160" s="2"/>
      <c r="J160" s="2"/>
      <c r="K160" s="2"/>
      <c r="L160" s="2"/>
      <c r="M160" s="2"/>
      <c r="N160" s="2"/>
      <c r="O160" s="2"/>
      <c r="P160" s="332" t="s">
        <v>253</v>
      </c>
      <c r="Q160" s="332"/>
      <c r="R160" s="332"/>
      <c r="S160" s="332"/>
      <c r="T160" s="332"/>
      <c r="U160" s="332"/>
      <c r="V160" s="332"/>
      <c r="W160" s="332"/>
      <c r="X160" s="2"/>
      <c r="Y160" s="2"/>
      <c r="Z160" s="2"/>
      <c r="AA160" s="2"/>
      <c r="AB160" s="2"/>
      <c r="AC160" s="2"/>
      <c r="AD160" s="2"/>
      <c r="AE160" s="2"/>
      <c r="AF160" s="2"/>
      <c r="AG160" s="2"/>
      <c r="AH160" s="333" t="s">
        <v>147</v>
      </c>
      <c r="AI160" s="333"/>
      <c r="AJ160" s="333"/>
      <c r="AK160" s="333"/>
      <c r="AL160" s="333"/>
      <c r="AM160" s="333"/>
      <c r="AN160" s="333"/>
      <c r="AO160" s="333"/>
      <c r="AP160" s="333"/>
      <c r="AQ160" s="333"/>
      <c r="AR160" s="333"/>
      <c r="AS160" s="333"/>
      <c r="AT160" s="333"/>
      <c r="AU160" s="333"/>
      <c r="AV160" s="129">
        <f>(AN159)*0.95</f>
        <v>1347.9296919999997</v>
      </c>
      <c r="AW160" s="137" t="s">
        <v>22</v>
      </c>
      <c r="AX160" s="2"/>
      <c r="AY160" s="84"/>
    </row>
    <row r="161" spans="1:51">
      <c r="A161" s="111"/>
      <c r="B161" s="9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21"/>
      <c r="AM161" s="21"/>
      <c r="AN161" s="21"/>
      <c r="AO161" s="21"/>
      <c r="AP161" s="21"/>
      <c r="AQ161" s="119"/>
      <c r="AR161" s="334" t="s">
        <v>267</v>
      </c>
      <c r="AS161" s="334"/>
      <c r="AT161" s="334"/>
      <c r="AU161" s="21" t="s">
        <v>4</v>
      </c>
      <c r="AV161" s="130">
        <f>ROUND(AV160/(0.4*0.4),0)</f>
        <v>8425</v>
      </c>
      <c r="AW161" s="155" t="s">
        <v>12</v>
      </c>
      <c r="AY161" s="84"/>
    </row>
    <row r="162" spans="1:51" ht="26.25" customHeight="1">
      <c r="A162" s="110">
        <v>15</v>
      </c>
      <c r="B162" s="95" t="s">
        <v>187</v>
      </c>
      <c r="C162" s="372" t="s">
        <v>39</v>
      </c>
      <c r="D162" s="364"/>
      <c r="E162" s="364"/>
      <c r="F162" s="364"/>
      <c r="G162" s="364"/>
      <c r="H162" s="364"/>
      <c r="I162" s="364"/>
      <c r="J162" s="364"/>
      <c r="K162" s="364"/>
      <c r="L162" s="364"/>
      <c r="M162" s="364"/>
      <c r="N162" s="364"/>
      <c r="O162" s="364"/>
      <c r="P162" s="364"/>
      <c r="Q162" s="364"/>
      <c r="R162" s="364"/>
      <c r="S162" s="364"/>
      <c r="T162" s="364"/>
      <c r="U162" s="364"/>
      <c r="V162" s="364"/>
      <c r="W162" s="364"/>
      <c r="X162" s="364"/>
      <c r="Y162" s="364"/>
      <c r="Z162" s="364"/>
      <c r="AA162" s="364"/>
      <c r="AB162" s="364"/>
      <c r="AC162" s="364"/>
      <c r="AD162" s="364"/>
      <c r="AE162" s="364"/>
      <c r="AF162" s="364"/>
      <c r="AG162" s="364"/>
      <c r="AH162" s="364"/>
      <c r="AI162" s="364"/>
      <c r="AJ162" s="364"/>
      <c r="AK162" s="364"/>
      <c r="AL162" s="364"/>
      <c r="AM162" s="364"/>
      <c r="AN162" s="364"/>
      <c r="AO162" s="364"/>
      <c r="AP162" s="364"/>
      <c r="AQ162" s="364"/>
      <c r="AR162" s="364"/>
      <c r="AS162" s="364"/>
      <c r="AT162" s="364"/>
      <c r="AU162" s="10"/>
      <c r="AV162" s="123"/>
      <c r="AW162" s="156"/>
    </row>
    <row r="163" spans="1:51">
      <c r="A163" s="109"/>
      <c r="B163" s="96"/>
      <c r="C163" s="2"/>
      <c r="D163" s="2"/>
      <c r="E163" s="2"/>
      <c r="F163" s="2"/>
      <c r="G163" s="2"/>
      <c r="H163" s="2"/>
      <c r="I163" s="2"/>
      <c r="J163" s="2"/>
      <c r="K163" s="2"/>
      <c r="L163" s="2"/>
      <c r="M163" s="2"/>
      <c r="N163" s="2"/>
      <c r="O163" s="2"/>
      <c r="P163" s="332"/>
      <c r="Q163" s="332"/>
      <c r="R163" s="2"/>
      <c r="S163" s="332" t="s">
        <v>19</v>
      </c>
      <c r="T163" s="332"/>
      <c r="U163" s="332"/>
      <c r="V163" s="332"/>
      <c r="W163" s="332"/>
      <c r="X163" s="331">
        <v>0</v>
      </c>
      <c r="Y163" s="331"/>
      <c r="Z163" s="331"/>
      <c r="AA163" s="2" t="s">
        <v>20</v>
      </c>
      <c r="AB163" s="331">
        <f>AD108</f>
        <v>8</v>
      </c>
      <c r="AC163" s="331"/>
      <c r="AE163" s="23"/>
      <c r="AF163" s="2" t="s">
        <v>4</v>
      </c>
      <c r="AG163" s="23"/>
      <c r="AI163" s="330">
        <f>AB163-X163</f>
        <v>8</v>
      </c>
      <c r="AJ163" s="330"/>
      <c r="AK163" s="330"/>
      <c r="AL163" s="332" t="s">
        <v>6</v>
      </c>
      <c r="AM163" s="332"/>
      <c r="AN163" s="2"/>
      <c r="AO163" s="2"/>
      <c r="AP163" s="2"/>
      <c r="AQ163" s="120"/>
      <c r="AR163" s="2"/>
      <c r="AS163" s="2"/>
      <c r="AT163" s="2"/>
      <c r="AU163" s="2"/>
      <c r="AV163" s="91"/>
      <c r="AW163" s="137"/>
    </row>
    <row r="164" spans="1:51">
      <c r="A164" s="109"/>
      <c r="B164" s="96"/>
      <c r="C164" s="2"/>
      <c r="D164" s="2"/>
      <c r="E164" s="2"/>
      <c r="F164" s="2"/>
      <c r="G164" s="2"/>
      <c r="H164" s="2"/>
      <c r="I164" s="2"/>
      <c r="J164" s="2"/>
      <c r="K164" s="2"/>
      <c r="L164" s="2"/>
      <c r="M164" s="2"/>
      <c r="N164" s="2"/>
      <c r="O164" s="2"/>
      <c r="P164" s="2"/>
      <c r="Q164" s="2"/>
      <c r="R164" s="2"/>
      <c r="S164" s="2"/>
      <c r="T164" s="2"/>
      <c r="U164" s="2"/>
      <c r="V164" s="2"/>
      <c r="W164" s="2"/>
      <c r="X164" s="331">
        <f>AB163</f>
        <v>8</v>
      </c>
      <c r="Y164" s="331"/>
      <c r="Z164" s="331"/>
      <c r="AA164" s="2" t="s">
        <v>20</v>
      </c>
      <c r="AB164" s="331">
        <f>AC131</f>
        <v>37.555999999999997</v>
      </c>
      <c r="AC164" s="331"/>
      <c r="AE164" s="23"/>
      <c r="AF164" s="2" t="s">
        <v>4</v>
      </c>
      <c r="AG164" s="23"/>
      <c r="AI164" s="330">
        <f>AB164-X164</f>
        <v>29.555999999999997</v>
      </c>
      <c r="AJ164" s="330"/>
      <c r="AK164" s="330"/>
      <c r="AL164" s="332" t="s">
        <v>6</v>
      </c>
      <c r="AM164" s="332"/>
      <c r="AN164" s="2"/>
      <c r="AO164" s="2"/>
      <c r="AP164" s="2"/>
      <c r="AQ164" s="120"/>
      <c r="AR164" s="2"/>
      <c r="AS164" s="2"/>
      <c r="AT164" s="2"/>
      <c r="AU164" s="2"/>
      <c r="AV164" s="91"/>
      <c r="AW164" s="137"/>
    </row>
    <row r="165" spans="1:51">
      <c r="A165" s="109"/>
      <c r="B165" s="96"/>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1" t="s">
        <v>9</v>
      </c>
      <c r="AE165" s="1"/>
      <c r="AF165" s="2" t="s">
        <v>4</v>
      </c>
      <c r="AG165" s="2"/>
      <c r="AI165" s="330">
        <f>AI163+AI164</f>
        <v>37.555999999999997</v>
      </c>
      <c r="AJ165" s="330"/>
      <c r="AK165" s="330"/>
      <c r="AL165" s="332" t="str">
        <f>AL163</f>
        <v>M</v>
      </c>
      <c r="AM165" s="332"/>
      <c r="AN165" s="2"/>
      <c r="AO165" s="2"/>
      <c r="AP165" s="2"/>
      <c r="AQ165" s="120"/>
      <c r="AR165" s="2"/>
      <c r="AS165" s="2"/>
      <c r="AT165" s="2"/>
      <c r="AU165" s="2"/>
      <c r="AV165" s="91"/>
      <c r="AW165" s="137"/>
    </row>
    <row r="166" spans="1:51" s="7" customFormat="1" ht="13.5" customHeight="1">
      <c r="A166" s="113"/>
      <c r="B166" s="98"/>
      <c r="D166" s="2"/>
      <c r="E166" s="2"/>
      <c r="F166" s="2"/>
      <c r="G166" s="2"/>
      <c r="H166" s="2" t="s">
        <v>83</v>
      </c>
      <c r="I166" s="331">
        <f>I133</f>
        <v>16.48</v>
      </c>
      <c r="J166" s="331"/>
      <c r="K166" s="331"/>
      <c r="L166" s="2"/>
      <c r="M166" s="2"/>
      <c r="N166" s="2" t="s">
        <v>84</v>
      </c>
      <c r="O166" s="2"/>
      <c r="P166" s="2"/>
      <c r="Q166" s="2"/>
      <c r="R166" s="2"/>
      <c r="V166" s="2" t="s">
        <v>4</v>
      </c>
      <c r="Y166" s="332">
        <v>0</v>
      </c>
      <c r="Z166" s="332"/>
      <c r="AA166" s="2" t="s">
        <v>85</v>
      </c>
      <c r="AB166" s="335">
        <f>AB163</f>
        <v>8</v>
      </c>
      <c r="AC166" s="332"/>
      <c r="AD166" s="2" t="s">
        <v>4</v>
      </c>
      <c r="AE166" s="331">
        <f>AB166-Y166</f>
        <v>8</v>
      </c>
      <c r="AF166" s="331"/>
      <c r="AG166" s="2" t="s">
        <v>6</v>
      </c>
      <c r="AH166" s="2"/>
      <c r="AI166" s="2"/>
      <c r="AJ166" s="2"/>
      <c r="AK166" s="2"/>
      <c r="AL166" s="2"/>
      <c r="AM166" s="2"/>
      <c r="AN166" s="2"/>
      <c r="AO166" s="2"/>
      <c r="AP166" s="2"/>
      <c r="AQ166" s="120"/>
      <c r="AR166" s="2"/>
      <c r="AV166" s="121"/>
      <c r="AW166" s="100"/>
    </row>
    <row r="167" spans="1:51" s="7" customFormat="1" ht="13.5" customHeight="1">
      <c r="A167" s="113"/>
      <c r="B167" s="98"/>
      <c r="D167" s="2"/>
      <c r="E167" s="2"/>
      <c r="F167" s="2"/>
      <c r="G167" s="2"/>
      <c r="H167" s="2"/>
      <c r="I167" s="2"/>
      <c r="J167" s="2"/>
      <c r="K167" s="2"/>
      <c r="L167" s="2"/>
      <c r="M167" s="2"/>
      <c r="N167" s="2"/>
      <c r="O167" s="2"/>
      <c r="P167" s="2"/>
      <c r="Q167" s="2"/>
      <c r="R167" s="2"/>
      <c r="S167" s="2"/>
      <c r="Y167" s="2" t="s">
        <v>86</v>
      </c>
      <c r="Z167" s="2"/>
      <c r="AA167" s="2"/>
      <c r="AB167" s="2"/>
      <c r="AC167" s="2"/>
      <c r="AD167" s="2" t="s">
        <v>4</v>
      </c>
      <c r="AE167" s="332">
        <f>ROUND(SQRT(((I170*I170)+(O172*O172))),2)</f>
        <v>14.89</v>
      </c>
      <c r="AF167" s="332"/>
      <c r="AG167" s="332"/>
      <c r="AH167" s="2"/>
      <c r="AI167" s="2"/>
      <c r="AJ167" s="2" t="s">
        <v>6</v>
      </c>
      <c r="AK167" s="2"/>
      <c r="AL167" s="2"/>
      <c r="AM167" s="2"/>
      <c r="AN167" s="2"/>
      <c r="AO167" s="2"/>
      <c r="AP167" s="2"/>
      <c r="AQ167" s="120"/>
      <c r="AR167" s="2"/>
      <c r="AV167" s="121"/>
      <c r="AW167" s="100"/>
    </row>
    <row r="168" spans="1:51" s="7" customFormat="1" ht="13.5" customHeight="1">
      <c r="A168" s="113"/>
      <c r="B168" s="98"/>
      <c r="D168" s="2"/>
      <c r="E168" s="2"/>
      <c r="F168" s="2"/>
      <c r="G168" s="2"/>
      <c r="H168" s="2"/>
      <c r="J168" s="2"/>
      <c r="K168" s="2"/>
      <c r="L168" s="2"/>
      <c r="M168" s="2"/>
      <c r="N168" s="2"/>
      <c r="O168" s="2"/>
      <c r="P168" s="2"/>
      <c r="Q168" s="2"/>
      <c r="R168" s="2"/>
      <c r="S168" s="2"/>
      <c r="Y168" s="2" t="s">
        <v>87</v>
      </c>
      <c r="Z168" s="2"/>
      <c r="AA168" s="2"/>
      <c r="AB168" s="2"/>
      <c r="AC168" s="2"/>
      <c r="AD168" s="2" t="s">
        <v>4</v>
      </c>
      <c r="AE168" s="332">
        <f>AE167+0.6</f>
        <v>15.49</v>
      </c>
      <c r="AF168" s="332"/>
      <c r="AG168" s="332"/>
      <c r="AH168" s="2"/>
      <c r="AI168" s="2"/>
      <c r="AJ168" s="2" t="s">
        <v>6</v>
      </c>
      <c r="AK168" s="2"/>
      <c r="AL168" s="2"/>
      <c r="AM168" s="2"/>
      <c r="AN168" s="2"/>
      <c r="AO168" s="2"/>
      <c r="AP168" s="2"/>
      <c r="AQ168" s="120"/>
      <c r="AR168" s="2"/>
      <c r="AV168" s="121"/>
      <c r="AW168" s="100"/>
    </row>
    <row r="169" spans="1:51" s="7" customFormat="1" ht="13.5" customHeight="1">
      <c r="A169" s="113"/>
      <c r="B169" s="98"/>
      <c r="D169" s="2"/>
      <c r="E169" s="2"/>
      <c r="F169" s="2"/>
      <c r="G169" s="2"/>
      <c r="H169" s="2"/>
      <c r="I169" s="2"/>
      <c r="J169" s="2"/>
      <c r="K169" s="2"/>
      <c r="L169" s="2"/>
      <c r="M169" s="2"/>
      <c r="N169" s="2"/>
      <c r="O169" s="2"/>
      <c r="R169" s="2"/>
      <c r="S169" s="2"/>
      <c r="Y169" s="2"/>
      <c r="Z169" s="2"/>
      <c r="AA169" s="2"/>
      <c r="AB169" s="2"/>
      <c r="AC169" s="2"/>
      <c r="AD169" s="2"/>
      <c r="AE169" s="2"/>
      <c r="AF169" s="2"/>
      <c r="AG169" s="2"/>
      <c r="AH169" s="2"/>
      <c r="AI169" s="2"/>
      <c r="AJ169" s="2"/>
      <c r="AK169" s="2"/>
      <c r="AL169" s="2"/>
      <c r="AM169" s="2"/>
      <c r="AN169" s="2"/>
      <c r="AO169" s="2"/>
      <c r="AP169" s="2"/>
      <c r="AQ169" s="120"/>
      <c r="AR169" s="2"/>
      <c r="AV169" s="121"/>
      <c r="AW169" s="100"/>
    </row>
    <row r="170" spans="1:51" s="7" customFormat="1" ht="13.5" customHeight="1">
      <c r="A170" s="113"/>
      <c r="B170" s="98"/>
      <c r="D170" s="2"/>
      <c r="E170" s="2"/>
      <c r="F170" s="2"/>
      <c r="G170" s="2"/>
      <c r="H170" s="2"/>
      <c r="I170" s="336">
        <f>I166-Y172</f>
        <v>6.66</v>
      </c>
      <c r="J170" s="336"/>
      <c r="L170" s="2"/>
      <c r="M170" s="2"/>
      <c r="N170" s="2"/>
      <c r="O170" s="2"/>
      <c r="P170" s="2"/>
      <c r="Q170" s="2"/>
      <c r="R170" s="2"/>
      <c r="S170" s="2"/>
      <c r="AH170" s="2" t="s">
        <v>88</v>
      </c>
      <c r="AI170" s="2"/>
      <c r="AJ170" s="2"/>
      <c r="AK170" s="2"/>
      <c r="AL170" s="2"/>
      <c r="AM170" s="2" t="s">
        <v>4</v>
      </c>
      <c r="AN170" s="332">
        <f>AE166*AE168</f>
        <v>123.92</v>
      </c>
      <c r="AO170" s="332"/>
      <c r="AP170" s="332"/>
      <c r="AQ170" s="120"/>
      <c r="AR170" s="2"/>
      <c r="AS170" s="2" t="s">
        <v>22</v>
      </c>
      <c r="AT170" s="2"/>
      <c r="AV170" s="121"/>
      <c r="AW170" s="100"/>
    </row>
    <row r="171" spans="1:51" s="7" customFormat="1" ht="13.5" customHeight="1">
      <c r="A171" s="113"/>
      <c r="B171" s="98"/>
      <c r="D171" s="2"/>
      <c r="E171" s="2"/>
      <c r="F171" s="2"/>
      <c r="G171" s="2"/>
      <c r="H171" s="2"/>
      <c r="I171" s="2"/>
      <c r="J171" s="2"/>
      <c r="K171" s="2"/>
      <c r="L171" s="2"/>
      <c r="M171" s="2"/>
      <c r="N171" s="2"/>
      <c r="O171" s="2"/>
      <c r="P171" s="2"/>
      <c r="Q171" s="2"/>
      <c r="R171" s="2"/>
      <c r="S171" s="2"/>
      <c r="Y171" s="2"/>
      <c r="Z171" s="2"/>
      <c r="AA171" s="2"/>
      <c r="AB171" s="2"/>
      <c r="AC171" s="2"/>
      <c r="AD171" s="2"/>
      <c r="AE171" s="2"/>
      <c r="AF171" s="2"/>
      <c r="AG171" s="2"/>
      <c r="AH171" s="2"/>
      <c r="AI171" s="2"/>
      <c r="AJ171" s="2"/>
      <c r="AK171" s="2"/>
      <c r="AL171" s="2"/>
      <c r="AM171" s="2"/>
      <c r="AN171" s="2"/>
      <c r="AO171" s="2"/>
      <c r="AP171" s="2"/>
      <c r="AQ171" s="120"/>
      <c r="AR171" s="2"/>
      <c r="AV171" s="121"/>
      <c r="AW171" s="100"/>
    </row>
    <row r="172" spans="1:51" s="7" customFormat="1" ht="13.5" customHeight="1">
      <c r="A172" s="113"/>
      <c r="B172" s="98"/>
      <c r="D172" s="2"/>
      <c r="E172" s="2"/>
      <c r="F172" s="2"/>
      <c r="G172" s="2"/>
      <c r="H172" s="2"/>
      <c r="I172" s="2"/>
      <c r="J172" s="2"/>
      <c r="K172" s="2"/>
      <c r="L172" s="2"/>
      <c r="M172" s="2"/>
      <c r="N172" s="2"/>
      <c r="O172" s="332">
        <f>(I166-Y172)*2</f>
        <v>13.32</v>
      </c>
      <c r="P172" s="332"/>
      <c r="Q172" s="332"/>
      <c r="R172" s="2"/>
      <c r="S172" s="2"/>
      <c r="W172" s="332" t="s">
        <v>83</v>
      </c>
      <c r="X172" s="332"/>
      <c r="Y172" s="336">
        <f>10.52-0.7</f>
        <v>9.82</v>
      </c>
      <c r="Z172" s="336"/>
      <c r="AA172" s="336"/>
      <c r="AB172" s="2"/>
      <c r="AC172" s="2"/>
      <c r="AD172" s="2"/>
      <c r="AE172" s="2"/>
      <c r="AF172" s="2"/>
      <c r="AG172" s="2"/>
      <c r="AH172" s="2"/>
      <c r="AI172" s="2"/>
      <c r="AJ172" s="2"/>
      <c r="AK172" s="2"/>
      <c r="AL172" s="2"/>
      <c r="AM172" s="2"/>
      <c r="AN172" s="2"/>
      <c r="AO172" s="2"/>
      <c r="AP172" s="2"/>
      <c r="AQ172" s="120"/>
      <c r="AR172" s="2"/>
      <c r="AV172" s="121"/>
      <c r="AW172" s="100"/>
    </row>
    <row r="173" spans="1:51">
      <c r="A173" s="109"/>
      <c r="B173" s="96"/>
      <c r="C173" s="2"/>
      <c r="D173" s="2"/>
      <c r="E173" s="2"/>
      <c r="F173" s="332"/>
      <c r="G173" s="332"/>
      <c r="H173" s="332"/>
      <c r="I173" s="332"/>
      <c r="J173" s="332"/>
      <c r="K173" s="332"/>
      <c r="L173" s="2"/>
      <c r="M173" s="2"/>
      <c r="N173" s="2"/>
      <c r="O173" s="2"/>
      <c r="P173" s="331"/>
      <c r="Q173" s="331"/>
      <c r="R173" s="331"/>
      <c r="S173" s="2"/>
      <c r="T173" s="2"/>
      <c r="U173" s="2"/>
      <c r="V173" s="2"/>
      <c r="W173" s="2"/>
      <c r="X173" s="2"/>
      <c r="Y173" s="2"/>
      <c r="Z173" s="2"/>
      <c r="AA173" s="2"/>
      <c r="AB173" s="2"/>
      <c r="AC173" s="2"/>
      <c r="AD173" s="2"/>
      <c r="AE173" s="2"/>
      <c r="AF173" s="332" t="s">
        <v>25</v>
      </c>
      <c r="AG173" s="332"/>
      <c r="AH173" s="332"/>
      <c r="AI173" s="332"/>
      <c r="AJ173" s="332"/>
      <c r="AK173" s="332"/>
      <c r="AL173" s="332"/>
      <c r="AM173" s="2" t="s">
        <v>4</v>
      </c>
      <c r="AN173" s="331">
        <f>AN170*2</f>
        <v>247.84</v>
      </c>
      <c r="AO173" s="331"/>
      <c r="AP173" s="331"/>
      <c r="AQ173" s="331"/>
      <c r="AR173" s="331"/>
      <c r="AS173" s="332" t="s">
        <v>22</v>
      </c>
      <c r="AT173" s="332"/>
      <c r="AU173" s="2"/>
      <c r="AV173" s="91"/>
      <c r="AW173" s="137"/>
    </row>
    <row r="174" spans="1:51" s="7" customFormat="1" ht="13.5" customHeight="1">
      <c r="A174" s="98"/>
      <c r="B174" s="98"/>
      <c r="C174" s="5"/>
      <c r="D174" s="2"/>
      <c r="E174" s="2"/>
      <c r="F174" s="2"/>
      <c r="G174" s="2"/>
      <c r="H174" s="2" t="s">
        <v>83</v>
      </c>
      <c r="I174" s="331">
        <f>I166</f>
        <v>16.48</v>
      </c>
      <c r="J174" s="331"/>
      <c r="K174" s="331"/>
      <c r="L174" s="2"/>
      <c r="M174" s="2"/>
      <c r="N174" s="2" t="s">
        <v>84</v>
      </c>
      <c r="O174" s="2"/>
      <c r="P174" s="2"/>
      <c r="Q174" s="2"/>
      <c r="R174" s="2"/>
      <c r="V174" s="2" t="s">
        <v>4</v>
      </c>
      <c r="Y174" s="331">
        <f>X164</f>
        <v>8</v>
      </c>
      <c r="Z174" s="332"/>
      <c r="AA174" s="2" t="s">
        <v>85</v>
      </c>
      <c r="AB174" s="331">
        <f>AB164</f>
        <v>37.555999999999997</v>
      </c>
      <c r="AC174" s="332"/>
      <c r="AD174" s="2" t="s">
        <v>4</v>
      </c>
      <c r="AE174" s="331">
        <f>AB174-Y174</f>
        <v>29.555999999999997</v>
      </c>
      <c r="AF174" s="331"/>
      <c r="AG174" s="2" t="s">
        <v>6</v>
      </c>
      <c r="AH174" s="2"/>
      <c r="AI174" s="2"/>
      <c r="AJ174" s="2"/>
      <c r="AK174" s="2"/>
      <c r="AL174" s="2"/>
      <c r="AM174" s="2"/>
      <c r="AN174" s="2"/>
      <c r="AO174" s="2"/>
      <c r="AP174" s="2"/>
      <c r="AQ174" s="120"/>
      <c r="AR174" s="2"/>
      <c r="AV174" s="121"/>
      <c r="AW174" s="100"/>
    </row>
    <row r="175" spans="1:51" s="7" customFormat="1" ht="13.5" customHeight="1">
      <c r="A175" s="98"/>
      <c r="B175" s="98"/>
      <c r="C175" s="5"/>
      <c r="D175" s="2"/>
      <c r="E175" s="2"/>
      <c r="F175" s="2"/>
      <c r="G175" s="2"/>
      <c r="H175" s="2"/>
      <c r="I175" s="2"/>
      <c r="J175" s="2"/>
      <c r="K175" s="2"/>
      <c r="L175" s="2"/>
      <c r="M175" s="2"/>
      <c r="N175" s="2"/>
      <c r="O175" s="2"/>
      <c r="P175" s="2"/>
      <c r="Q175" s="2"/>
      <c r="R175" s="2"/>
      <c r="S175" s="2"/>
      <c r="Y175" s="2" t="s">
        <v>86</v>
      </c>
      <c r="Z175" s="2"/>
      <c r="AA175" s="2"/>
      <c r="AB175" s="2"/>
      <c r="AC175" s="2"/>
      <c r="AD175" s="2" t="s">
        <v>4</v>
      </c>
      <c r="AE175" s="332">
        <f>ROUND(SQRT(((I178*I178)+(O180*O180))),2)</f>
        <v>16.73</v>
      </c>
      <c r="AF175" s="332"/>
      <c r="AG175" s="332"/>
      <c r="AH175" s="2"/>
      <c r="AI175" s="2"/>
      <c r="AJ175" s="2" t="s">
        <v>6</v>
      </c>
      <c r="AK175" s="2"/>
      <c r="AL175" s="2"/>
      <c r="AM175" s="2"/>
      <c r="AN175" s="2"/>
      <c r="AO175" s="2"/>
      <c r="AP175" s="2"/>
      <c r="AQ175" s="120"/>
      <c r="AR175" s="2"/>
      <c r="AV175" s="121"/>
      <c r="AW175" s="100"/>
    </row>
    <row r="176" spans="1:51" s="7" customFormat="1" ht="13.5" customHeight="1">
      <c r="A176" s="113"/>
      <c r="B176" s="98"/>
      <c r="D176" s="2"/>
      <c r="E176" s="2"/>
      <c r="F176" s="2"/>
      <c r="G176" s="2"/>
      <c r="H176" s="2"/>
      <c r="J176" s="2"/>
      <c r="K176" s="2"/>
      <c r="L176" s="2"/>
      <c r="M176" s="2"/>
      <c r="N176" s="2"/>
      <c r="O176" s="2"/>
      <c r="P176" s="2"/>
      <c r="Q176" s="2"/>
      <c r="R176" s="2"/>
      <c r="S176" s="2"/>
      <c r="Y176" s="2" t="s">
        <v>87</v>
      </c>
      <c r="Z176" s="2"/>
      <c r="AA176" s="2"/>
      <c r="AB176" s="2"/>
      <c r="AC176" s="2"/>
      <c r="AD176" s="2" t="s">
        <v>4</v>
      </c>
      <c r="AE176" s="332">
        <f>AE175+0.8</f>
        <v>17.53</v>
      </c>
      <c r="AF176" s="332"/>
      <c r="AG176" s="332"/>
      <c r="AH176" s="2"/>
      <c r="AI176" s="2"/>
      <c r="AJ176" s="2" t="s">
        <v>6</v>
      </c>
      <c r="AK176" s="2"/>
      <c r="AL176" s="2"/>
      <c r="AM176" s="2"/>
      <c r="AN176" s="2"/>
      <c r="AO176" s="2"/>
      <c r="AP176" s="2"/>
      <c r="AQ176" s="120"/>
      <c r="AR176" s="2"/>
      <c r="AV176" s="121"/>
      <c r="AW176" s="100"/>
    </row>
    <row r="177" spans="1:51" s="7" customFormat="1" ht="13.5" customHeight="1">
      <c r="A177" s="113"/>
      <c r="B177" s="98"/>
      <c r="D177" s="2"/>
      <c r="E177" s="2"/>
      <c r="F177" s="2"/>
      <c r="G177" s="2"/>
      <c r="H177" s="2"/>
      <c r="I177" s="2"/>
      <c r="J177" s="2"/>
      <c r="K177" s="2"/>
      <c r="L177" s="2"/>
      <c r="M177" s="2"/>
      <c r="N177" s="2"/>
      <c r="O177" s="2"/>
      <c r="R177" s="2"/>
      <c r="S177" s="2"/>
      <c r="Y177" s="2"/>
      <c r="Z177" s="2"/>
      <c r="AA177" s="2"/>
      <c r="AB177" s="2"/>
      <c r="AC177" s="2"/>
      <c r="AD177" s="2"/>
      <c r="AE177" s="2"/>
      <c r="AF177" s="2"/>
      <c r="AG177" s="2"/>
      <c r="AH177" s="2"/>
      <c r="AI177" s="2"/>
      <c r="AJ177" s="2"/>
      <c r="AK177" s="2"/>
      <c r="AL177" s="2"/>
      <c r="AM177" s="2"/>
      <c r="AN177" s="2"/>
      <c r="AO177" s="2"/>
      <c r="AP177" s="2"/>
      <c r="AQ177" s="120"/>
      <c r="AR177" s="2"/>
      <c r="AV177" s="121"/>
      <c r="AW177" s="100"/>
    </row>
    <row r="178" spans="1:51" s="7" customFormat="1" ht="13.5" customHeight="1">
      <c r="A178" s="113"/>
      <c r="B178" s="98"/>
      <c r="D178" s="2"/>
      <c r="E178" s="2"/>
      <c r="F178" s="2"/>
      <c r="G178" s="2"/>
      <c r="H178" s="2"/>
      <c r="I178" s="336">
        <f>I174-Y180</f>
        <v>7.48</v>
      </c>
      <c r="J178" s="336"/>
      <c r="L178" s="2"/>
      <c r="M178" s="2"/>
      <c r="N178" s="2"/>
      <c r="O178" s="2"/>
      <c r="P178" s="2"/>
      <c r="Q178" s="2"/>
      <c r="R178" s="2"/>
      <c r="S178" s="2"/>
      <c r="AH178" s="2" t="s">
        <v>88</v>
      </c>
      <c r="AI178" s="2"/>
      <c r="AJ178" s="2"/>
      <c r="AK178" s="2"/>
      <c r="AL178" s="2"/>
      <c r="AM178" s="2" t="s">
        <v>4</v>
      </c>
      <c r="AN178" s="336">
        <f>AE174*AE176</f>
        <v>518.11667999999997</v>
      </c>
      <c r="AO178" s="336"/>
      <c r="AP178" s="336"/>
      <c r="AQ178" s="120"/>
      <c r="AR178" s="2"/>
      <c r="AS178" s="2" t="s">
        <v>22</v>
      </c>
      <c r="AT178" s="2"/>
      <c r="AV178" s="121"/>
      <c r="AW178" s="100"/>
    </row>
    <row r="179" spans="1:51" s="7" customFormat="1" ht="13.5" customHeight="1">
      <c r="A179" s="113"/>
      <c r="B179" s="98"/>
      <c r="D179" s="2"/>
      <c r="E179" s="2"/>
      <c r="F179" s="2"/>
      <c r="G179" s="2"/>
      <c r="H179" s="2"/>
      <c r="I179" s="2"/>
      <c r="J179" s="2"/>
      <c r="K179" s="2"/>
      <c r="L179" s="2"/>
      <c r="M179" s="2"/>
      <c r="N179" s="2"/>
      <c r="O179" s="2"/>
      <c r="P179" s="2"/>
      <c r="Q179" s="2"/>
      <c r="R179" s="2"/>
      <c r="S179" s="2"/>
      <c r="Y179" s="2"/>
      <c r="Z179" s="2"/>
      <c r="AA179" s="2"/>
      <c r="AB179" s="2"/>
      <c r="AC179" s="2"/>
      <c r="AD179" s="2"/>
      <c r="AE179" s="2"/>
      <c r="AF179" s="2"/>
      <c r="AG179" s="2"/>
      <c r="AH179" s="2"/>
      <c r="AI179" s="2"/>
      <c r="AJ179" s="2"/>
      <c r="AK179" s="2"/>
      <c r="AL179" s="2"/>
      <c r="AM179" s="2"/>
      <c r="AN179" s="2"/>
      <c r="AO179" s="2"/>
      <c r="AP179" s="2"/>
      <c r="AQ179" s="120"/>
      <c r="AR179" s="2"/>
      <c r="AV179" s="121"/>
      <c r="AW179" s="100"/>
    </row>
    <row r="180" spans="1:51" s="7" customFormat="1" ht="13.5" customHeight="1">
      <c r="A180" s="114"/>
      <c r="B180" s="99"/>
      <c r="C180" s="6"/>
      <c r="D180" s="17"/>
      <c r="E180" s="17"/>
      <c r="F180" s="17"/>
      <c r="G180" s="17"/>
      <c r="H180" s="17"/>
      <c r="I180" s="17"/>
      <c r="J180" s="17"/>
      <c r="K180" s="17"/>
      <c r="L180" s="17"/>
      <c r="M180" s="17"/>
      <c r="N180" s="17"/>
      <c r="O180" s="338">
        <f>(I174-Y180)*2</f>
        <v>14.96</v>
      </c>
      <c r="P180" s="338"/>
      <c r="Q180" s="338"/>
      <c r="R180" s="17"/>
      <c r="S180" s="17"/>
      <c r="T180" s="6"/>
      <c r="U180" s="6"/>
      <c r="V180" s="6"/>
      <c r="W180" s="356" t="s">
        <v>83</v>
      </c>
      <c r="X180" s="356"/>
      <c r="Y180" s="337">
        <f>9.7-0.7</f>
        <v>9</v>
      </c>
      <c r="Z180" s="337"/>
      <c r="AA180" s="337"/>
      <c r="AB180" s="17"/>
      <c r="AC180" s="17"/>
      <c r="AD180" s="17"/>
      <c r="AE180" s="17"/>
      <c r="AF180" s="356" t="s">
        <v>25</v>
      </c>
      <c r="AG180" s="356"/>
      <c r="AH180" s="356"/>
      <c r="AI180" s="356"/>
      <c r="AJ180" s="356"/>
      <c r="AK180" s="356"/>
      <c r="AL180" s="356"/>
      <c r="AM180" s="17" t="s">
        <v>4</v>
      </c>
      <c r="AN180" s="337">
        <f>AN178*2</f>
        <v>1036.2333599999999</v>
      </c>
      <c r="AO180" s="337"/>
      <c r="AP180" s="337"/>
      <c r="AQ180" s="337"/>
      <c r="AR180" s="337"/>
      <c r="AS180" s="356" t="s">
        <v>22</v>
      </c>
      <c r="AT180" s="356"/>
      <c r="AU180" s="6"/>
      <c r="AV180" s="195"/>
      <c r="AW180" s="101"/>
    </row>
    <row r="181" spans="1:51">
      <c r="A181" s="110"/>
      <c r="B181" s="93"/>
      <c r="C181" s="10"/>
      <c r="D181" s="367" t="s">
        <v>91</v>
      </c>
      <c r="E181" s="367"/>
      <c r="F181" s="367"/>
      <c r="G181" s="367"/>
      <c r="H181" s="367"/>
      <c r="I181" s="367"/>
      <c r="J181" s="367"/>
      <c r="K181" s="367"/>
      <c r="L181" s="367"/>
      <c r="M181" s="367"/>
      <c r="N181" s="367"/>
      <c r="O181" s="367"/>
      <c r="P181" s="367"/>
      <c r="Q181" s="367"/>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41"/>
      <c r="AR181" s="10"/>
      <c r="AS181" s="10"/>
      <c r="AT181" s="10"/>
      <c r="AU181" s="10"/>
      <c r="AV181" s="123"/>
      <c r="AW181" s="156"/>
    </row>
    <row r="182" spans="1:51">
      <c r="A182" s="109"/>
      <c r="B182" s="96"/>
      <c r="C182" s="2"/>
      <c r="D182" s="2"/>
      <c r="E182" s="2"/>
      <c r="F182" s="2"/>
      <c r="G182" s="2"/>
      <c r="H182" s="2"/>
      <c r="I182" s="2"/>
      <c r="J182" s="2"/>
      <c r="K182" s="2"/>
      <c r="L182" s="2"/>
      <c r="M182" s="2"/>
      <c r="N182" s="2" t="s">
        <v>84</v>
      </c>
      <c r="O182" s="2"/>
      <c r="P182" s="2"/>
      <c r="Q182" s="2"/>
      <c r="R182" s="2"/>
      <c r="S182" s="7"/>
      <c r="T182" s="7"/>
      <c r="U182" s="7"/>
      <c r="V182" s="2" t="s">
        <v>4</v>
      </c>
      <c r="W182" s="7"/>
      <c r="X182" s="336">
        <v>0</v>
      </c>
      <c r="Y182" s="336"/>
      <c r="Z182" s="336"/>
      <c r="AA182" s="2" t="s">
        <v>85</v>
      </c>
      <c r="AB182" s="331">
        <f>AC117</f>
        <v>10</v>
      </c>
      <c r="AC182" s="331"/>
      <c r="AD182" s="331"/>
      <c r="AE182" s="2" t="s">
        <v>4</v>
      </c>
      <c r="AF182" s="331">
        <f>AB182-X182</f>
        <v>10</v>
      </c>
      <c r="AG182" s="331"/>
      <c r="AH182" s="331"/>
      <c r="AI182" s="2"/>
      <c r="AJ182" s="2" t="s">
        <v>6</v>
      </c>
      <c r="AK182" s="2"/>
      <c r="AL182" s="2"/>
      <c r="AM182" s="2"/>
      <c r="AN182" s="2"/>
      <c r="AO182" s="2"/>
      <c r="AP182" s="2"/>
      <c r="AQ182" s="120"/>
      <c r="AR182" s="2"/>
      <c r="AS182" s="2"/>
      <c r="AT182" s="2"/>
      <c r="AU182" s="2"/>
      <c r="AV182" s="91"/>
      <c r="AW182" s="137"/>
    </row>
    <row r="183" spans="1:51" s="7" customFormat="1" ht="13.5" customHeight="1">
      <c r="A183" s="113"/>
      <c r="B183" s="98"/>
      <c r="D183" s="2"/>
      <c r="E183" s="2"/>
      <c r="F183" s="2"/>
      <c r="G183" s="2"/>
      <c r="H183" s="2" t="s">
        <v>83</v>
      </c>
      <c r="I183" s="331">
        <f>16.5-0.2</f>
        <v>16.3</v>
      </c>
      <c r="J183" s="331"/>
      <c r="K183" s="331"/>
      <c r="L183" s="2"/>
      <c r="M183" s="2"/>
      <c r="N183" s="2"/>
      <c r="O183" s="2"/>
      <c r="P183" s="2"/>
      <c r="Q183" s="2"/>
      <c r="R183" s="2"/>
      <c r="V183" s="2"/>
      <c r="Y183" s="336"/>
      <c r="Z183" s="336"/>
      <c r="AA183" s="2"/>
      <c r="AB183" s="331"/>
      <c r="AC183" s="331"/>
      <c r="AD183" s="331"/>
      <c r="AE183" s="2"/>
      <c r="AF183" s="331"/>
      <c r="AG183" s="331"/>
      <c r="AH183" s="331"/>
      <c r="AI183" s="2"/>
      <c r="AJ183" s="2"/>
      <c r="AK183" s="2"/>
      <c r="AL183" s="2"/>
      <c r="AM183" s="2"/>
      <c r="AN183" s="2"/>
      <c r="AO183" s="2"/>
      <c r="AP183" s="2"/>
      <c r="AQ183" s="120"/>
      <c r="AR183" s="2"/>
      <c r="AV183" s="121"/>
      <c r="AW183" s="100"/>
    </row>
    <row r="184" spans="1:51" s="7" customFormat="1" ht="13.5" customHeight="1">
      <c r="A184" s="113"/>
      <c r="B184" s="98"/>
      <c r="D184" s="2"/>
      <c r="E184" s="2"/>
      <c r="F184" s="2"/>
      <c r="G184" s="2"/>
      <c r="H184" s="2"/>
      <c r="I184" s="2"/>
      <c r="J184" s="2"/>
      <c r="K184" s="2"/>
      <c r="L184" s="2"/>
      <c r="M184" s="2"/>
      <c r="N184" s="2"/>
      <c r="O184" s="2"/>
      <c r="P184" s="2"/>
      <c r="Q184" s="2"/>
      <c r="R184" s="2"/>
      <c r="S184" s="2"/>
      <c r="Y184" s="2" t="s">
        <v>86</v>
      </c>
      <c r="Z184" s="2"/>
      <c r="AA184" s="2"/>
      <c r="AB184" s="2"/>
      <c r="AC184" s="2"/>
      <c r="AD184" s="2" t="s">
        <v>4</v>
      </c>
      <c r="AE184" s="332">
        <f>ROUND(SQRT(((I187*I187)+(O189*O189))),2)</f>
        <v>11.96</v>
      </c>
      <c r="AF184" s="332"/>
      <c r="AG184" s="332"/>
      <c r="AH184" s="2"/>
      <c r="AI184" s="2"/>
      <c r="AJ184" s="2" t="s">
        <v>6</v>
      </c>
      <c r="AK184" s="2"/>
      <c r="AL184" s="2"/>
      <c r="AM184" s="2"/>
      <c r="AN184" s="2"/>
      <c r="AO184" s="2"/>
      <c r="AP184" s="2"/>
      <c r="AQ184" s="120"/>
      <c r="AR184" s="2"/>
      <c r="AV184" s="121"/>
      <c r="AW184" s="100"/>
    </row>
    <row r="185" spans="1:51" s="7" customFormat="1" ht="13.5" customHeight="1">
      <c r="A185" s="113"/>
      <c r="B185" s="98"/>
      <c r="D185" s="2"/>
      <c r="E185" s="2"/>
      <c r="F185" s="2"/>
      <c r="G185" s="2"/>
      <c r="H185" s="2"/>
      <c r="J185" s="2"/>
      <c r="K185" s="2"/>
      <c r="L185" s="2"/>
      <c r="M185" s="2"/>
      <c r="N185" s="2"/>
      <c r="O185" s="2"/>
      <c r="P185" s="2"/>
      <c r="Q185" s="2"/>
      <c r="R185" s="2"/>
      <c r="S185" s="2"/>
      <c r="Y185" s="2" t="s">
        <v>87</v>
      </c>
      <c r="Z185" s="2"/>
      <c r="AA185" s="2"/>
      <c r="AB185" s="2"/>
      <c r="AC185" s="2"/>
      <c r="AD185" s="2" t="s">
        <v>4</v>
      </c>
      <c r="AE185" s="332">
        <f>AE184+1</f>
        <v>12.96</v>
      </c>
      <c r="AF185" s="332"/>
      <c r="AG185" s="332"/>
      <c r="AH185" s="2"/>
      <c r="AI185" s="2"/>
      <c r="AJ185" s="2" t="s">
        <v>6</v>
      </c>
      <c r="AK185" s="2"/>
      <c r="AL185" s="2"/>
      <c r="AM185" s="2"/>
      <c r="AN185" s="2"/>
      <c r="AO185" s="2"/>
      <c r="AP185" s="2"/>
      <c r="AQ185" s="120"/>
      <c r="AR185" s="2"/>
      <c r="AV185" s="121"/>
      <c r="AW185" s="100"/>
    </row>
    <row r="186" spans="1:51" s="7" customFormat="1" ht="13.5" customHeight="1">
      <c r="A186" s="98"/>
      <c r="B186" s="98"/>
      <c r="C186" s="5"/>
      <c r="D186" s="2"/>
      <c r="E186" s="2"/>
      <c r="F186" s="2"/>
      <c r="G186" s="2"/>
      <c r="H186" s="2"/>
      <c r="I186" s="2"/>
      <c r="J186" s="2"/>
      <c r="K186" s="2"/>
      <c r="L186" s="2"/>
      <c r="M186" s="2"/>
      <c r="N186" s="2"/>
      <c r="O186" s="2"/>
      <c r="R186" s="2"/>
      <c r="S186" s="2"/>
      <c r="Y186" s="2"/>
      <c r="Z186" s="2"/>
      <c r="AA186" s="2"/>
      <c r="AB186" s="2"/>
      <c r="AC186" s="2"/>
      <c r="AD186" s="2"/>
      <c r="AE186" s="2"/>
      <c r="AF186" s="2"/>
      <c r="AG186" s="2"/>
      <c r="AH186" s="2"/>
      <c r="AI186" s="2"/>
      <c r="AJ186" s="2"/>
      <c r="AK186" s="2"/>
      <c r="AL186" s="2"/>
      <c r="AM186" s="2"/>
      <c r="AN186" s="2"/>
      <c r="AO186" s="2"/>
      <c r="AP186" s="2"/>
      <c r="AQ186" s="120"/>
      <c r="AR186" s="2"/>
      <c r="AV186" s="121"/>
      <c r="AW186" s="100"/>
    </row>
    <row r="187" spans="1:51" s="7" customFormat="1" ht="13.5" customHeight="1">
      <c r="A187" s="98"/>
      <c r="B187" s="104"/>
      <c r="C187" s="5"/>
      <c r="D187" s="2"/>
      <c r="E187" s="2"/>
      <c r="F187" s="2"/>
      <c r="G187" s="2"/>
      <c r="H187" s="2"/>
      <c r="I187" s="336">
        <f>I183-W189</f>
        <v>5.3500000000000014</v>
      </c>
      <c r="J187" s="336"/>
      <c r="L187" s="2"/>
      <c r="M187" s="2"/>
      <c r="N187" s="2"/>
      <c r="O187" s="2"/>
      <c r="P187" s="2"/>
      <c r="Q187" s="2"/>
      <c r="R187" s="2"/>
      <c r="S187" s="2"/>
      <c r="AH187" s="2" t="s">
        <v>88</v>
      </c>
      <c r="AI187" s="2"/>
      <c r="AJ187" s="2"/>
      <c r="AK187" s="2"/>
      <c r="AL187" s="2"/>
      <c r="AM187" s="2" t="s">
        <v>4</v>
      </c>
      <c r="AN187" s="332">
        <f>AF182*AE185</f>
        <v>129.60000000000002</v>
      </c>
      <c r="AO187" s="332"/>
      <c r="AP187" s="332"/>
      <c r="AQ187" s="120"/>
      <c r="AR187" s="2"/>
      <c r="AS187" s="2" t="s">
        <v>22</v>
      </c>
      <c r="AT187" s="2"/>
      <c r="AV187" s="121"/>
      <c r="AW187" s="100"/>
    </row>
    <row r="188" spans="1:51" s="7" customFormat="1" ht="13.5" customHeight="1">
      <c r="A188" s="98"/>
      <c r="B188" s="104"/>
      <c r="C188" s="5"/>
      <c r="D188" s="2"/>
      <c r="E188" s="2"/>
      <c r="F188" s="2"/>
      <c r="G188" s="2"/>
      <c r="H188" s="2"/>
      <c r="I188" s="2"/>
      <c r="J188" s="2"/>
      <c r="K188" s="2"/>
      <c r="L188" s="2"/>
      <c r="M188" s="2"/>
      <c r="N188" s="2"/>
      <c r="O188" s="2"/>
      <c r="P188" s="2"/>
      <c r="Q188" s="2"/>
      <c r="R188" s="2"/>
      <c r="S188" s="2"/>
      <c r="Y188" s="2"/>
      <c r="Z188" s="2"/>
      <c r="AA188" s="2"/>
      <c r="AB188" s="2"/>
      <c r="AC188" s="2"/>
      <c r="AD188" s="2"/>
      <c r="AE188" s="2"/>
      <c r="AF188" s="2"/>
      <c r="AG188" s="2"/>
      <c r="AH188" s="2"/>
      <c r="AI188" s="2"/>
      <c r="AJ188" s="2"/>
      <c r="AK188" s="2"/>
      <c r="AL188" s="2"/>
      <c r="AM188" s="2"/>
      <c r="AN188" s="2"/>
      <c r="AO188" s="2"/>
      <c r="AP188" s="2"/>
      <c r="AQ188" s="120"/>
      <c r="AR188" s="2"/>
      <c r="AV188" s="121"/>
      <c r="AW188" s="100"/>
    </row>
    <row r="189" spans="1:51" s="7" customFormat="1" ht="13.5" customHeight="1">
      <c r="A189" s="98"/>
      <c r="B189" s="98"/>
      <c r="D189" s="2"/>
      <c r="E189" s="2"/>
      <c r="F189" s="2"/>
      <c r="G189" s="2"/>
      <c r="H189" s="2"/>
      <c r="I189" s="2"/>
      <c r="J189" s="2"/>
      <c r="K189" s="2"/>
      <c r="L189" s="2"/>
      <c r="M189" s="2"/>
      <c r="N189" s="2"/>
      <c r="O189" s="332">
        <f>(I183-W189)*2</f>
        <v>10.700000000000003</v>
      </c>
      <c r="P189" s="332"/>
      <c r="Q189" s="332"/>
      <c r="R189" s="2"/>
      <c r="S189" s="2"/>
      <c r="V189" s="2" t="s">
        <v>83</v>
      </c>
      <c r="W189" s="331">
        <f>10.95</f>
        <v>10.95</v>
      </c>
      <c r="X189" s="331"/>
      <c r="Z189" s="1"/>
      <c r="AA189" s="1"/>
      <c r="AB189" s="2"/>
      <c r="AC189" s="2"/>
      <c r="AD189" s="2"/>
      <c r="AE189" s="2"/>
      <c r="AF189" s="2"/>
      <c r="AG189" s="2"/>
      <c r="AH189" s="2"/>
      <c r="AI189" s="2"/>
      <c r="AJ189" s="2"/>
      <c r="AK189" s="2"/>
      <c r="AL189" s="2"/>
      <c r="AM189" s="2"/>
      <c r="AN189" s="2"/>
      <c r="AO189" s="2"/>
      <c r="AP189" s="2"/>
      <c r="AQ189" s="120"/>
      <c r="AR189" s="2"/>
      <c r="AV189" s="121"/>
      <c r="AW189" s="100"/>
    </row>
    <row r="190" spans="1:51" ht="12.75" customHeight="1">
      <c r="A190" s="96"/>
      <c r="B190" s="96"/>
      <c r="C190" s="2"/>
      <c r="D190" s="2"/>
      <c r="E190" s="2"/>
      <c r="F190" s="2"/>
      <c r="G190" s="2"/>
      <c r="H190" s="2"/>
      <c r="I190" s="2"/>
      <c r="J190" s="2"/>
      <c r="K190" s="2"/>
      <c r="L190" s="2"/>
      <c r="M190" s="2"/>
      <c r="N190" s="2"/>
      <c r="O190" s="2"/>
      <c r="P190" s="1"/>
      <c r="Q190" s="1"/>
      <c r="R190" s="2"/>
      <c r="S190" s="332" t="s">
        <v>250</v>
      </c>
      <c r="T190" s="332"/>
      <c r="U190" s="332"/>
      <c r="V190" s="332"/>
      <c r="W190" s="332"/>
      <c r="X190" s="332"/>
      <c r="Y190" s="332"/>
      <c r="Z190" s="332"/>
      <c r="AA190" s="332"/>
      <c r="AB190" s="332"/>
      <c r="AC190" s="332"/>
      <c r="AD190" s="332"/>
      <c r="AE190" s="332"/>
      <c r="AF190" s="332"/>
      <c r="AG190" s="332"/>
      <c r="AH190" s="332"/>
      <c r="AI190" s="332"/>
      <c r="AJ190" s="332"/>
      <c r="AK190" s="332"/>
      <c r="AL190" s="332"/>
      <c r="AM190" s="2" t="s">
        <v>4</v>
      </c>
      <c r="AN190" s="339">
        <f>AN187</f>
        <v>129.60000000000002</v>
      </c>
      <c r="AO190" s="339"/>
      <c r="AP190" s="339"/>
      <c r="AQ190" s="339"/>
      <c r="AR190" s="339"/>
      <c r="AS190" s="332" t="s">
        <v>22</v>
      </c>
      <c r="AT190" s="332"/>
      <c r="AU190" s="2"/>
      <c r="AV190" s="91"/>
      <c r="AW190" s="137"/>
    </row>
    <row r="191" spans="1:51">
      <c r="A191" s="109"/>
      <c r="B191" s="96"/>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333" t="s">
        <v>193</v>
      </c>
      <c r="AI191" s="333"/>
      <c r="AJ191" s="333"/>
      <c r="AK191" s="333"/>
      <c r="AL191" s="333"/>
      <c r="AM191" s="333"/>
      <c r="AN191" s="333"/>
      <c r="AO191" s="333"/>
      <c r="AP191" s="333"/>
      <c r="AQ191" s="333"/>
      <c r="AR191" s="333"/>
      <c r="AS191" s="333"/>
      <c r="AT191" s="333"/>
      <c r="AU191" s="333"/>
      <c r="AV191" s="129">
        <f>AN190+AN173+AN180</f>
        <v>1413.67336</v>
      </c>
      <c r="AW191" s="137" t="s">
        <v>22</v>
      </c>
      <c r="AY191" s="84"/>
    </row>
    <row r="192" spans="1:51" ht="12.75" customHeight="1">
      <c r="A192" s="109"/>
      <c r="B192" s="9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21"/>
      <c r="AM192" s="21"/>
      <c r="AN192" s="334" t="s">
        <v>43</v>
      </c>
      <c r="AO192" s="334"/>
      <c r="AP192" s="334"/>
      <c r="AQ192" s="334"/>
      <c r="AR192" s="334"/>
      <c r="AS192" s="334"/>
      <c r="AT192" s="334"/>
      <c r="AU192" s="334"/>
      <c r="AV192" s="131">
        <f>AV191*0.1</f>
        <v>141.36733599999999</v>
      </c>
      <c r="AW192" s="155" t="s">
        <v>24</v>
      </c>
    </row>
    <row r="193" spans="1:49" ht="36.75" customHeight="1">
      <c r="A193" s="93">
        <v>16</v>
      </c>
      <c r="B193" s="98" t="s">
        <v>188</v>
      </c>
      <c r="C193" s="364" t="s">
        <v>28</v>
      </c>
      <c r="D193" s="364"/>
      <c r="E193" s="364"/>
      <c r="F193" s="364"/>
      <c r="G193" s="364"/>
      <c r="H193" s="364"/>
      <c r="I193" s="364"/>
      <c r="J193" s="364"/>
      <c r="K193" s="364"/>
      <c r="L193" s="364"/>
      <c r="M193" s="364"/>
      <c r="N193" s="364"/>
      <c r="O193" s="364"/>
      <c r="P193" s="364"/>
      <c r="Q193" s="364"/>
      <c r="R193" s="364"/>
      <c r="S193" s="364"/>
      <c r="T193" s="364"/>
      <c r="U193" s="364"/>
      <c r="V193" s="364"/>
      <c r="W193" s="364"/>
      <c r="X193" s="364"/>
      <c r="Y193" s="364"/>
      <c r="Z193" s="364"/>
      <c r="AA193" s="364"/>
      <c r="AB193" s="364"/>
      <c r="AC193" s="364"/>
      <c r="AD193" s="364"/>
      <c r="AE193" s="364"/>
      <c r="AF193" s="364"/>
      <c r="AG193" s="364"/>
      <c r="AH193" s="364"/>
      <c r="AI193" s="364"/>
      <c r="AJ193" s="364"/>
      <c r="AK193" s="364"/>
      <c r="AL193" s="364"/>
      <c r="AM193" s="364"/>
      <c r="AN193" s="364"/>
      <c r="AO193" s="364"/>
      <c r="AP193" s="364"/>
      <c r="AQ193" s="364"/>
      <c r="AR193" s="364"/>
      <c r="AS193" s="364"/>
      <c r="AT193" s="364"/>
      <c r="AU193" s="2"/>
      <c r="AV193" s="91"/>
      <c r="AW193" s="137"/>
    </row>
    <row r="194" spans="1:49">
      <c r="A194" s="109"/>
      <c r="B194" s="98" t="s">
        <v>189</v>
      </c>
      <c r="C194" s="332" t="s">
        <v>40</v>
      </c>
      <c r="D194" s="332"/>
      <c r="E194" s="332"/>
      <c r="F194" s="332"/>
      <c r="G194" s="332"/>
      <c r="H194" s="332"/>
      <c r="I194" s="332"/>
      <c r="J194" s="332"/>
      <c r="K194" s="332"/>
      <c r="L194" s="332"/>
      <c r="M194" s="332"/>
      <c r="N194" s="332"/>
      <c r="O194" s="332"/>
      <c r="P194" s="332"/>
      <c r="Q194" s="332"/>
      <c r="R194" s="332"/>
      <c r="S194" s="332"/>
      <c r="T194" s="332"/>
      <c r="U194" s="332"/>
      <c r="V194" s="332"/>
      <c r="W194" s="332"/>
      <c r="X194" s="332"/>
      <c r="Y194" s="332"/>
      <c r="Z194" s="332"/>
      <c r="AA194" s="332"/>
      <c r="AB194" s="2"/>
      <c r="AC194" s="341" t="s">
        <v>197</v>
      </c>
      <c r="AD194" s="341"/>
      <c r="AE194" s="341"/>
      <c r="AF194" s="341"/>
      <c r="AG194" s="341"/>
      <c r="AH194" s="341"/>
      <c r="AI194" s="341"/>
      <c r="AJ194" s="341"/>
      <c r="AK194" s="341"/>
      <c r="AL194" s="21"/>
      <c r="AM194" s="21"/>
      <c r="AN194" s="334" t="s">
        <v>43</v>
      </c>
      <c r="AO194" s="334"/>
      <c r="AP194" s="334"/>
      <c r="AQ194" s="334"/>
      <c r="AR194" s="334"/>
      <c r="AS194" s="334"/>
      <c r="AT194" s="334"/>
      <c r="AU194" s="334"/>
      <c r="AV194" s="132">
        <f>ROUND(AV192/2,2)</f>
        <v>70.680000000000007</v>
      </c>
      <c r="AW194" s="155" t="s">
        <v>24</v>
      </c>
    </row>
    <row r="195" spans="1:49">
      <c r="A195" s="111"/>
      <c r="B195" s="99" t="s">
        <v>190</v>
      </c>
      <c r="C195" s="356" t="s">
        <v>41</v>
      </c>
      <c r="D195" s="356"/>
      <c r="E195" s="356"/>
      <c r="F195" s="356"/>
      <c r="G195" s="356"/>
      <c r="H195" s="356"/>
      <c r="I195" s="356"/>
      <c r="J195" s="356"/>
      <c r="K195" s="356"/>
      <c r="L195" s="356"/>
      <c r="M195" s="356"/>
      <c r="N195" s="356"/>
      <c r="O195" s="356"/>
      <c r="P195" s="356"/>
      <c r="Q195" s="356"/>
      <c r="R195" s="356"/>
      <c r="S195" s="356"/>
      <c r="T195" s="356"/>
      <c r="U195" s="356"/>
      <c r="V195" s="356"/>
      <c r="W195" s="356"/>
      <c r="X195" s="356"/>
      <c r="Y195" s="356"/>
      <c r="Z195" s="356"/>
      <c r="AA195" s="356"/>
      <c r="AB195" s="17"/>
      <c r="AC195" s="362" t="s">
        <v>197</v>
      </c>
      <c r="AD195" s="362"/>
      <c r="AE195" s="362"/>
      <c r="AF195" s="362"/>
      <c r="AG195" s="362"/>
      <c r="AH195" s="362"/>
      <c r="AI195" s="362"/>
      <c r="AJ195" s="362"/>
      <c r="AK195" s="362"/>
      <c r="AL195" s="21"/>
      <c r="AM195" s="21"/>
      <c r="AN195" s="334" t="s">
        <v>43</v>
      </c>
      <c r="AO195" s="334"/>
      <c r="AP195" s="334"/>
      <c r="AQ195" s="334"/>
      <c r="AR195" s="334"/>
      <c r="AS195" s="334"/>
      <c r="AT195" s="334"/>
      <c r="AU195" s="334"/>
      <c r="AV195" s="132">
        <f>ROUND(AV194,2)</f>
        <v>70.680000000000007</v>
      </c>
      <c r="AW195" s="155" t="s">
        <v>24</v>
      </c>
    </row>
    <row r="196" spans="1:49" ht="84.75" customHeight="1">
      <c r="A196" s="94">
        <v>17</v>
      </c>
      <c r="B196" s="105" t="s">
        <v>142</v>
      </c>
      <c r="C196" s="357" t="s">
        <v>269</v>
      </c>
      <c r="D196" s="358"/>
      <c r="E196" s="358"/>
      <c r="F196" s="358"/>
      <c r="G196" s="358"/>
      <c r="H196" s="358"/>
      <c r="I196" s="358"/>
      <c r="J196" s="358"/>
      <c r="K196" s="358"/>
      <c r="L196" s="358"/>
      <c r="M196" s="358"/>
      <c r="N196" s="358"/>
      <c r="O196" s="358"/>
      <c r="P196" s="358"/>
      <c r="Q196" s="358"/>
      <c r="R196" s="358"/>
      <c r="S196" s="358"/>
      <c r="T196" s="358"/>
      <c r="U196" s="358"/>
      <c r="V196" s="358"/>
      <c r="W196" s="358"/>
      <c r="X196" s="358"/>
      <c r="Y196" s="358"/>
      <c r="Z196" s="358"/>
      <c r="AA196" s="358"/>
      <c r="AB196" s="358"/>
      <c r="AC196" s="358"/>
      <c r="AD196" s="358"/>
      <c r="AE196" s="358"/>
      <c r="AF196" s="358"/>
      <c r="AG196" s="358"/>
      <c r="AH196" s="358"/>
      <c r="AI196" s="358"/>
      <c r="AJ196" s="358"/>
      <c r="AK196" s="358"/>
      <c r="AL196" s="358"/>
      <c r="AM196" s="358"/>
      <c r="AN196" s="358"/>
      <c r="AO196" s="358"/>
      <c r="AP196" s="358"/>
      <c r="AQ196" s="358"/>
      <c r="AR196" s="358"/>
      <c r="AS196" s="358"/>
      <c r="AT196" s="358"/>
      <c r="AU196" s="21"/>
      <c r="AV196" s="118"/>
      <c r="AW196" s="155"/>
    </row>
    <row r="197" spans="1:49" ht="25.5" customHeight="1">
      <c r="A197" s="110"/>
      <c r="B197" s="95" t="s">
        <v>141</v>
      </c>
      <c r="C197" s="364" t="s">
        <v>29</v>
      </c>
      <c r="D197" s="364"/>
      <c r="E197" s="364"/>
      <c r="F197" s="364"/>
      <c r="G197" s="364"/>
      <c r="H197" s="364"/>
      <c r="I197" s="364"/>
      <c r="J197" s="364"/>
      <c r="K197" s="364"/>
      <c r="L197" s="364"/>
      <c r="M197" s="364"/>
      <c r="N197" s="364"/>
      <c r="O197" s="364"/>
      <c r="P197" s="364"/>
      <c r="Q197" s="364"/>
      <c r="R197" s="364"/>
      <c r="S197" s="364"/>
      <c r="T197" s="364"/>
      <c r="U197" s="364"/>
      <c r="V197" s="364"/>
      <c r="W197" s="364"/>
      <c r="X197" s="364"/>
      <c r="Y197" s="364"/>
      <c r="Z197" s="364"/>
      <c r="AA197" s="364"/>
      <c r="AB197" s="364"/>
      <c r="AC197" s="364"/>
      <c r="AD197" s="364"/>
      <c r="AE197" s="364"/>
      <c r="AF197" s="364"/>
      <c r="AG197" s="364"/>
      <c r="AH197" s="364"/>
      <c r="AI197" s="364"/>
      <c r="AJ197" s="364"/>
      <c r="AK197" s="364"/>
      <c r="AL197" s="364"/>
      <c r="AM197" s="364"/>
      <c r="AN197" s="364"/>
      <c r="AO197" s="364"/>
      <c r="AP197" s="364"/>
      <c r="AQ197" s="364"/>
      <c r="AR197" s="364"/>
      <c r="AS197" s="364"/>
      <c r="AT197" s="364"/>
      <c r="AU197" s="10"/>
      <c r="AV197" s="123"/>
      <c r="AW197" s="156"/>
    </row>
    <row r="198" spans="1:49">
      <c r="A198" s="113"/>
      <c r="B198" s="98"/>
      <c r="C198" s="2"/>
      <c r="D198" s="345" t="s">
        <v>261</v>
      </c>
      <c r="E198" s="345"/>
      <c r="F198" s="345"/>
      <c r="G198" s="345"/>
      <c r="H198" s="345"/>
      <c r="I198" s="345"/>
      <c r="J198" s="345"/>
      <c r="K198" s="345"/>
      <c r="L198" s="345"/>
      <c r="M198" s="345"/>
      <c r="N198" s="345"/>
      <c r="O198" s="345"/>
      <c r="P198" s="345"/>
      <c r="Q198" s="345"/>
      <c r="R198" s="2"/>
      <c r="S198" s="2"/>
      <c r="T198" s="2"/>
      <c r="U198" s="2"/>
      <c r="V198" s="2"/>
      <c r="W198" s="2"/>
      <c r="X198" s="2"/>
      <c r="Y198" s="2"/>
      <c r="Z198" s="2"/>
      <c r="AA198" s="2"/>
      <c r="AB198" s="2"/>
      <c r="AC198" s="2"/>
      <c r="AD198" s="1"/>
      <c r="AE198" s="1"/>
      <c r="AF198" s="1"/>
      <c r="AG198" s="2"/>
      <c r="AH198" s="2"/>
      <c r="AI198" s="1"/>
      <c r="AJ198" s="2"/>
      <c r="AK198" s="2"/>
      <c r="AL198" s="2"/>
      <c r="AM198" s="2"/>
      <c r="AN198" s="2"/>
      <c r="AO198" s="2"/>
      <c r="AP198" s="2"/>
      <c r="AQ198" s="120"/>
      <c r="AR198" s="2"/>
      <c r="AS198" s="2"/>
      <c r="AT198" s="2"/>
      <c r="AU198" s="2"/>
      <c r="AV198" s="91"/>
      <c r="AW198" s="137"/>
    </row>
    <row r="199" spans="1:49">
      <c r="A199" s="109"/>
      <c r="B199" s="96"/>
      <c r="C199" s="2"/>
      <c r="D199" s="2"/>
      <c r="E199" s="2"/>
      <c r="F199" s="2"/>
      <c r="G199" s="2"/>
      <c r="H199" s="2"/>
      <c r="I199" s="2"/>
      <c r="J199" s="2"/>
      <c r="K199" s="2"/>
      <c r="L199" s="2"/>
      <c r="M199" s="2"/>
      <c r="N199" s="2"/>
      <c r="O199" s="2"/>
      <c r="P199" s="332"/>
      <c r="Q199" s="332"/>
      <c r="R199" s="2"/>
      <c r="T199" s="2"/>
      <c r="U199" s="2"/>
      <c r="V199" s="2" t="s">
        <v>19</v>
      </c>
      <c r="W199" s="2"/>
      <c r="Y199" s="331">
        <v>0</v>
      </c>
      <c r="Z199" s="331"/>
      <c r="AA199" s="2" t="s">
        <v>20</v>
      </c>
      <c r="AB199" s="331">
        <f>AD108</f>
        <v>8</v>
      </c>
      <c r="AC199" s="331"/>
      <c r="AD199" s="2" t="s">
        <v>4</v>
      </c>
      <c r="AE199" s="331">
        <f>AB199-Y199</f>
        <v>8</v>
      </c>
      <c r="AF199" s="331"/>
      <c r="AG199" s="331"/>
      <c r="AH199" s="81" t="s">
        <v>6</v>
      </c>
      <c r="AL199" s="332"/>
      <c r="AM199" s="332"/>
      <c r="AN199" s="2"/>
      <c r="AO199" s="2"/>
      <c r="AP199" s="2"/>
      <c r="AQ199" s="120"/>
      <c r="AR199" s="2"/>
      <c r="AS199" s="2"/>
      <c r="AT199" s="2"/>
      <c r="AU199" s="2"/>
      <c r="AV199" s="91"/>
      <c r="AW199" s="137"/>
    </row>
    <row r="200" spans="1:49">
      <c r="A200" s="109"/>
      <c r="B200" s="96"/>
      <c r="C200" s="2"/>
      <c r="D200" s="2"/>
      <c r="E200" s="2"/>
      <c r="F200" s="2"/>
      <c r="G200" s="2"/>
      <c r="H200" s="2"/>
      <c r="I200" s="2"/>
      <c r="J200" s="2"/>
      <c r="K200" s="2"/>
      <c r="L200" s="2"/>
      <c r="M200" s="2"/>
      <c r="N200" s="2"/>
      <c r="O200" s="2"/>
      <c r="P200" s="2"/>
      <c r="Q200" s="2"/>
      <c r="R200" s="2"/>
      <c r="S200" s="2"/>
      <c r="T200" s="2"/>
      <c r="U200" s="2"/>
      <c r="V200" s="2"/>
      <c r="W200" s="2"/>
      <c r="Y200" s="331">
        <f>AB199</f>
        <v>8</v>
      </c>
      <c r="Z200" s="331"/>
      <c r="AA200" s="2" t="s">
        <v>20</v>
      </c>
      <c r="AB200" s="331">
        <f>AC131</f>
        <v>37.555999999999997</v>
      </c>
      <c r="AC200" s="331"/>
      <c r="AD200" s="2" t="s">
        <v>4</v>
      </c>
      <c r="AE200" s="331">
        <f>AB200-Y200</f>
        <v>29.555999999999997</v>
      </c>
      <c r="AF200" s="331"/>
      <c r="AG200" s="331"/>
      <c r="AH200" s="81" t="s">
        <v>6</v>
      </c>
      <c r="AL200" s="332"/>
      <c r="AM200" s="332"/>
      <c r="AN200" s="2"/>
      <c r="AO200" s="2"/>
      <c r="AP200" s="2"/>
      <c r="AQ200" s="120"/>
      <c r="AR200" s="2"/>
      <c r="AS200" s="2"/>
      <c r="AT200" s="2"/>
      <c r="AU200" s="2"/>
      <c r="AV200" s="91"/>
      <c r="AW200" s="137"/>
    </row>
    <row r="201" spans="1:49">
      <c r="A201" s="109"/>
      <c r="B201" s="96"/>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F201" s="1" t="s">
        <v>9</v>
      </c>
      <c r="AG201" s="2"/>
      <c r="AH201" s="2" t="s">
        <v>4</v>
      </c>
      <c r="AI201" s="331">
        <f>AE199+AE200</f>
        <v>37.555999999999997</v>
      </c>
      <c r="AJ201" s="331"/>
      <c r="AK201" s="331"/>
      <c r="AL201" s="332" t="s">
        <v>6</v>
      </c>
      <c r="AM201" s="332"/>
      <c r="AN201" s="2"/>
      <c r="AO201" s="2"/>
      <c r="AP201" s="2"/>
      <c r="AQ201" s="120"/>
      <c r="AR201" s="2"/>
      <c r="AS201" s="2"/>
      <c r="AT201" s="2"/>
      <c r="AU201" s="2"/>
      <c r="AV201" s="91"/>
      <c r="AW201" s="137"/>
    </row>
    <row r="202" spans="1:49" s="7" customFormat="1" ht="13.5" customHeight="1">
      <c r="A202" s="113"/>
      <c r="B202" s="98"/>
      <c r="D202" s="2"/>
      <c r="E202" s="2"/>
      <c r="F202" s="2"/>
      <c r="G202" s="2"/>
      <c r="H202" s="2" t="s">
        <v>83</v>
      </c>
      <c r="I202" s="331">
        <f>I133</f>
        <v>16.48</v>
      </c>
      <c r="J202" s="331"/>
      <c r="K202" s="331"/>
      <c r="L202" s="2"/>
      <c r="M202" s="2"/>
      <c r="N202" s="2" t="s">
        <v>84</v>
      </c>
      <c r="O202" s="2"/>
      <c r="P202" s="2"/>
      <c r="Q202" s="2"/>
      <c r="R202" s="2"/>
      <c r="V202" s="2" t="s">
        <v>4</v>
      </c>
      <c r="Y202" s="336">
        <v>0</v>
      </c>
      <c r="Z202" s="336"/>
      <c r="AA202" s="2" t="s">
        <v>85</v>
      </c>
      <c r="AB202" s="331">
        <f>AB199</f>
        <v>8</v>
      </c>
      <c r="AC202" s="332"/>
      <c r="AD202" s="2" t="s">
        <v>4</v>
      </c>
      <c r="AE202" s="331">
        <f>AB202-Y202</f>
        <v>8</v>
      </c>
      <c r="AF202" s="332"/>
      <c r="AG202" s="2"/>
      <c r="AH202" s="2"/>
      <c r="AI202" s="2"/>
      <c r="AJ202" s="2"/>
      <c r="AK202" s="2"/>
      <c r="AL202" s="2"/>
      <c r="AM202" s="2"/>
      <c r="AN202" s="2"/>
      <c r="AO202" s="2"/>
      <c r="AP202" s="2"/>
      <c r="AQ202" s="120"/>
      <c r="AR202" s="2"/>
      <c r="AV202" s="121"/>
      <c r="AW202" s="100"/>
    </row>
    <row r="203" spans="1:49" s="7" customFormat="1" ht="13.5" customHeight="1">
      <c r="A203" s="113"/>
      <c r="B203" s="98"/>
      <c r="D203" s="2"/>
      <c r="E203" s="2"/>
      <c r="F203" s="2"/>
      <c r="G203" s="2"/>
      <c r="H203" s="2"/>
      <c r="I203" s="2"/>
      <c r="J203" s="2"/>
      <c r="K203" s="2"/>
      <c r="L203" s="2"/>
      <c r="M203" s="2"/>
      <c r="N203" s="2"/>
      <c r="O203" s="2"/>
      <c r="P203" s="2"/>
      <c r="Q203" s="2"/>
      <c r="R203" s="2"/>
      <c r="S203" s="2"/>
      <c r="Y203" s="2" t="s">
        <v>86</v>
      </c>
      <c r="Z203" s="2"/>
      <c r="AA203" s="2"/>
      <c r="AB203" s="2"/>
      <c r="AC203" s="2"/>
      <c r="AD203" s="2" t="s">
        <v>4</v>
      </c>
      <c r="AE203" s="332">
        <f>ROUND(SQRT(((I205*I205)+(O207*O207))),2)</f>
        <v>14.89</v>
      </c>
      <c r="AF203" s="332"/>
      <c r="AG203" s="332"/>
      <c r="AH203" s="2"/>
      <c r="AI203" s="2"/>
      <c r="AJ203" s="2" t="s">
        <v>6</v>
      </c>
      <c r="AK203" s="2"/>
      <c r="AL203" s="2"/>
      <c r="AM203" s="2"/>
      <c r="AN203" s="2"/>
      <c r="AO203" s="2"/>
      <c r="AP203" s="2"/>
      <c r="AQ203" s="120"/>
      <c r="AR203" s="2"/>
      <c r="AV203" s="121"/>
      <c r="AW203" s="100"/>
    </row>
    <row r="204" spans="1:49" s="7" customFormat="1" ht="13.5" customHeight="1">
      <c r="A204" s="113"/>
      <c r="B204" s="98"/>
      <c r="D204" s="2"/>
      <c r="E204" s="2"/>
      <c r="F204" s="2"/>
      <c r="G204" s="2"/>
      <c r="H204" s="2"/>
      <c r="J204" s="2"/>
      <c r="K204" s="2"/>
      <c r="L204" s="2"/>
      <c r="M204" s="2"/>
      <c r="N204" s="2"/>
      <c r="O204" s="2"/>
      <c r="P204" s="2"/>
      <c r="Q204" s="2"/>
      <c r="R204" s="2"/>
      <c r="S204" s="2"/>
      <c r="Y204" s="2" t="s">
        <v>87</v>
      </c>
      <c r="Z204" s="2"/>
      <c r="AA204" s="2"/>
      <c r="AB204" s="2"/>
      <c r="AC204" s="2"/>
      <c r="AD204" s="2" t="s">
        <v>4</v>
      </c>
      <c r="AE204" s="332">
        <f>0.2+0.1+0.6+AE203+1.2+0.2</f>
        <v>17.190000000000001</v>
      </c>
      <c r="AF204" s="332"/>
      <c r="AG204" s="332"/>
      <c r="AH204" s="2"/>
      <c r="AI204" s="2"/>
      <c r="AJ204" s="2" t="s">
        <v>6</v>
      </c>
      <c r="AK204" s="2"/>
      <c r="AL204" s="2"/>
      <c r="AM204" s="2"/>
      <c r="AN204" s="2"/>
      <c r="AO204" s="2"/>
      <c r="AP204" s="2"/>
      <c r="AQ204" s="120"/>
      <c r="AR204" s="2"/>
      <c r="AV204" s="121"/>
      <c r="AW204" s="100"/>
    </row>
    <row r="205" spans="1:49" s="7" customFormat="1" ht="13.5" customHeight="1">
      <c r="A205" s="113"/>
      <c r="B205" s="98"/>
      <c r="D205" s="2"/>
      <c r="E205" s="2"/>
      <c r="F205" s="2"/>
      <c r="G205" s="2"/>
      <c r="H205" s="2"/>
      <c r="I205" s="336">
        <f>I202-Y206</f>
        <v>6.66</v>
      </c>
      <c r="J205" s="336"/>
      <c r="L205" s="2"/>
      <c r="M205" s="2"/>
      <c r="N205" s="2"/>
      <c r="O205" s="2"/>
      <c r="P205" s="2"/>
      <c r="Q205" s="2"/>
      <c r="R205" s="2"/>
      <c r="S205" s="2"/>
      <c r="AH205" s="2" t="s">
        <v>88</v>
      </c>
      <c r="AI205" s="2"/>
      <c r="AJ205" s="2"/>
      <c r="AK205" s="2"/>
      <c r="AL205" s="2"/>
      <c r="AM205" s="2" t="s">
        <v>4</v>
      </c>
      <c r="AN205" s="332">
        <f>AE202*AE204</f>
        <v>137.52000000000001</v>
      </c>
      <c r="AO205" s="332"/>
      <c r="AP205" s="332"/>
      <c r="AQ205" s="2" t="s">
        <v>22</v>
      </c>
      <c r="AR205" s="2"/>
      <c r="AT205" s="2"/>
      <c r="AV205" s="121"/>
      <c r="AW205" s="100"/>
    </row>
    <row r="206" spans="1:49" s="7" customFormat="1" ht="13.5" customHeight="1">
      <c r="A206" s="113"/>
      <c r="B206" s="98"/>
      <c r="D206" s="2"/>
      <c r="E206" s="2"/>
      <c r="F206" s="2"/>
      <c r="G206" s="2"/>
      <c r="H206" s="2"/>
      <c r="I206" s="2"/>
      <c r="J206" s="2"/>
      <c r="K206" s="2"/>
      <c r="L206" s="2"/>
      <c r="M206" s="2"/>
      <c r="N206" s="2"/>
      <c r="O206" s="2"/>
      <c r="P206" s="2"/>
      <c r="Q206" s="2"/>
      <c r="R206" s="2"/>
      <c r="S206" s="2"/>
      <c r="W206" s="332" t="s">
        <v>83</v>
      </c>
      <c r="X206" s="332"/>
      <c r="Y206" s="336">
        <f>10.52-0.7</f>
        <v>9.82</v>
      </c>
      <c r="Z206" s="336"/>
      <c r="AA206" s="336"/>
      <c r="AB206" s="2"/>
      <c r="AC206" s="2"/>
      <c r="AD206" s="2"/>
      <c r="AE206" s="2" t="s">
        <v>92</v>
      </c>
      <c r="AG206" s="2"/>
      <c r="AI206" s="2"/>
      <c r="AJ206" s="2"/>
      <c r="AK206" s="2"/>
      <c r="AL206" s="2"/>
      <c r="AM206" s="2" t="s">
        <v>4</v>
      </c>
      <c r="AN206" s="336">
        <f>AN205*2</f>
        <v>275.04000000000002</v>
      </c>
      <c r="AO206" s="336"/>
      <c r="AP206" s="336"/>
      <c r="AQ206" s="2" t="s">
        <v>22</v>
      </c>
      <c r="AR206" s="2"/>
      <c r="AT206" s="2"/>
      <c r="AV206" s="121"/>
      <c r="AW206" s="100"/>
    </row>
    <row r="207" spans="1:49" s="7" customFormat="1" ht="13.5" customHeight="1">
      <c r="A207" s="113"/>
      <c r="B207" s="98"/>
      <c r="D207" s="2"/>
      <c r="E207" s="2"/>
      <c r="F207" s="2"/>
      <c r="G207" s="2"/>
      <c r="H207" s="2"/>
      <c r="I207" s="2"/>
      <c r="J207" s="2"/>
      <c r="K207" s="2"/>
      <c r="L207" s="2"/>
      <c r="M207" s="2"/>
      <c r="N207" s="2"/>
      <c r="O207" s="332">
        <f>(I202-Y206)*2</f>
        <v>13.32</v>
      </c>
      <c r="P207" s="332"/>
      <c r="Q207" s="332"/>
      <c r="R207" s="2"/>
      <c r="S207" s="2"/>
      <c r="AB207" s="2"/>
      <c r="AC207" s="2"/>
      <c r="AD207" s="2"/>
      <c r="AE207" s="2"/>
      <c r="AF207" s="2"/>
      <c r="AG207" s="2"/>
      <c r="AH207" s="2"/>
      <c r="AI207" s="2"/>
      <c r="AJ207" s="2"/>
      <c r="AK207" s="2"/>
      <c r="AL207" s="2"/>
      <c r="AM207" s="2"/>
      <c r="AN207" s="2"/>
      <c r="AO207" s="2"/>
      <c r="AP207" s="2"/>
      <c r="AQ207" s="2"/>
      <c r="AR207" s="2"/>
      <c r="AV207" s="121"/>
      <c r="AW207" s="100"/>
    </row>
    <row r="208" spans="1:49" s="7" customFormat="1" ht="13.5" customHeight="1">
      <c r="A208" s="113"/>
      <c r="B208" s="98"/>
      <c r="D208" s="2"/>
      <c r="E208" s="2"/>
      <c r="F208" s="2"/>
      <c r="G208" s="2"/>
      <c r="H208" s="2"/>
      <c r="I208" s="2"/>
      <c r="J208" s="2"/>
      <c r="K208" s="2"/>
      <c r="L208" s="2"/>
      <c r="M208" s="2"/>
      <c r="N208" s="2"/>
      <c r="O208" s="2"/>
      <c r="P208" s="2"/>
      <c r="Q208" s="2"/>
      <c r="R208" s="2"/>
      <c r="S208" s="2"/>
      <c r="AB208" s="2"/>
      <c r="AC208" s="2"/>
      <c r="AD208" s="2"/>
      <c r="AE208" s="2"/>
      <c r="AF208" s="2"/>
      <c r="AG208" s="2"/>
      <c r="AH208" s="2"/>
      <c r="AI208" s="2"/>
      <c r="AJ208" s="2"/>
      <c r="AK208" s="2"/>
      <c r="AL208" s="2"/>
      <c r="AM208" s="2"/>
      <c r="AN208" s="2"/>
      <c r="AO208" s="2"/>
      <c r="AP208" s="2"/>
      <c r="AQ208" s="2"/>
      <c r="AR208" s="2"/>
      <c r="AV208" s="121"/>
      <c r="AW208" s="100"/>
    </row>
    <row r="209" spans="1:49" s="7" customFormat="1" ht="13.5" customHeight="1">
      <c r="A209" s="113"/>
      <c r="B209" s="98"/>
      <c r="D209" s="2"/>
      <c r="E209" s="2"/>
      <c r="F209" s="2"/>
      <c r="G209" s="2"/>
      <c r="H209" s="2"/>
      <c r="I209" s="2"/>
      <c r="J209" s="2"/>
      <c r="K209" s="2"/>
      <c r="L209" s="2"/>
      <c r="M209" s="2"/>
      <c r="N209" s="2"/>
      <c r="O209" s="2"/>
      <c r="P209" s="2"/>
      <c r="Q209" s="2"/>
      <c r="R209" s="2"/>
      <c r="S209" s="2"/>
      <c r="Y209" s="2"/>
      <c r="Z209" s="2"/>
      <c r="AA209" s="2"/>
      <c r="AB209" s="2"/>
      <c r="AC209" s="2"/>
      <c r="AD209" s="2"/>
      <c r="AE209" s="2"/>
      <c r="AF209" s="2"/>
      <c r="AG209" s="2"/>
      <c r="AH209" s="2"/>
      <c r="AI209" s="2"/>
      <c r="AJ209" s="2"/>
      <c r="AK209" s="2"/>
      <c r="AL209" s="2"/>
      <c r="AM209" s="2"/>
      <c r="AN209" s="2"/>
      <c r="AO209" s="2"/>
      <c r="AP209" s="2"/>
      <c r="AQ209" s="2"/>
      <c r="AR209" s="2"/>
      <c r="AV209" s="121"/>
      <c r="AW209" s="100"/>
    </row>
    <row r="210" spans="1:49" s="7" customFormat="1" ht="13.5" customHeight="1">
      <c r="A210" s="113"/>
      <c r="B210" s="98"/>
      <c r="D210" s="2"/>
      <c r="E210" s="2"/>
      <c r="F210" s="2"/>
      <c r="G210" s="2"/>
      <c r="H210" s="2" t="s">
        <v>83</v>
      </c>
      <c r="I210" s="331">
        <f>I202</f>
        <v>16.48</v>
      </c>
      <c r="J210" s="331"/>
      <c r="K210" s="331"/>
      <c r="L210" s="2"/>
      <c r="M210" s="2"/>
      <c r="N210" s="2" t="s">
        <v>84</v>
      </c>
      <c r="O210" s="2"/>
      <c r="P210" s="2"/>
      <c r="Q210" s="2"/>
      <c r="R210" s="2"/>
      <c r="V210" s="2" t="s">
        <v>4</v>
      </c>
      <c r="Y210" s="331">
        <f>Y200</f>
        <v>8</v>
      </c>
      <c r="Z210" s="332"/>
      <c r="AA210" s="2" t="s">
        <v>85</v>
      </c>
      <c r="AB210" s="331">
        <f>AB200</f>
        <v>37.555999999999997</v>
      </c>
      <c r="AC210" s="332"/>
      <c r="AD210" s="2" t="s">
        <v>4</v>
      </c>
      <c r="AE210" s="332">
        <f>AB210-Y210</f>
        <v>29.555999999999997</v>
      </c>
      <c r="AF210" s="332"/>
      <c r="AG210" s="2" t="s">
        <v>6</v>
      </c>
      <c r="AH210" s="2"/>
      <c r="AI210" s="2"/>
      <c r="AJ210" s="2"/>
      <c r="AK210" s="2"/>
      <c r="AL210" s="2"/>
      <c r="AM210" s="2"/>
      <c r="AN210" s="2"/>
      <c r="AO210" s="2"/>
      <c r="AP210" s="2"/>
      <c r="AQ210" s="2"/>
      <c r="AR210" s="2"/>
      <c r="AV210" s="121"/>
      <c r="AW210" s="100"/>
    </row>
    <row r="211" spans="1:49" s="7" customFormat="1" ht="13.5" customHeight="1">
      <c r="A211" s="113"/>
      <c r="B211" s="98"/>
      <c r="D211" s="2"/>
      <c r="E211" s="2"/>
      <c r="F211" s="2"/>
      <c r="G211" s="2"/>
      <c r="H211" s="2"/>
      <c r="I211" s="2"/>
      <c r="J211" s="2"/>
      <c r="K211" s="2"/>
      <c r="L211" s="2"/>
      <c r="M211" s="2"/>
      <c r="N211" s="2"/>
      <c r="O211" s="2"/>
      <c r="P211" s="2"/>
      <c r="Q211" s="2"/>
      <c r="R211" s="2"/>
      <c r="S211" s="2"/>
      <c r="Y211" s="2" t="s">
        <v>86</v>
      </c>
      <c r="Z211" s="2"/>
      <c r="AA211" s="2"/>
      <c r="AB211" s="2"/>
      <c r="AC211" s="2"/>
      <c r="AD211" s="2" t="s">
        <v>4</v>
      </c>
      <c r="AE211" s="332">
        <f>ROUND(SQRT(((I214*I214)+(O216*O216))),2)</f>
        <v>16.73</v>
      </c>
      <c r="AF211" s="332"/>
      <c r="AG211" s="332"/>
      <c r="AH211" s="2" t="s">
        <v>6</v>
      </c>
      <c r="AI211" s="2"/>
      <c r="AJ211" s="2"/>
      <c r="AK211" s="2"/>
      <c r="AL211" s="2"/>
      <c r="AM211" s="2"/>
      <c r="AN211" s="2"/>
      <c r="AO211" s="2"/>
      <c r="AP211" s="2"/>
      <c r="AQ211" s="2"/>
      <c r="AR211" s="2"/>
      <c r="AV211" s="121"/>
      <c r="AW211" s="100"/>
    </row>
    <row r="212" spans="1:49" s="7" customFormat="1" ht="13.5" customHeight="1">
      <c r="A212" s="113"/>
      <c r="B212" s="98"/>
      <c r="D212" s="2"/>
      <c r="E212" s="2"/>
      <c r="F212" s="2"/>
      <c r="G212" s="2"/>
      <c r="H212" s="2"/>
      <c r="J212" s="2"/>
      <c r="K212" s="2"/>
      <c r="L212" s="2"/>
      <c r="M212" s="2"/>
      <c r="N212" s="2"/>
      <c r="O212" s="2"/>
      <c r="P212" s="2"/>
      <c r="Q212" s="2"/>
      <c r="R212" s="2"/>
      <c r="S212" s="2"/>
      <c r="Y212" s="2" t="s">
        <v>87</v>
      </c>
      <c r="Z212" s="2"/>
      <c r="AA212" s="2"/>
      <c r="AB212" s="2"/>
      <c r="AC212" s="2"/>
      <c r="AD212" s="2" t="s">
        <v>4</v>
      </c>
      <c r="AE212" s="332">
        <f>0.2+0.1+0.6+AE211+1.2+0.2</f>
        <v>19.029999999999998</v>
      </c>
      <c r="AF212" s="332"/>
      <c r="AG212" s="332"/>
      <c r="AH212" s="2" t="s">
        <v>6</v>
      </c>
      <c r="AI212" s="2"/>
      <c r="AJ212" s="2"/>
      <c r="AK212" s="2"/>
      <c r="AL212" s="2"/>
      <c r="AM212" s="2"/>
      <c r="AN212" s="2"/>
      <c r="AO212" s="2"/>
      <c r="AP212" s="2"/>
      <c r="AQ212" s="2"/>
      <c r="AR212" s="2"/>
      <c r="AV212" s="121"/>
      <c r="AW212" s="100"/>
    </row>
    <row r="213" spans="1:49" s="7" customFormat="1" ht="13.5" customHeight="1">
      <c r="A213" s="113"/>
      <c r="B213" s="98"/>
      <c r="D213" s="2"/>
      <c r="E213" s="2"/>
      <c r="F213" s="2"/>
      <c r="G213" s="2"/>
      <c r="H213" s="2"/>
      <c r="I213" s="2"/>
      <c r="J213" s="2"/>
      <c r="K213" s="2"/>
      <c r="L213" s="2"/>
      <c r="M213" s="2"/>
      <c r="N213" s="2"/>
      <c r="O213" s="2"/>
      <c r="R213" s="2"/>
      <c r="S213" s="2"/>
      <c r="Y213" s="2"/>
      <c r="Z213" s="2"/>
      <c r="AA213" s="2"/>
      <c r="AB213" s="2"/>
      <c r="AC213" s="2"/>
      <c r="AD213" s="2"/>
      <c r="AE213" s="2"/>
      <c r="AF213" s="2"/>
      <c r="AG213" s="2"/>
      <c r="AH213" s="2"/>
      <c r="AI213" s="2"/>
      <c r="AJ213" s="2"/>
      <c r="AK213" s="2"/>
      <c r="AL213" s="2"/>
      <c r="AM213" s="2"/>
      <c r="AN213" s="2"/>
      <c r="AO213" s="2"/>
      <c r="AP213" s="2"/>
      <c r="AQ213" s="2"/>
      <c r="AR213" s="2"/>
      <c r="AV213" s="121"/>
      <c r="AW213" s="100"/>
    </row>
    <row r="214" spans="1:49" s="7" customFormat="1" ht="13.5" customHeight="1">
      <c r="A214" s="113"/>
      <c r="B214" s="98"/>
      <c r="D214" s="2"/>
      <c r="E214" s="2"/>
      <c r="F214" s="2"/>
      <c r="G214" s="2"/>
      <c r="H214" s="2"/>
      <c r="I214" s="336">
        <f>I210-Y215</f>
        <v>7.48</v>
      </c>
      <c r="J214" s="336"/>
      <c r="L214" s="2"/>
      <c r="M214" s="2"/>
      <c r="N214" s="2"/>
      <c r="O214" s="2"/>
      <c r="P214" s="2"/>
      <c r="Q214" s="2"/>
      <c r="R214" s="2"/>
      <c r="S214" s="2"/>
      <c r="AH214" s="2" t="s">
        <v>88</v>
      </c>
      <c r="AI214" s="2"/>
      <c r="AJ214" s="2"/>
      <c r="AK214" s="2"/>
      <c r="AL214" s="2"/>
      <c r="AM214" s="2" t="s">
        <v>4</v>
      </c>
      <c r="AN214" s="336">
        <f>AE210*AE212</f>
        <v>562.45067999999992</v>
      </c>
      <c r="AO214" s="336"/>
      <c r="AP214" s="336"/>
      <c r="AQ214" s="2" t="s">
        <v>22</v>
      </c>
      <c r="AR214" s="2"/>
      <c r="AT214" s="2"/>
      <c r="AV214" s="121"/>
      <c r="AW214" s="100"/>
    </row>
    <row r="215" spans="1:49" s="7" customFormat="1" ht="13.5" customHeight="1">
      <c r="A215" s="113"/>
      <c r="B215" s="98"/>
      <c r="D215" s="2"/>
      <c r="E215" s="2"/>
      <c r="F215" s="2"/>
      <c r="G215" s="2"/>
      <c r="H215" s="2"/>
      <c r="I215" s="2"/>
      <c r="J215" s="2"/>
      <c r="K215" s="2"/>
      <c r="L215" s="2"/>
      <c r="M215" s="2"/>
      <c r="N215" s="2"/>
      <c r="O215" s="2"/>
      <c r="P215" s="2"/>
      <c r="Q215" s="2"/>
      <c r="R215" s="2"/>
      <c r="S215" s="2"/>
      <c r="W215" s="332" t="s">
        <v>83</v>
      </c>
      <c r="X215" s="332"/>
      <c r="Y215" s="336">
        <f>9.7-0.7</f>
        <v>9</v>
      </c>
      <c r="Z215" s="336"/>
      <c r="AA215" s="336"/>
      <c r="AB215" s="2"/>
      <c r="AC215" s="2"/>
      <c r="AD215" s="2"/>
      <c r="AE215" s="2" t="s">
        <v>92</v>
      </c>
      <c r="AG215" s="2"/>
      <c r="AI215" s="2"/>
      <c r="AJ215" s="2"/>
      <c r="AK215" s="2"/>
      <c r="AL215" s="2"/>
      <c r="AM215" s="2" t="s">
        <v>4</v>
      </c>
      <c r="AN215" s="336">
        <f>AN214*2</f>
        <v>1124.9013599999998</v>
      </c>
      <c r="AO215" s="336"/>
      <c r="AP215" s="336"/>
      <c r="AQ215" s="2" t="s">
        <v>22</v>
      </c>
      <c r="AR215" s="2"/>
      <c r="AT215" s="2"/>
      <c r="AV215" s="121"/>
      <c r="AW215" s="100"/>
    </row>
    <row r="216" spans="1:49" s="7" customFormat="1" ht="13.5" customHeight="1">
      <c r="A216" s="113"/>
      <c r="B216" s="98"/>
      <c r="D216" s="2"/>
      <c r="E216" s="2"/>
      <c r="F216" s="2"/>
      <c r="G216" s="2"/>
      <c r="H216" s="2"/>
      <c r="I216" s="2"/>
      <c r="J216" s="2"/>
      <c r="K216" s="2"/>
      <c r="L216" s="2"/>
      <c r="M216" s="2"/>
      <c r="N216" s="2"/>
      <c r="O216" s="332">
        <f>(I210-Y215)*2</f>
        <v>14.96</v>
      </c>
      <c r="P216" s="332"/>
      <c r="Q216" s="332"/>
      <c r="R216" s="2"/>
      <c r="S216" s="2"/>
      <c r="W216" s="2"/>
      <c r="X216" s="2"/>
      <c r="Y216" s="30"/>
      <c r="Z216" s="30"/>
      <c r="AA216" s="30"/>
      <c r="AB216" s="2"/>
      <c r="AC216" s="2"/>
      <c r="AD216" s="2"/>
      <c r="AE216" s="2"/>
      <c r="AG216" s="2"/>
      <c r="AI216" s="2"/>
      <c r="AJ216" s="2"/>
      <c r="AK216" s="2"/>
      <c r="AL216" s="2"/>
      <c r="AM216" s="2"/>
      <c r="AN216" s="30"/>
      <c r="AO216" s="30"/>
      <c r="AP216" s="30"/>
      <c r="AQ216" s="2"/>
      <c r="AR216" s="2"/>
      <c r="AT216" s="2"/>
      <c r="AV216" s="121"/>
      <c r="AW216" s="100"/>
    </row>
    <row r="217" spans="1:49" s="7" customFormat="1" ht="13.5" customHeight="1">
      <c r="A217" s="113"/>
      <c r="B217" s="98"/>
      <c r="D217" s="2"/>
      <c r="E217" s="2"/>
      <c r="F217" s="2"/>
      <c r="G217" s="2"/>
      <c r="H217" s="2"/>
      <c r="I217" s="2"/>
      <c r="J217" s="2"/>
      <c r="K217" s="2"/>
      <c r="L217" s="2"/>
      <c r="M217" s="2"/>
      <c r="N217" s="2"/>
      <c r="R217" s="2"/>
      <c r="S217" s="2"/>
      <c r="AB217" s="2"/>
      <c r="AC217" s="2"/>
      <c r="AD217" s="2"/>
      <c r="AE217" s="2"/>
      <c r="AF217" s="2"/>
      <c r="AG217" s="2"/>
      <c r="AH217" s="2"/>
      <c r="AI217" s="2"/>
      <c r="AJ217" s="2"/>
      <c r="AK217" s="2"/>
      <c r="AL217" s="2"/>
      <c r="AM217" s="2"/>
      <c r="AN217" s="2"/>
      <c r="AO217" s="2"/>
      <c r="AP217" s="2"/>
      <c r="AQ217" s="120"/>
      <c r="AR217" s="2"/>
      <c r="AV217" s="121"/>
      <c r="AW217" s="100"/>
    </row>
    <row r="218" spans="1:49">
      <c r="A218" s="109"/>
      <c r="B218" s="96"/>
      <c r="C218" s="2"/>
      <c r="D218" s="332" t="s">
        <v>91</v>
      </c>
      <c r="E218" s="332"/>
      <c r="F218" s="332"/>
      <c r="G218" s="332"/>
      <c r="H218" s="332"/>
      <c r="I218" s="332"/>
      <c r="J218" s="332"/>
      <c r="K218" s="332"/>
      <c r="L218" s="332"/>
      <c r="M218" s="332"/>
      <c r="N218" s="332"/>
      <c r="O218" s="332"/>
      <c r="P218" s="332"/>
      <c r="Q218" s="33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120"/>
      <c r="AR218" s="2"/>
      <c r="AS218" s="2"/>
      <c r="AT218" s="2"/>
      <c r="AU218" s="2"/>
      <c r="AV218" s="91"/>
      <c r="AW218" s="137"/>
    </row>
    <row r="219" spans="1:49">
      <c r="A219" s="109"/>
      <c r="B219" s="96"/>
      <c r="C219" s="2"/>
      <c r="D219" s="2"/>
      <c r="E219" s="2"/>
      <c r="F219" s="2"/>
      <c r="G219" s="2"/>
      <c r="H219" s="2"/>
      <c r="I219" s="2"/>
      <c r="J219" s="2"/>
      <c r="K219" s="2"/>
      <c r="L219" s="2"/>
      <c r="M219" s="2"/>
      <c r="N219" s="2" t="s">
        <v>84</v>
      </c>
      <c r="O219" s="2"/>
      <c r="P219" s="2"/>
      <c r="Q219" s="2"/>
      <c r="R219" s="2"/>
      <c r="S219" s="7"/>
      <c r="T219" s="7"/>
      <c r="U219" s="7"/>
      <c r="V219" s="2" t="s">
        <v>4</v>
      </c>
      <c r="W219" s="7"/>
      <c r="X219" s="336">
        <v>0</v>
      </c>
      <c r="Y219" s="336"/>
      <c r="Z219" s="336"/>
      <c r="AA219" s="2" t="s">
        <v>85</v>
      </c>
      <c r="AB219" s="331">
        <f>AB151</f>
        <v>10</v>
      </c>
      <c r="AC219" s="331"/>
      <c r="AD219" s="331"/>
      <c r="AE219" s="2" t="s">
        <v>4</v>
      </c>
      <c r="AF219" s="331">
        <f>AB219-X219</f>
        <v>10</v>
      </c>
      <c r="AG219" s="331"/>
      <c r="AH219" s="331"/>
      <c r="AI219" s="2" t="s">
        <v>6</v>
      </c>
      <c r="AJ219" s="2"/>
      <c r="AK219" s="2"/>
      <c r="AL219" s="2"/>
      <c r="AM219" s="2"/>
      <c r="AN219" s="2"/>
      <c r="AO219" s="2"/>
      <c r="AP219" s="2"/>
      <c r="AQ219" s="120"/>
      <c r="AR219" s="2"/>
      <c r="AS219" s="2"/>
      <c r="AT219" s="2"/>
      <c r="AU219" s="2"/>
      <c r="AV219" s="91"/>
      <c r="AW219" s="137"/>
    </row>
    <row r="220" spans="1:49" s="7" customFormat="1" ht="13.5" customHeight="1">
      <c r="A220" s="113"/>
      <c r="B220" s="98"/>
      <c r="D220" s="2"/>
      <c r="E220" s="2"/>
      <c r="F220" s="2"/>
      <c r="G220" s="2"/>
      <c r="H220" s="2" t="s">
        <v>83</v>
      </c>
      <c r="I220" s="331">
        <f>16.5-0.2</f>
        <v>16.3</v>
      </c>
      <c r="J220" s="331"/>
      <c r="K220" s="331"/>
      <c r="L220" s="2"/>
      <c r="M220" s="2"/>
      <c r="N220" s="2"/>
      <c r="O220" s="2"/>
      <c r="P220" s="2"/>
      <c r="Q220" s="2"/>
      <c r="R220" s="2"/>
      <c r="V220" s="2"/>
      <c r="Y220" s="336"/>
      <c r="Z220" s="336"/>
      <c r="AA220" s="2"/>
      <c r="AB220" s="331"/>
      <c r="AC220" s="331"/>
      <c r="AD220" s="331"/>
      <c r="AE220" s="2"/>
      <c r="AF220" s="331"/>
      <c r="AG220" s="331"/>
      <c r="AH220" s="331"/>
      <c r="AI220" s="2"/>
      <c r="AJ220" s="2"/>
      <c r="AK220" s="2"/>
      <c r="AL220" s="2"/>
      <c r="AM220" s="2"/>
      <c r="AN220" s="2"/>
      <c r="AO220" s="2"/>
      <c r="AP220" s="2"/>
      <c r="AQ220" s="146"/>
      <c r="AR220" s="2"/>
      <c r="AV220" s="121"/>
      <c r="AW220" s="100"/>
    </row>
    <row r="221" spans="1:49" s="7" customFormat="1" ht="13.5" customHeight="1">
      <c r="A221" s="113"/>
      <c r="B221" s="98"/>
      <c r="D221" s="2"/>
      <c r="E221" s="2"/>
      <c r="F221" s="2"/>
      <c r="G221" s="2"/>
      <c r="H221" s="2"/>
      <c r="I221" s="2"/>
      <c r="J221" s="2"/>
      <c r="K221" s="2"/>
      <c r="L221" s="2"/>
      <c r="M221" s="2"/>
      <c r="N221" s="2"/>
      <c r="O221" s="2"/>
      <c r="P221" s="2"/>
      <c r="Q221" s="2"/>
      <c r="R221" s="2"/>
      <c r="S221" s="2"/>
      <c r="Y221" s="2" t="s">
        <v>86</v>
      </c>
      <c r="Z221" s="2"/>
      <c r="AA221" s="2"/>
      <c r="AB221" s="2"/>
      <c r="AC221" s="2"/>
      <c r="AD221" s="2" t="s">
        <v>4</v>
      </c>
      <c r="AE221" s="332">
        <f>ROUND(SQRT(((I224*I224)+(O226*O226))),2)</f>
        <v>11.96</v>
      </c>
      <c r="AF221" s="332"/>
      <c r="AG221" s="332"/>
      <c r="AH221" s="2"/>
      <c r="AI221" s="2" t="s">
        <v>6</v>
      </c>
      <c r="AJ221" s="2"/>
      <c r="AK221" s="2"/>
      <c r="AL221" s="2"/>
      <c r="AM221" s="2"/>
      <c r="AN221" s="2"/>
      <c r="AO221" s="2"/>
      <c r="AP221" s="2"/>
      <c r="AQ221" s="146"/>
      <c r="AR221" s="2"/>
      <c r="AV221" s="121"/>
      <c r="AW221" s="100"/>
    </row>
    <row r="222" spans="1:49" s="7" customFormat="1" ht="13.5" customHeight="1">
      <c r="A222" s="113"/>
      <c r="B222" s="98"/>
      <c r="D222" s="2"/>
      <c r="E222" s="2"/>
      <c r="F222" s="2"/>
      <c r="G222" s="2"/>
      <c r="H222" s="2"/>
      <c r="J222" s="2"/>
      <c r="K222" s="2"/>
      <c r="L222" s="2"/>
      <c r="M222" s="2"/>
      <c r="N222" s="2"/>
      <c r="O222" s="2"/>
      <c r="P222" s="2"/>
      <c r="Q222" s="2"/>
      <c r="R222" s="2"/>
      <c r="S222" s="2"/>
      <c r="Y222" s="2" t="s">
        <v>87</v>
      </c>
      <c r="Z222" s="2"/>
      <c r="AA222" s="2"/>
      <c r="AB222" s="2"/>
      <c r="AC222" s="2"/>
      <c r="AD222" s="2" t="s">
        <v>4</v>
      </c>
      <c r="AE222" s="332">
        <f>AE221+1+0.1+0.2+2.4+0.2</f>
        <v>15.86</v>
      </c>
      <c r="AF222" s="332"/>
      <c r="AG222" s="332"/>
      <c r="AH222" s="2"/>
      <c r="AI222" s="2" t="s">
        <v>6</v>
      </c>
      <c r="AJ222" s="2"/>
      <c r="AK222" s="2"/>
      <c r="AL222" s="2"/>
      <c r="AM222" s="2"/>
      <c r="AN222" s="2"/>
      <c r="AO222" s="2"/>
      <c r="AP222" s="2"/>
      <c r="AQ222" s="146"/>
      <c r="AR222" s="2"/>
      <c r="AV222" s="121"/>
      <c r="AW222" s="100"/>
    </row>
    <row r="223" spans="1:49" s="7" customFormat="1" ht="13.5" customHeight="1">
      <c r="A223" s="113"/>
      <c r="B223" s="98"/>
      <c r="D223" s="2"/>
      <c r="E223" s="2"/>
      <c r="F223" s="2"/>
      <c r="G223" s="2"/>
      <c r="H223" s="2"/>
      <c r="I223" s="2"/>
      <c r="J223" s="2"/>
      <c r="K223" s="2"/>
      <c r="L223" s="2"/>
      <c r="M223" s="2"/>
      <c r="N223" s="2"/>
      <c r="O223" s="2"/>
      <c r="R223" s="2"/>
      <c r="S223" s="2"/>
      <c r="Y223" s="2"/>
      <c r="Z223" s="2"/>
      <c r="AA223" s="2"/>
      <c r="AB223" s="2"/>
      <c r="AC223" s="2"/>
      <c r="AD223" s="2"/>
      <c r="AE223" s="2"/>
      <c r="AF223" s="2"/>
      <c r="AG223" s="2"/>
      <c r="AH223" s="2"/>
      <c r="AI223" s="2"/>
      <c r="AJ223" s="2"/>
      <c r="AK223" s="2"/>
      <c r="AL223" s="2"/>
      <c r="AM223" s="2"/>
      <c r="AN223" s="2"/>
      <c r="AO223" s="2"/>
      <c r="AP223" s="2"/>
      <c r="AQ223" s="146"/>
      <c r="AR223" s="2"/>
      <c r="AV223" s="121"/>
      <c r="AW223" s="100"/>
    </row>
    <row r="224" spans="1:49" s="7" customFormat="1" ht="13.5" customHeight="1">
      <c r="A224" s="113"/>
      <c r="B224" s="98"/>
      <c r="D224" s="2"/>
      <c r="E224" s="2"/>
      <c r="F224" s="2"/>
      <c r="G224" s="2"/>
      <c r="H224" s="2"/>
      <c r="I224" s="336">
        <f>I220-Y226</f>
        <v>5.3500000000000014</v>
      </c>
      <c r="J224" s="336"/>
      <c r="L224" s="2"/>
      <c r="M224" s="2"/>
      <c r="N224" s="2"/>
      <c r="O224" s="2"/>
      <c r="P224" s="2"/>
      <c r="Q224" s="2"/>
      <c r="R224" s="2"/>
      <c r="S224" s="2"/>
      <c r="AH224" s="2" t="s">
        <v>88</v>
      </c>
      <c r="AI224" s="2"/>
      <c r="AJ224" s="2"/>
      <c r="AK224" s="2"/>
      <c r="AL224" s="2"/>
      <c r="AM224" s="2" t="s">
        <v>4</v>
      </c>
      <c r="AN224" s="332">
        <f>AF219*AE222</f>
        <v>158.6</v>
      </c>
      <c r="AO224" s="332"/>
      <c r="AP224" s="332"/>
      <c r="AQ224" s="146" t="s">
        <v>22</v>
      </c>
      <c r="AR224" s="2"/>
      <c r="AT224" s="2"/>
      <c r="AV224" s="121"/>
      <c r="AW224" s="100"/>
    </row>
    <row r="225" spans="1:49" s="7" customFormat="1" ht="13.5" customHeight="1">
      <c r="A225" s="113"/>
      <c r="B225" s="98"/>
      <c r="D225" s="2"/>
      <c r="E225" s="2"/>
      <c r="F225" s="2"/>
      <c r="G225" s="2"/>
      <c r="H225" s="2"/>
      <c r="I225" s="2"/>
      <c r="J225" s="2"/>
      <c r="K225" s="2"/>
      <c r="L225" s="2"/>
      <c r="M225" s="2"/>
      <c r="N225" s="2"/>
      <c r="O225" s="2"/>
      <c r="P225" s="2"/>
      <c r="Q225" s="2"/>
      <c r="R225" s="2"/>
      <c r="S225" s="2"/>
      <c r="Y225" s="2"/>
      <c r="Z225" s="2"/>
      <c r="AA225" s="2"/>
      <c r="AB225" s="2"/>
      <c r="AC225" s="2"/>
      <c r="AD225" s="2"/>
      <c r="AE225" s="2"/>
      <c r="AG225" s="2"/>
      <c r="AI225" s="2"/>
      <c r="AJ225" s="2"/>
      <c r="AK225" s="2"/>
      <c r="AL225" s="2"/>
      <c r="AM225" s="2"/>
      <c r="AN225" s="332"/>
      <c r="AO225" s="332"/>
      <c r="AP225" s="332"/>
      <c r="AQ225" s="146"/>
      <c r="AR225" s="2"/>
      <c r="AS225" s="2"/>
      <c r="AT225" s="2"/>
      <c r="AV225" s="121"/>
      <c r="AW225" s="100"/>
    </row>
    <row r="226" spans="1:49" s="7" customFormat="1" ht="13.5" customHeight="1">
      <c r="A226" s="113"/>
      <c r="B226" s="98"/>
      <c r="D226" s="2"/>
      <c r="E226" s="2"/>
      <c r="F226" s="2"/>
      <c r="G226" s="2"/>
      <c r="H226" s="2"/>
      <c r="I226" s="2"/>
      <c r="J226" s="2"/>
      <c r="K226" s="2"/>
      <c r="L226" s="2"/>
      <c r="M226" s="2"/>
      <c r="N226" s="2"/>
      <c r="O226" s="332">
        <f>(I220-Y226)*2</f>
        <v>10.700000000000003</v>
      </c>
      <c r="P226" s="332"/>
      <c r="Q226" s="332"/>
      <c r="R226" s="2"/>
      <c r="S226" s="2"/>
      <c r="W226" s="332" t="s">
        <v>83</v>
      </c>
      <c r="X226" s="332"/>
      <c r="Y226" s="331">
        <f>10.95</f>
        <v>10.95</v>
      </c>
      <c r="Z226" s="331"/>
      <c r="AA226" s="331"/>
      <c r="AB226" s="2"/>
      <c r="AC226" s="2"/>
      <c r="AD226" s="2"/>
      <c r="AE226" s="2"/>
      <c r="AF226" s="2"/>
      <c r="AG226" s="2"/>
      <c r="AH226" s="2"/>
      <c r="AI226" s="2"/>
      <c r="AJ226" s="2"/>
      <c r="AK226" s="2"/>
      <c r="AL226" s="2"/>
      <c r="AM226" s="2"/>
      <c r="AN226" s="2"/>
      <c r="AO226" s="2"/>
      <c r="AP226" s="2"/>
      <c r="AQ226" s="146"/>
      <c r="AR226" s="2"/>
      <c r="AV226" s="121"/>
      <c r="AW226" s="100"/>
    </row>
    <row r="227" spans="1:49">
      <c r="A227" s="96"/>
      <c r="B227" s="96"/>
      <c r="C227" s="2"/>
      <c r="D227" s="2"/>
      <c r="E227" s="2"/>
      <c r="F227" s="2"/>
      <c r="G227" s="2"/>
      <c r="H227" s="2"/>
      <c r="I227" s="2"/>
      <c r="J227" s="2"/>
      <c r="K227" s="2"/>
      <c r="L227" s="2"/>
      <c r="M227" s="2"/>
      <c r="N227" s="2"/>
      <c r="O227" s="1"/>
      <c r="P227" s="1"/>
      <c r="Q227" s="1"/>
      <c r="R227" s="2"/>
      <c r="S227" s="2"/>
      <c r="T227" s="2"/>
      <c r="U227" s="2"/>
      <c r="V227" s="2"/>
      <c r="W227" s="2"/>
      <c r="X227" s="2"/>
      <c r="Y227" s="2"/>
      <c r="Z227" s="2"/>
      <c r="AA227" s="2"/>
      <c r="AB227" s="1"/>
      <c r="AC227" s="1"/>
      <c r="AD227" s="1"/>
      <c r="AE227" s="2" t="s">
        <v>92</v>
      </c>
      <c r="AF227" s="7"/>
      <c r="AG227" s="2"/>
      <c r="AH227" s="7"/>
      <c r="AI227" s="2"/>
      <c r="AJ227" s="2"/>
      <c r="AK227" s="2"/>
      <c r="AL227" s="2"/>
      <c r="AM227" s="2" t="s">
        <v>4</v>
      </c>
      <c r="AN227" s="336">
        <f>AN224+AN215+AN206</f>
        <v>1558.5413599999997</v>
      </c>
      <c r="AO227" s="336"/>
      <c r="AP227" s="336"/>
      <c r="AQ227" s="146" t="s">
        <v>22</v>
      </c>
      <c r="AR227" s="2"/>
      <c r="AT227" s="2"/>
      <c r="AU227" s="2"/>
      <c r="AV227" s="91"/>
      <c r="AW227" s="137"/>
    </row>
    <row r="228" spans="1:49" ht="12.75" customHeight="1" thickBot="1">
      <c r="A228" s="96"/>
      <c r="B228" s="96"/>
      <c r="C228" s="2"/>
      <c r="D228" s="2"/>
      <c r="E228" s="2"/>
      <c r="F228" s="2"/>
      <c r="G228" s="2"/>
      <c r="H228" s="2"/>
      <c r="I228" s="2"/>
      <c r="J228" s="2"/>
      <c r="K228" s="2"/>
      <c r="L228" s="2"/>
      <c r="M228" s="2"/>
      <c r="N228" s="2"/>
      <c r="O228" s="2"/>
      <c r="P228" s="1"/>
      <c r="Q228" s="1"/>
      <c r="R228" s="2"/>
      <c r="S228" s="2"/>
      <c r="T228" s="2"/>
      <c r="U228" s="2"/>
      <c r="V228" s="2"/>
      <c r="W228" s="2"/>
      <c r="X228" s="2"/>
      <c r="Y228" s="2"/>
      <c r="Z228" s="2"/>
      <c r="AA228" s="2"/>
      <c r="AB228" s="2"/>
      <c r="AC228" s="2"/>
      <c r="AD228" s="2"/>
      <c r="AE228" s="2"/>
      <c r="AF228" s="2"/>
      <c r="AG228" s="2"/>
      <c r="AH228" s="2"/>
      <c r="AI228" s="2"/>
      <c r="AJ228" s="2"/>
      <c r="AK228" s="2"/>
      <c r="AL228" s="2"/>
      <c r="AM228" s="10"/>
      <c r="AN228" s="10"/>
      <c r="AO228" s="33"/>
      <c r="AP228" s="367" t="s">
        <v>181</v>
      </c>
      <c r="AQ228" s="367"/>
      <c r="AR228" s="367"/>
      <c r="AS228" s="367"/>
      <c r="AT228" s="367"/>
      <c r="AU228" s="10" t="s">
        <v>4</v>
      </c>
      <c r="AV228" s="279">
        <f>AN227</f>
        <v>1558.5413599999997</v>
      </c>
      <c r="AW228" s="156" t="s">
        <v>22</v>
      </c>
    </row>
    <row r="229" spans="1:49" ht="24.75" customHeight="1">
      <c r="A229" s="280">
        <v>18</v>
      </c>
      <c r="B229" s="281" t="s">
        <v>280</v>
      </c>
      <c r="C229" s="365" t="s">
        <v>281</v>
      </c>
      <c r="D229" s="366"/>
      <c r="E229" s="366"/>
      <c r="F229" s="366"/>
      <c r="G229" s="366"/>
      <c r="H229" s="366"/>
      <c r="I229" s="366"/>
      <c r="J229" s="366"/>
      <c r="K229" s="366"/>
      <c r="L229" s="366"/>
      <c r="M229" s="366"/>
      <c r="N229" s="366"/>
      <c r="O229" s="366"/>
      <c r="P229" s="366"/>
      <c r="Q229" s="366"/>
      <c r="R229" s="366"/>
      <c r="S229" s="366"/>
      <c r="T229" s="366"/>
      <c r="U229" s="366"/>
      <c r="V229" s="366"/>
      <c r="W229" s="366"/>
      <c r="X229" s="366"/>
      <c r="Y229" s="366"/>
      <c r="Z229" s="366"/>
      <c r="AA229" s="366"/>
      <c r="AB229" s="366"/>
      <c r="AC229" s="366"/>
      <c r="AD229" s="366"/>
      <c r="AE229" s="366"/>
      <c r="AF229" s="366"/>
      <c r="AG229" s="366"/>
      <c r="AH229" s="366"/>
      <c r="AI229" s="366"/>
      <c r="AJ229" s="366"/>
      <c r="AK229" s="366"/>
      <c r="AL229" s="366"/>
      <c r="AM229" s="366"/>
      <c r="AN229" s="366"/>
      <c r="AO229" s="366"/>
      <c r="AP229" s="366"/>
      <c r="AQ229" s="366"/>
      <c r="AR229" s="366"/>
      <c r="AS229" s="366"/>
      <c r="AT229" s="366"/>
      <c r="AU229" s="282"/>
      <c r="AV229" s="283"/>
      <c r="AW229" s="284"/>
    </row>
    <row r="230" spans="1:49" ht="14.25" customHeight="1">
      <c r="A230" s="285"/>
      <c r="B230" s="98" t="s">
        <v>282</v>
      </c>
      <c r="C230" s="344" t="s">
        <v>283</v>
      </c>
      <c r="D230" s="345"/>
      <c r="E230" s="345"/>
      <c r="F230" s="345"/>
      <c r="G230" s="345"/>
      <c r="H230" s="345"/>
      <c r="I230" s="345"/>
      <c r="J230" s="345"/>
      <c r="K230" s="345"/>
      <c r="L230" s="345"/>
      <c r="M230" s="345"/>
      <c r="N230" s="345"/>
      <c r="O230" s="274"/>
      <c r="P230" s="274"/>
      <c r="Q230" s="274"/>
      <c r="R230" s="274"/>
      <c r="S230" s="274"/>
      <c r="T230" s="274"/>
      <c r="U230" s="274"/>
      <c r="V230" s="274"/>
      <c r="W230" s="274"/>
      <c r="X230" s="274"/>
      <c r="Y230" s="274"/>
      <c r="Z230" s="274"/>
      <c r="AA230" s="274"/>
      <c r="AB230" s="274"/>
      <c r="AC230" s="274"/>
      <c r="AD230" s="274"/>
      <c r="AE230" s="274"/>
      <c r="AF230" s="274"/>
      <c r="AG230" s="274"/>
      <c r="AH230" s="274"/>
      <c r="AI230" s="274"/>
      <c r="AJ230" s="274"/>
      <c r="AK230" s="274"/>
      <c r="AL230" s="274"/>
      <c r="AM230" s="274"/>
      <c r="AN230" s="274"/>
      <c r="AO230" s="274"/>
      <c r="AP230" s="274"/>
      <c r="AQ230" s="274"/>
      <c r="AR230" s="274"/>
      <c r="AS230" s="274"/>
      <c r="AT230" s="274"/>
      <c r="AU230" s="2"/>
      <c r="AV230" s="91"/>
      <c r="AW230" s="286"/>
    </row>
    <row r="231" spans="1:49">
      <c r="A231" s="285"/>
      <c r="B231" s="96"/>
      <c r="C231" s="2"/>
      <c r="D231" s="332" t="s">
        <v>279</v>
      </c>
      <c r="E231" s="332"/>
      <c r="F231" s="332"/>
      <c r="G231" s="332"/>
      <c r="H231" s="332"/>
      <c r="I231" s="332"/>
      <c r="J231" s="332"/>
      <c r="K231" s="332"/>
      <c r="L231" s="332"/>
      <c r="M231" s="332"/>
      <c r="N231" s="332"/>
      <c r="O231" s="332"/>
      <c r="P231" s="332"/>
      <c r="Q231" s="332"/>
      <c r="R231" s="332"/>
      <c r="S231" s="332"/>
      <c r="T231" s="332"/>
      <c r="U231" s="2"/>
      <c r="V231" s="2"/>
      <c r="W231" s="2"/>
      <c r="X231" s="2"/>
      <c r="Y231" s="363">
        <f>AV124</f>
        <v>4125</v>
      </c>
      <c r="Z231" s="363"/>
      <c r="AA231" s="363"/>
      <c r="AB231" s="91" t="s">
        <v>34</v>
      </c>
      <c r="AC231" s="341">
        <v>0.4</v>
      </c>
      <c r="AD231" s="341"/>
      <c r="AE231" s="341"/>
      <c r="AF231" s="91" t="s">
        <v>34</v>
      </c>
      <c r="AG231" s="341">
        <v>0.4</v>
      </c>
      <c r="AH231" s="341"/>
      <c r="AI231" s="341"/>
      <c r="AJ231" s="91" t="s">
        <v>34</v>
      </c>
      <c r="AK231" s="341">
        <v>0.4</v>
      </c>
      <c r="AL231" s="341"/>
      <c r="AM231" s="341"/>
      <c r="AN231" s="91"/>
      <c r="AO231" s="91"/>
      <c r="AP231" s="91"/>
      <c r="AQ231" s="91"/>
      <c r="AR231" s="91"/>
      <c r="AS231" s="91"/>
      <c r="AT231" s="91"/>
      <c r="AU231" s="91" t="s">
        <v>4</v>
      </c>
      <c r="AV231" s="133">
        <f>Y231*AC231*AG231*AK231</f>
        <v>264</v>
      </c>
      <c r="AW231" s="286" t="s">
        <v>24</v>
      </c>
    </row>
    <row r="232" spans="1:49">
      <c r="A232" s="285"/>
      <c r="B232" s="96"/>
      <c r="C232" s="2"/>
      <c r="D232" s="332" t="s">
        <v>279</v>
      </c>
      <c r="E232" s="332"/>
      <c r="F232" s="332"/>
      <c r="G232" s="332"/>
      <c r="H232" s="332"/>
      <c r="I232" s="332"/>
      <c r="J232" s="332"/>
      <c r="K232" s="332"/>
      <c r="L232" s="332"/>
      <c r="M232" s="332"/>
      <c r="N232" s="332"/>
      <c r="O232" s="332"/>
      <c r="P232" s="332"/>
      <c r="Q232" s="332"/>
      <c r="R232" s="332"/>
      <c r="S232" s="332"/>
      <c r="T232" s="332"/>
      <c r="U232" s="2"/>
      <c r="V232" s="2"/>
      <c r="W232" s="2"/>
      <c r="X232" s="2"/>
      <c r="Y232" s="363">
        <f>AV127</f>
        <v>7334</v>
      </c>
      <c r="Z232" s="363"/>
      <c r="AA232" s="363"/>
      <c r="AB232" s="91" t="s">
        <v>34</v>
      </c>
      <c r="AC232" s="341">
        <v>0.3</v>
      </c>
      <c r="AD232" s="341"/>
      <c r="AE232" s="341"/>
      <c r="AF232" s="91" t="s">
        <v>34</v>
      </c>
      <c r="AG232" s="341">
        <v>0.3</v>
      </c>
      <c r="AH232" s="341"/>
      <c r="AI232" s="341"/>
      <c r="AJ232" s="91" t="s">
        <v>34</v>
      </c>
      <c r="AK232" s="341">
        <v>0.3</v>
      </c>
      <c r="AL232" s="341"/>
      <c r="AM232" s="341"/>
      <c r="AN232" s="91"/>
      <c r="AO232" s="91"/>
      <c r="AP232" s="91"/>
      <c r="AQ232" s="91"/>
      <c r="AR232" s="91"/>
      <c r="AS232" s="91"/>
      <c r="AT232" s="91"/>
      <c r="AU232" s="91" t="s">
        <v>4</v>
      </c>
      <c r="AV232" s="133">
        <f>Y232*AC232*AG232*AK232</f>
        <v>198.01799999999997</v>
      </c>
      <c r="AW232" s="286" t="s">
        <v>24</v>
      </c>
    </row>
    <row r="233" spans="1:49">
      <c r="A233" s="285"/>
      <c r="B233" s="96"/>
      <c r="C233" s="2"/>
      <c r="D233" s="332" t="s">
        <v>279</v>
      </c>
      <c r="E233" s="332"/>
      <c r="F233" s="332"/>
      <c r="G233" s="332"/>
      <c r="H233" s="332"/>
      <c r="I233" s="332"/>
      <c r="J233" s="332"/>
      <c r="K233" s="332"/>
      <c r="L233" s="332"/>
      <c r="M233" s="332"/>
      <c r="N233" s="332"/>
      <c r="O233" s="332"/>
      <c r="P233" s="332"/>
      <c r="Q233" s="332"/>
      <c r="R233" s="332"/>
      <c r="S233" s="332"/>
      <c r="T233" s="332"/>
      <c r="U233" s="2"/>
      <c r="V233" s="2"/>
      <c r="W233" s="2"/>
      <c r="X233" s="2"/>
      <c r="Y233" s="363">
        <f>AV161</f>
        <v>8425</v>
      </c>
      <c r="Z233" s="363"/>
      <c r="AA233" s="363"/>
      <c r="AB233" s="91" t="s">
        <v>34</v>
      </c>
      <c r="AC233" s="341">
        <v>0.4</v>
      </c>
      <c r="AD233" s="341"/>
      <c r="AE233" s="341"/>
      <c r="AF233" s="91" t="s">
        <v>34</v>
      </c>
      <c r="AG233" s="341">
        <v>0.4</v>
      </c>
      <c r="AH233" s="341"/>
      <c r="AI233" s="341"/>
      <c r="AJ233" s="91" t="s">
        <v>34</v>
      </c>
      <c r="AK233" s="341">
        <v>0.2</v>
      </c>
      <c r="AL233" s="341"/>
      <c r="AM233" s="341"/>
      <c r="AN233" s="91"/>
      <c r="AO233" s="91"/>
      <c r="AP233" s="91"/>
      <c r="AQ233" s="91"/>
      <c r="AR233" s="91"/>
      <c r="AS233" s="91"/>
      <c r="AT233" s="91"/>
      <c r="AU233" s="91" t="s">
        <v>4</v>
      </c>
      <c r="AV233" s="133">
        <f>Y233*AC233*AG233*AK233</f>
        <v>269.60000000000002</v>
      </c>
      <c r="AW233" s="286" t="s">
        <v>24</v>
      </c>
    </row>
    <row r="234" spans="1:49">
      <c r="A234" s="285"/>
      <c r="B234" s="96"/>
      <c r="C234" s="2"/>
      <c r="D234" s="2"/>
      <c r="E234" s="2"/>
      <c r="F234" s="2"/>
      <c r="G234" s="2"/>
      <c r="H234" s="2"/>
      <c r="I234" s="2"/>
      <c r="J234" s="2"/>
      <c r="K234" s="2"/>
      <c r="L234" s="2"/>
      <c r="M234" s="2"/>
      <c r="N234" s="2"/>
      <c r="O234" s="2"/>
      <c r="P234" s="2"/>
      <c r="Q234" s="2"/>
      <c r="R234" s="2"/>
      <c r="S234" s="2"/>
      <c r="T234" s="2"/>
      <c r="U234" s="2"/>
      <c r="V234" s="2"/>
      <c r="W234" s="2"/>
      <c r="X234" s="2"/>
      <c r="Y234" s="275"/>
      <c r="Z234" s="275"/>
      <c r="AA234" s="275"/>
      <c r="AB234" s="91"/>
      <c r="AC234" s="91"/>
      <c r="AD234" s="91"/>
      <c r="AE234" s="91"/>
      <c r="AF234" s="91"/>
      <c r="AG234" s="91"/>
      <c r="AH234" s="91"/>
      <c r="AI234" s="91"/>
      <c r="AJ234" s="91"/>
      <c r="AK234" s="91"/>
      <c r="AL234" s="91"/>
      <c r="AM234" s="91"/>
      <c r="AN234" s="333" t="s">
        <v>9</v>
      </c>
      <c r="AO234" s="333"/>
      <c r="AP234" s="333"/>
      <c r="AQ234" s="333"/>
      <c r="AR234" s="333"/>
      <c r="AS234" s="333"/>
      <c r="AT234" s="333"/>
      <c r="AU234" s="2" t="s">
        <v>4</v>
      </c>
      <c r="AV234" s="92">
        <f>SUM(AV231:AV233)</f>
        <v>731.61799999999994</v>
      </c>
      <c r="AW234" s="286" t="s">
        <v>24</v>
      </c>
    </row>
    <row r="235" spans="1:49" ht="12.75" customHeight="1">
      <c r="A235" s="285"/>
      <c r="B235" s="96"/>
      <c r="C235" s="2"/>
      <c r="D235" s="2"/>
      <c r="E235" s="2"/>
      <c r="F235" s="2"/>
      <c r="G235" s="2"/>
      <c r="H235" s="2"/>
      <c r="I235" s="2"/>
      <c r="J235" s="2"/>
      <c r="K235" s="2"/>
      <c r="L235" s="2"/>
      <c r="M235" s="2"/>
      <c r="N235" s="2"/>
      <c r="O235" s="2"/>
      <c r="P235" s="2"/>
      <c r="Q235" s="2"/>
      <c r="R235" s="2"/>
      <c r="S235" s="2"/>
      <c r="T235" s="2"/>
      <c r="U235" s="2"/>
      <c r="V235" s="2"/>
      <c r="W235" s="2"/>
      <c r="X235" s="2"/>
      <c r="Y235" s="275"/>
      <c r="Z235" s="275"/>
      <c r="AA235" s="275"/>
      <c r="AB235" s="91"/>
      <c r="AC235" s="2"/>
      <c r="AD235" s="91"/>
      <c r="AE235" s="91"/>
      <c r="AF235" s="91"/>
      <c r="AG235" s="91"/>
      <c r="AH235" s="2"/>
      <c r="AI235" s="2"/>
      <c r="AJ235" s="2"/>
      <c r="AK235" s="2"/>
      <c r="AL235" s="2"/>
      <c r="AM235" s="21" t="s">
        <v>284</v>
      </c>
      <c r="AN235" s="21"/>
      <c r="AO235" s="21"/>
      <c r="AP235" s="21"/>
      <c r="AQ235" s="21"/>
      <c r="AR235" s="21"/>
      <c r="AS235" s="21"/>
      <c r="AT235" s="21"/>
      <c r="AU235" s="21" t="s">
        <v>4</v>
      </c>
      <c r="AV235" s="21">
        <f>AV234*0.4</f>
        <v>292.6472</v>
      </c>
      <c r="AW235" s="287" t="s">
        <v>24</v>
      </c>
    </row>
    <row r="236" spans="1:49">
      <c r="A236" s="285"/>
      <c r="B236" s="98" t="s">
        <v>96</v>
      </c>
      <c r="C236" s="344" t="s">
        <v>285</v>
      </c>
      <c r="D236" s="345"/>
      <c r="E236" s="345"/>
      <c r="F236" s="345"/>
      <c r="G236" s="345"/>
      <c r="H236" s="345"/>
      <c r="I236" s="345"/>
      <c r="J236" s="345"/>
      <c r="K236" s="345"/>
      <c r="L236" s="345"/>
      <c r="M236" s="345"/>
      <c r="N236" s="345"/>
      <c r="O236" s="2"/>
      <c r="P236" s="2"/>
      <c r="Q236" s="2"/>
      <c r="R236" s="2"/>
      <c r="S236" s="2"/>
      <c r="T236" s="2"/>
      <c r="U236" s="2"/>
      <c r="V236" s="2"/>
      <c r="W236" s="2"/>
      <c r="X236" s="2"/>
      <c r="Y236" s="275"/>
      <c r="Z236" s="275"/>
      <c r="AA236" s="275"/>
      <c r="AB236" s="91"/>
      <c r="AC236" s="91"/>
      <c r="AD236" s="91"/>
      <c r="AE236" s="91"/>
      <c r="AF236" s="91"/>
      <c r="AG236" s="91"/>
      <c r="AH236" s="2"/>
      <c r="AI236" s="2"/>
      <c r="AJ236" s="2"/>
      <c r="AK236" s="2"/>
      <c r="AL236" s="2"/>
      <c r="AM236" s="2"/>
      <c r="AN236" s="2"/>
      <c r="AO236" s="2"/>
      <c r="AP236" s="2"/>
      <c r="AQ236" s="2"/>
      <c r="AR236" s="2"/>
      <c r="AS236" s="2"/>
      <c r="AT236" s="2"/>
      <c r="AU236" s="2"/>
      <c r="AV236" s="2"/>
      <c r="AW236" s="288"/>
    </row>
    <row r="237" spans="1:49" ht="12.75" thickBot="1">
      <c r="A237" s="289"/>
      <c r="B237" s="290"/>
      <c r="C237" s="291"/>
      <c r="D237" s="291"/>
      <c r="E237" s="291"/>
      <c r="F237" s="291"/>
      <c r="G237" s="291"/>
      <c r="H237" s="291"/>
      <c r="I237" s="291"/>
      <c r="J237" s="291"/>
      <c r="K237" s="291"/>
      <c r="L237" s="291"/>
      <c r="M237" s="291"/>
      <c r="N237" s="291"/>
      <c r="O237" s="291"/>
      <c r="P237" s="291"/>
      <c r="Q237" s="291"/>
      <c r="R237" s="291"/>
      <c r="S237" s="291"/>
      <c r="T237" s="291"/>
      <c r="U237" s="291"/>
      <c r="V237" s="291"/>
      <c r="W237" s="291"/>
      <c r="X237" s="291"/>
      <c r="Y237" s="291"/>
      <c r="Z237" s="291"/>
      <c r="AA237" s="291"/>
      <c r="AB237" s="291"/>
      <c r="AC237" s="291"/>
      <c r="AD237" s="291"/>
      <c r="AE237" s="291"/>
      <c r="AF237" s="291"/>
      <c r="AG237" s="291"/>
      <c r="AH237" s="291"/>
      <c r="AI237" s="291"/>
      <c r="AJ237" s="291"/>
      <c r="AK237" s="291"/>
      <c r="AL237" s="291"/>
      <c r="AM237" s="292" t="s">
        <v>286</v>
      </c>
      <c r="AN237" s="292"/>
      <c r="AO237" s="292"/>
      <c r="AP237" s="292"/>
      <c r="AQ237" s="292"/>
      <c r="AR237" s="292"/>
      <c r="AS237" s="292"/>
      <c r="AT237" s="292"/>
      <c r="AU237" s="292" t="s">
        <v>4</v>
      </c>
      <c r="AV237" s="292">
        <f>AV234*0.6</f>
        <v>438.97079999999994</v>
      </c>
      <c r="AW237" s="293" t="s">
        <v>24</v>
      </c>
    </row>
    <row r="238" spans="1:49" ht="39.75" customHeight="1">
      <c r="A238" s="109">
        <v>19</v>
      </c>
      <c r="B238" s="98" t="s">
        <v>143</v>
      </c>
      <c r="C238" s="349" t="s">
        <v>42</v>
      </c>
      <c r="D238" s="349"/>
      <c r="E238" s="349"/>
      <c r="F238" s="349"/>
      <c r="G238" s="349"/>
      <c r="H238" s="349"/>
      <c r="I238" s="349"/>
      <c r="J238" s="349"/>
      <c r="K238" s="349"/>
      <c r="L238" s="349"/>
      <c r="M238" s="349"/>
      <c r="N238" s="349"/>
      <c r="O238" s="349"/>
      <c r="P238" s="349"/>
      <c r="Q238" s="349"/>
      <c r="R238" s="349"/>
      <c r="S238" s="349"/>
      <c r="T238" s="349"/>
      <c r="U238" s="349"/>
      <c r="V238" s="349"/>
      <c r="W238" s="349"/>
      <c r="X238" s="349"/>
      <c r="Y238" s="349"/>
      <c r="Z238" s="349"/>
      <c r="AA238" s="349"/>
      <c r="AB238" s="349"/>
      <c r="AC238" s="349"/>
      <c r="AD238" s="349"/>
      <c r="AE238" s="349"/>
      <c r="AF238" s="349"/>
      <c r="AG238" s="349"/>
      <c r="AH238" s="349"/>
      <c r="AI238" s="349"/>
      <c r="AJ238" s="349"/>
      <c r="AK238" s="349"/>
      <c r="AL238" s="349"/>
      <c r="AM238" s="349"/>
      <c r="AN238" s="349"/>
      <c r="AO238" s="349"/>
      <c r="AP238" s="349"/>
      <c r="AQ238" s="349"/>
      <c r="AR238" s="349"/>
      <c r="AS238" s="349"/>
      <c r="AT238" s="349"/>
      <c r="AU238" s="349"/>
      <c r="AV238" s="91"/>
      <c r="AW238" s="137"/>
    </row>
    <row r="239" spans="1:49">
      <c r="A239" s="109"/>
      <c r="B239" s="96"/>
      <c r="C239" s="2"/>
      <c r="D239" s="2"/>
      <c r="E239" s="2"/>
      <c r="F239" s="2"/>
      <c r="G239" s="2"/>
      <c r="H239" s="2"/>
      <c r="I239" s="2"/>
      <c r="J239" s="2"/>
      <c r="K239" s="2"/>
      <c r="L239" s="2"/>
      <c r="M239" s="2"/>
      <c r="N239" s="2"/>
      <c r="O239" s="2"/>
      <c r="P239" s="2"/>
      <c r="Q239" s="2"/>
      <c r="R239" s="2"/>
      <c r="S239" s="2"/>
      <c r="T239" s="2"/>
      <c r="U239" s="86"/>
      <c r="V239" s="86"/>
      <c r="W239" s="2"/>
      <c r="X239" s="1"/>
      <c r="Y239" s="1"/>
      <c r="Z239" s="1"/>
      <c r="AA239" s="1"/>
      <c r="AB239" s="2"/>
      <c r="AC239" s="2"/>
      <c r="AD239" s="2"/>
      <c r="AE239" s="2"/>
      <c r="AF239" s="2"/>
      <c r="AG239" s="2"/>
      <c r="AH239" s="2"/>
      <c r="AI239" s="2"/>
      <c r="AJ239" s="2"/>
      <c r="AK239" s="2"/>
      <c r="AL239" s="2"/>
      <c r="AM239" s="2"/>
      <c r="AN239" s="2"/>
      <c r="AO239" s="2"/>
      <c r="AP239" s="2"/>
      <c r="AQ239" s="120"/>
      <c r="AR239" s="2"/>
      <c r="AS239" s="2"/>
      <c r="AT239" s="2"/>
      <c r="AU239" s="2"/>
      <c r="AV239" s="92"/>
      <c r="AW239" s="137"/>
    </row>
    <row r="240" spans="1:49">
      <c r="A240" s="109"/>
      <c r="B240" s="96"/>
      <c r="C240" s="2"/>
      <c r="D240" s="2"/>
      <c r="E240" s="332" t="s">
        <v>95</v>
      </c>
      <c r="F240" s="332"/>
      <c r="G240" s="332"/>
      <c r="H240" s="332"/>
      <c r="I240" s="332"/>
      <c r="J240" s="332"/>
      <c r="K240" s="332"/>
      <c r="L240" s="332"/>
      <c r="M240" s="332"/>
      <c r="N240" s="332"/>
      <c r="O240" s="332"/>
      <c r="P240" s="332"/>
      <c r="Q240" s="332"/>
      <c r="R240" s="2"/>
      <c r="S240" s="91"/>
      <c r="T240" s="91" t="s">
        <v>4</v>
      </c>
      <c r="U240" s="352">
        <v>0.5</v>
      </c>
      <c r="V240" s="352"/>
      <c r="W240" s="91" t="s">
        <v>34</v>
      </c>
      <c r="X240" s="339">
        <f>AI132*2+AE151</f>
        <v>85.111999999999995</v>
      </c>
      <c r="Y240" s="339"/>
      <c r="Z240" s="339"/>
      <c r="AA240" s="339"/>
      <c r="AB240" s="91" t="s">
        <v>6</v>
      </c>
      <c r="AC240" s="91" t="s">
        <v>34</v>
      </c>
      <c r="AD240" s="343">
        <v>0.4</v>
      </c>
      <c r="AE240" s="343"/>
      <c r="AF240" s="343"/>
      <c r="AG240" s="91" t="s">
        <v>6</v>
      </c>
      <c r="AH240" s="91" t="s">
        <v>34</v>
      </c>
      <c r="AI240" s="343">
        <v>0.2</v>
      </c>
      <c r="AJ240" s="343"/>
      <c r="AK240" s="343"/>
      <c r="AL240" s="91" t="s">
        <v>6</v>
      </c>
      <c r="AM240" s="91"/>
      <c r="AN240" s="91"/>
      <c r="AO240" s="91"/>
      <c r="AP240" s="91"/>
      <c r="AQ240" s="91"/>
      <c r="AR240" s="91"/>
      <c r="AS240" s="2"/>
      <c r="AT240" s="2"/>
      <c r="AU240" s="2" t="s">
        <v>4</v>
      </c>
      <c r="AV240" s="92">
        <f>AI240*AD240*X240*U240</f>
        <v>3.4044800000000004</v>
      </c>
      <c r="AW240" s="137" t="s">
        <v>24</v>
      </c>
    </row>
    <row r="241" spans="1:50" ht="10.5" customHeight="1">
      <c r="A241" s="115"/>
      <c r="B241" s="106"/>
      <c r="C241" s="31"/>
      <c r="D241" s="34"/>
      <c r="E241" s="2"/>
      <c r="F241" s="2"/>
      <c r="G241" s="2"/>
      <c r="H241" s="2"/>
      <c r="I241" s="2"/>
      <c r="J241" s="2"/>
      <c r="K241" s="2"/>
      <c r="L241" s="2"/>
      <c r="M241" s="2"/>
      <c r="N241" s="2"/>
      <c r="O241" s="2" t="s">
        <v>182</v>
      </c>
      <c r="P241" s="2"/>
      <c r="Q241" s="2"/>
      <c r="R241" s="2"/>
      <c r="S241" s="91">
        <v>1</v>
      </c>
      <c r="T241" s="91"/>
      <c r="U241" s="91"/>
      <c r="V241" s="91"/>
      <c r="W241" s="352">
        <v>4</v>
      </c>
      <c r="X241" s="352"/>
      <c r="Y241" s="91"/>
      <c r="Z241" s="339">
        <v>2.7</v>
      </c>
      <c r="AA241" s="339"/>
      <c r="AB241" s="91"/>
      <c r="AC241" s="343">
        <v>7.4999999999999997E-2</v>
      </c>
      <c r="AD241" s="343"/>
      <c r="AE241" s="91"/>
      <c r="AF241" s="91"/>
      <c r="AG241" s="91"/>
      <c r="AH241" s="91"/>
      <c r="AI241" s="91"/>
      <c r="AJ241" s="91"/>
      <c r="AK241" s="91"/>
      <c r="AL241" s="91"/>
      <c r="AM241" s="91"/>
      <c r="AN241" s="91"/>
      <c r="AO241" s="91"/>
      <c r="AP241" s="91"/>
      <c r="AQ241" s="91"/>
      <c r="AR241" s="91"/>
      <c r="AS241" s="2"/>
      <c r="AT241" s="2"/>
      <c r="AU241" s="2" t="s">
        <v>4</v>
      </c>
      <c r="AV241" s="91">
        <f>AC241*Z241*W241*S241</f>
        <v>0.81</v>
      </c>
      <c r="AW241" s="137" t="s">
        <v>24</v>
      </c>
      <c r="AX241" s="2"/>
    </row>
    <row r="242" spans="1:50" ht="11.25" customHeight="1">
      <c r="A242" s="115"/>
      <c r="B242" s="106"/>
      <c r="C242" s="332" t="s">
        <v>195</v>
      </c>
      <c r="D242" s="332"/>
      <c r="E242" s="332"/>
      <c r="F242" s="332"/>
      <c r="G242" s="332"/>
      <c r="H242" s="332"/>
      <c r="I242" s="332"/>
      <c r="J242" s="332"/>
      <c r="K242" s="332"/>
      <c r="L242" s="332"/>
      <c r="M242" s="332"/>
      <c r="N242" s="332"/>
      <c r="O242" s="332"/>
      <c r="P242" s="332"/>
      <c r="Q242" s="2"/>
      <c r="R242" s="2"/>
      <c r="S242" s="91">
        <v>1</v>
      </c>
      <c r="T242" s="91"/>
      <c r="U242" s="91"/>
      <c r="V242" s="91"/>
      <c r="W242" s="342">
        <v>20</v>
      </c>
      <c r="X242" s="342"/>
      <c r="Y242" s="91"/>
      <c r="Z242" s="352">
        <v>0.2</v>
      </c>
      <c r="AA242" s="352"/>
      <c r="AB242" s="339">
        <v>0.2</v>
      </c>
      <c r="AC242" s="339"/>
      <c r="AD242" s="91"/>
      <c r="AE242" s="91"/>
      <c r="AF242" s="144">
        <v>0.2</v>
      </c>
      <c r="AG242" s="91"/>
      <c r="AH242" s="91"/>
      <c r="AI242" s="91"/>
      <c r="AJ242" s="91"/>
      <c r="AK242" s="91"/>
      <c r="AL242" s="91"/>
      <c r="AM242" s="91"/>
      <c r="AN242" s="91"/>
      <c r="AO242" s="91"/>
      <c r="AP242" s="91"/>
      <c r="AQ242" s="91"/>
      <c r="AR242" s="91"/>
      <c r="AS242" s="2"/>
      <c r="AT242" s="2"/>
      <c r="AU242" s="2" t="s">
        <v>4</v>
      </c>
      <c r="AV242" s="91">
        <f>AB242*Z242*W242*S242*AF242</f>
        <v>0.16000000000000003</v>
      </c>
      <c r="AW242" s="137" t="s">
        <v>24</v>
      </c>
      <c r="AX242" s="2"/>
    </row>
    <row r="243" spans="1:50" ht="11.25" customHeight="1">
      <c r="A243" s="115"/>
      <c r="B243" s="106"/>
      <c r="C243" s="332" t="s">
        <v>196</v>
      </c>
      <c r="D243" s="332"/>
      <c r="E243" s="332"/>
      <c r="F243" s="332"/>
      <c r="G243" s="332"/>
      <c r="H243" s="332"/>
      <c r="I243" s="332"/>
      <c r="J243" s="332"/>
      <c r="K243" s="332"/>
      <c r="L243" s="332"/>
      <c r="M243" s="332"/>
      <c r="N243" s="332"/>
      <c r="O243" s="332"/>
      <c r="P243" s="332"/>
      <c r="Q243" s="2"/>
      <c r="R243" s="2"/>
      <c r="S243" s="91">
        <v>2</v>
      </c>
      <c r="T243" s="91"/>
      <c r="U243" s="91"/>
      <c r="V243" s="91"/>
      <c r="W243" s="342">
        <v>30</v>
      </c>
      <c r="X243" s="342"/>
      <c r="Y243" s="91"/>
      <c r="Z243" s="352">
        <v>0.2</v>
      </c>
      <c r="AA243" s="352"/>
      <c r="AB243" s="339">
        <v>0.2</v>
      </c>
      <c r="AC243" s="339"/>
      <c r="AD243" s="91"/>
      <c r="AE243" s="91"/>
      <c r="AF243" s="144">
        <v>0.2</v>
      </c>
      <c r="AG243" s="91"/>
      <c r="AH243" s="91"/>
      <c r="AI243" s="91"/>
      <c r="AJ243" s="91"/>
      <c r="AK243" s="91"/>
      <c r="AL243" s="91"/>
      <c r="AM243" s="91"/>
      <c r="AN243" s="91"/>
      <c r="AO243" s="91"/>
      <c r="AP243" s="91"/>
      <c r="AQ243" s="91"/>
      <c r="AR243" s="91"/>
      <c r="AS243" s="17"/>
      <c r="AT243" s="17"/>
      <c r="AU243" s="2" t="s">
        <v>4</v>
      </c>
      <c r="AV243" s="91">
        <f>AB243*Z243*W243*S243*AF243</f>
        <v>0.48000000000000009</v>
      </c>
      <c r="AW243" s="137" t="s">
        <v>24</v>
      </c>
      <c r="AX243" s="2"/>
    </row>
    <row r="244" spans="1:50">
      <c r="A244" s="109"/>
      <c r="B244" s="96"/>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1"/>
      <c r="AN244" s="334" t="s">
        <v>9</v>
      </c>
      <c r="AO244" s="334"/>
      <c r="AP244" s="334"/>
      <c r="AQ244" s="334"/>
      <c r="AR244" s="334"/>
      <c r="AS244" s="334"/>
      <c r="AT244" s="334"/>
      <c r="AU244" s="21" t="s">
        <v>4</v>
      </c>
      <c r="AV244" s="126">
        <f>SUM(AV240:AV243)</f>
        <v>4.8544800000000006</v>
      </c>
      <c r="AW244" s="155" t="s">
        <v>24</v>
      </c>
    </row>
    <row r="245" spans="1:50" s="2" customFormat="1" ht="48" customHeight="1">
      <c r="A245" s="110">
        <v>20</v>
      </c>
      <c r="B245" s="93" t="s">
        <v>120</v>
      </c>
      <c r="C245" s="360" t="s">
        <v>121</v>
      </c>
      <c r="D245" s="361"/>
      <c r="E245" s="361"/>
      <c r="F245" s="361"/>
      <c r="G245" s="361"/>
      <c r="H245" s="361"/>
      <c r="I245" s="361"/>
      <c r="J245" s="361"/>
      <c r="K245" s="361"/>
      <c r="L245" s="361"/>
      <c r="M245" s="361"/>
      <c r="N245" s="361"/>
      <c r="O245" s="361"/>
      <c r="P245" s="361"/>
      <c r="Q245" s="361"/>
      <c r="R245" s="361"/>
      <c r="S245" s="361"/>
      <c r="T245" s="361"/>
      <c r="U245" s="361"/>
      <c r="V245" s="361"/>
      <c r="W245" s="361"/>
      <c r="X245" s="361"/>
      <c r="Y245" s="361"/>
      <c r="Z245" s="361"/>
      <c r="AA245" s="361"/>
      <c r="AB245" s="361"/>
      <c r="AC245" s="361"/>
      <c r="AD245" s="361"/>
      <c r="AE245" s="361"/>
      <c r="AF245" s="361"/>
      <c r="AG245" s="361"/>
      <c r="AH245" s="361"/>
      <c r="AI245" s="361"/>
      <c r="AJ245" s="361"/>
      <c r="AK245" s="361"/>
      <c r="AL245" s="361"/>
      <c r="AM245" s="361"/>
      <c r="AN245" s="361"/>
      <c r="AO245" s="361"/>
      <c r="AP245" s="361"/>
      <c r="AQ245" s="361"/>
      <c r="AR245" s="361"/>
      <c r="AS245" s="361"/>
      <c r="AT245" s="361"/>
      <c r="AU245" s="13"/>
      <c r="AV245" s="123"/>
      <c r="AW245" s="156"/>
    </row>
    <row r="246" spans="1:50" s="2" customFormat="1" ht="12.75" customHeight="1">
      <c r="A246" s="109"/>
      <c r="B246" s="96" t="s">
        <v>122</v>
      </c>
      <c r="C246" s="20" t="s">
        <v>123</v>
      </c>
      <c r="AQ246" s="120"/>
      <c r="AV246" s="91"/>
      <c r="AW246" s="137"/>
    </row>
    <row r="247" spans="1:50" s="2" customFormat="1" ht="58.5" hidden="1" customHeight="1">
      <c r="A247" s="109"/>
      <c r="B247" s="96"/>
      <c r="C247" s="20"/>
      <c r="D247" s="7"/>
      <c r="E247" s="7"/>
      <c r="F247" s="7"/>
      <c r="G247" s="7"/>
      <c r="H247" s="7"/>
      <c r="I247" s="7"/>
      <c r="K247" s="7"/>
      <c r="L247" s="7"/>
      <c r="O247" s="7"/>
      <c r="Q247" s="1"/>
      <c r="R247" s="1"/>
      <c r="S247" s="7"/>
      <c r="T247" s="1"/>
      <c r="V247" s="1">
        <f>J247*N247*Q247*T247</f>
        <v>0</v>
      </c>
      <c r="AQ247" s="120"/>
      <c r="AV247" s="91"/>
      <c r="AW247" s="137"/>
    </row>
    <row r="248" spans="1:50" s="2" customFormat="1">
      <c r="A248" s="109"/>
      <c r="B248" s="96"/>
      <c r="C248" s="368" t="s">
        <v>103</v>
      </c>
      <c r="D248" s="369"/>
      <c r="E248" s="369"/>
      <c r="F248" s="369"/>
      <c r="G248" s="369"/>
      <c r="H248" s="369"/>
      <c r="I248" s="369"/>
      <c r="J248" s="369"/>
      <c r="K248" s="369"/>
      <c r="W248" s="339">
        <f>4+0.025*2</f>
        <v>4.05</v>
      </c>
      <c r="X248" s="339"/>
      <c r="Y248" s="339"/>
      <c r="Z248" s="91" t="s">
        <v>124</v>
      </c>
      <c r="AA248" s="91">
        <v>2</v>
      </c>
      <c r="AB248" s="121" t="s">
        <v>34</v>
      </c>
      <c r="AC248" s="341">
        <v>3</v>
      </c>
      <c r="AD248" s="341"/>
      <c r="AE248" s="1"/>
      <c r="AF248" s="7"/>
      <c r="AG248" s="1"/>
      <c r="AQ248" s="120"/>
      <c r="AU248" s="2" t="s">
        <v>125</v>
      </c>
      <c r="AV248" s="92">
        <f>W248*AA248*AC248</f>
        <v>24.299999999999997</v>
      </c>
      <c r="AW248" s="137" t="s">
        <v>22</v>
      </c>
    </row>
    <row r="249" spans="1:50" s="2" customFormat="1">
      <c r="A249" s="109"/>
      <c r="B249" s="96"/>
      <c r="C249" s="20"/>
      <c r="D249" s="7"/>
      <c r="E249" s="7"/>
      <c r="F249" s="7"/>
      <c r="G249" s="7"/>
      <c r="H249" s="7"/>
      <c r="I249" s="7"/>
      <c r="J249" s="332"/>
      <c r="K249" s="332"/>
      <c r="W249" s="339">
        <f>(0.25+0.35)/2</f>
        <v>0.3</v>
      </c>
      <c r="X249" s="339"/>
      <c r="Y249" s="339"/>
      <c r="Z249" s="91" t="s">
        <v>124</v>
      </c>
      <c r="AA249" s="91">
        <v>2</v>
      </c>
      <c r="AB249" s="121" t="s">
        <v>34</v>
      </c>
      <c r="AC249" s="341">
        <v>3</v>
      </c>
      <c r="AD249" s="341"/>
      <c r="AE249" s="1"/>
      <c r="AF249" s="7"/>
      <c r="AG249" s="1"/>
      <c r="AQ249" s="120"/>
      <c r="AU249" s="2" t="s">
        <v>125</v>
      </c>
      <c r="AV249" s="92">
        <f>W249*AA249*AC249</f>
        <v>1.7999999999999998</v>
      </c>
      <c r="AW249" s="137" t="s">
        <v>22</v>
      </c>
    </row>
    <row r="250" spans="1:50">
      <c r="A250" s="109"/>
      <c r="B250" s="96"/>
      <c r="C250" s="20"/>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1"/>
      <c r="AN250" s="334" t="s">
        <v>9</v>
      </c>
      <c r="AO250" s="334"/>
      <c r="AP250" s="334"/>
      <c r="AQ250" s="334"/>
      <c r="AR250" s="334"/>
      <c r="AS250" s="334"/>
      <c r="AT250" s="334"/>
      <c r="AU250" s="21" t="s">
        <v>4</v>
      </c>
      <c r="AV250" s="126">
        <f>SUM(AV248:AV249)</f>
        <v>26.099999999999998</v>
      </c>
      <c r="AW250" s="155" t="s">
        <v>22</v>
      </c>
    </row>
    <row r="251" spans="1:50" s="2" customFormat="1" ht="12.75" customHeight="1">
      <c r="A251" s="109"/>
      <c r="B251" s="96" t="s">
        <v>126</v>
      </c>
      <c r="C251" s="371" t="s">
        <v>127</v>
      </c>
      <c r="D251" s="351"/>
      <c r="E251" s="351"/>
      <c r="F251" s="351"/>
      <c r="G251" s="351"/>
      <c r="H251" s="351"/>
      <c r="I251" s="351"/>
      <c r="J251" s="351"/>
      <c r="K251" s="351"/>
      <c r="L251" s="351"/>
      <c r="M251" s="351"/>
      <c r="N251" s="351"/>
      <c r="O251" s="351"/>
      <c r="P251" s="351"/>
      <c r="Q251" s="351"/>
      <c r="R251" s="351"/>
      <c r="S251" s="351"/>
      <c r="T251" s="351"/>
      <c r="U251" s="351"/>
      <c r="V251" s="351"/>
      <c r="W251" s="351"/>
      <c r="X251" s="351"/>
      <c r="Y251" s="351"/>
      <c r="Z251" s="351"/>
      <c r="AA251" s="351"/>
      <c r="AB251" s="351"/>
      <c r="AC251" s="351"/>
      <c r="AD251" s="351"/>
      <c r="AE251" s="351"/>
      <c r="AF251" s="351"/>
      <c r="AG251" s="351"/>
      <c r="AQ251" s="120"/>
      <c r="AV251" s="91"/>
      <c r="AW251" s="137"/>
    </row>
    <row r="252" spans="1:50" s="2" customFormat="1">
      <c r="A252" s="109"/>
      <c r="B252" s="96"/>
      <c r="C252" s="346" t="s">
        <v>128</v>
      </c>
      <c r="D252" s="332"/>
      <c r="E252" s="332"/>
      <c r="F252" s="332"/>
      <c r="G252" s="332"/>
      <c r="H252" s="332"/>
      <c r="I252" s="332"/>
      <c r="J252" s="332"/>
      <c r="K252" s="332"/>
      <c r="W252" s="343">
        <f>4+0.025*2</f>
        <v>4.05</v>
      </c>
      <c r="X252" s="343"/>
      <c r="Y252" s="343"/>
      <c r="Z252" s="91" t="s">
        <v>124</v>
      </c>
      <c r="AA252" s="91">
        <v>2</v>
      </c>
      <c r="AB252" s="121" t="s">
        <v>34</v>
      </c>
      <c r="AC252" s="341">
        <v>0.4</v>
      </c>
      <c r="AD252" s="341"/>
      <c r="AE252" s="1"/>
      <c r="AF252" s="7"/>
      <c r="AG252" s="1"/>
      <c r="AQ252" s="120"/>
      <c r="AU252" s="2" t="s">
        <v>125</v>
      </c>
      <c r="AV252" s="92">
        <f>W252*AA252*AC252</f>
        <v>3.24</v>
      </c>
      <c r="AW252" s="137" t="s">
        <v>22</v>
      </c>
    </row>
    <row r="253" spans="1:50" s="2" customFormat="1">
      <c r="A253" s="109"/>
      <c r="B253" s="96"/>
      <c r="C253" s="20"/>
      <c r="D253" s="7"/>
      <c r="E253" s="7"/>
      <c r="F253" s="7"/>
      <c r="G253" s="7"/>
      <c r="H253" s="7"/>
      <c r="I253" s="7"/>
      <c r="J253" s="332"/>
      <c r="K253" s="332"/>
      <c r="W253" s="343">
        <v>3.7</v>
      </c>
      <c r="X253" s="343"/>
      <c r="Y253" s="343"/>
      <c r="Z253" s="91" t="s">
        <v>124</v>
      </c>
      <c r="AA253" s="91">
        <v>2</v>
      </c>
      <c r="AB253" s="121" t="s">
        <v>34</v>
      </c>
      <c r="AC253" s="341">
        <v>0.4</v>
      </c>
      <c r="AD253" s="341"/>
      <c r="AE253" s="1"/>
      <c r="AF253" s="7"/>
      <c r="AG253" s="1"/>
      <c r="AQ253" s="120"/>
      <c r="AU253" s="2" t="s">
        <v>125</v>
      </c>
      <c r="AV253" s="92">
        <f>W253*AA253*AC253</f>
        <v>2.9600000000000004</v>
      </c>
      <c r="AW253" s="137" t="s">
        <v>22</v>
      </c>
    </row>
    <row r="254" spans="1:50">
      <c r="A254" s="111"/>
      <c r="B254" s="97"/>
      <c r="C254" s="8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21"/>
      <c r="AN254" s="334" t="s">
        <v>9</v>
      </c>
      <c r="AO254" s="334"/>
      <c r="AP254" s="334"/>
      <c r="AQ254" s="334"/>
      <c r="AR254" s="334"/>
      <c r="AS254" s="334"/>
      <c r="AT254" s="334"/>
      <c r="AU254" s="21" t="s">
        <v>4</v>
      </c>
      <c r="AV254" s="126">
        <f>SUM(AV252:AV253)</f>
        <v>6.2000000000000011</v>
      </c>
      <c r="AW254" s="155" t="s">
        <v>22</v>
      </c>
    </row>
    <row r="255" spans="1:50" s="2" customFormat="1" ht="36" customHeight="1">
      <c r="A255" s="109">
        <v>21</v>
      </c>
      <c r="B255" s="98" t="s">
        <v>114</v>
      </c>
      <c r="C255" s="360" t="s">
        <v>144</v>
      </c>
      <c r="D255" s="361"/>
      <c r="E255" s="361"/>
      <c r="F255" s="361"/>
      <c r="G255" s="361"/>
      <c r="H255" s="361"/>
      <c r="I255" s="361"/>
      <c r="J255" s="361"/>
      <c r="K255" s="361"/>
      <c r="L255" s="361"/>
      <c r="M255" s="361"/>
      <c r="N255" s="361"/>
      <c r="O255" s="361"/>
      <c r="P255" s="361"/>
      <c r="Q255" s="361"/>
      <c r="R255" s="361"/>
      <c r="S255" s="361"/>
      <c r="T255" s="361"/>
      <c r="U255" s="361"/>
      <c r="V255" s="361"/>
      <c r="W255" s="361"/>
      <c r="X255" s="361"/>
      <c r="Y255" s="361"/>
      <c r="Z255" s="361"/>
      <c r="AA255" s="361"/>
      <c r="AB255" s="361"/>
      <c r="AC255" s="361"/>
      <c r="AD255" s="361"/>
      <c r="AE255" s="361"/>
      <c r="AF255" s="361"/>
      <c r="AG255" s="361"/>
      <c r="AH255" s="361"/>
      <c r="AI255" s="361"/>
      <c r="AJ255" s="361"/>
      <c r="AK255" s="361"/>
      <c r="AL255" s="361"/>
      <c r="AM255" s="361"/>
      <c r="AN255" s="361"/>
      <c r="AO255" s="361"/>
      <c r="AP255" s="361"/>
      <c r="AQ255" s="361"/>
      <c r="AR255" s="361"/>
      <c r="AS255" s="361"/>
      <c r="AT255" s="361"/>
      <c r="AU255" s="361"/>
      <c r="AV255" s="91"/>
      <c r="AW255" s="137"/>
    </row>
    <row r="256" spans="1:50" s="2" customFormat="1" ht="12.75" customHeight="1">
      <c r="A256" s="109"/>
      <c r="B256" s="98" t="s">
        <v>145</v>
      </c>
      <c r="C256" s="2" t="s">
        <v>104</v>
      </c>
      <c r="D256" s="3"/>
      <c r="E256" s="3"/>
      <c r="F256" s="3"/>
      <c r="G256" s="3"/>
      <c r="H256" s="3"/>
      <c r="I256" s="3"/>
      <c r="J256" s="3"/>
      <c r="K256" s="3"/>
      <c r="L256" s="3"/>
      <c r="M256" s="3"/>
      <c r="N256" s="3"/>
      <c r="O256" s="3"/>
      <c r="P256" s="3"/>
      <c r="Q256" s="3"/>
      <c r="AQ256" s="120"/>
      <c r="AV256" s="91"/>
      <c r="AW256" s="137"/>
    </row>
    <row r="257" spans="1:49">
      <c r="A257" s="109"/>
      <c r="B257" s="96"/>
      <c r="C257" s="2"/>
      <c r="D257" s="2"/>
      <c r="E257" s="2"/>
      <c r="F257" s="341" t="s">
        <v>105</v>
      </c>
      <c r="G257" s="341"/>
      <c r="H257" s="341"/>
      <c r="I257" s="341"/>
      <c r="J257" s="341"/>
      <c r="K257" s="341"/>
      <c r="L257" s="341"/>
      <c r="M257" s="341"/>
      <c r="N257" s="341"/>
      <c r="O257" s="341" t="s">
        <v>106</v>
      </c>
      <c r="P257" s="341"/>
      <c r="Q257" s="341"/>
      <c r="R257" s="341"/>
      <c r="S257" s="341"/>
      <c r="T257" s="341"/>
      <c r="U257" s="341"/>
      <c r="V257" s="341"/>
      <c r="W257" s="341"/>
      <c r="X257" s="341"/>
      <c r="Y257" s="341"/>
      <c r="Z257" s="341"/>
      <c r="AA257" s="341" t="s">
        <v>33</v>
      </c>
      <c r="AB257" s="341"/>
      <c r="AC257" s="341"/>
      <c r="AD257" s="341"/>
      <c r="AE257" s="341"/>
      <c r="AF257" s="341" t="s">
        <v>107</v>
      </c>
      <c r="AG257" s="341"/>
      <c r="AH257" s="341"/>
      <c r="AI257" s="341" t="s">
        <v>8</v>
      </c>
      <c r="AJ257" s="341"/>
      <c r="AK257" s="341"/>
      <c r="AL257" s="91"/>
      <c r="AM257" s="341" t="s">
        <v>108</v>
      </c>
      <c r="AN257" s="341"/>
      <c r="AO257" s="341"/>
      <c r="AP257" s="341"/>
      <c r="AQ257" s="341" t="s">
        <v>109</v>
      </c>
      <c r="AR257" s="341"/>
      <c r="AS257" s="341" t="s">
        <v>110</v>
      </c>
      <c r="AT257" s="341"/>
      <c r="AU257" s="341"/>
      <c r="AV257" s="91" t="s">
        <v>111</v>
      </c>
      <c r="AW257" s="137" t="s">
        <v>112</v>
      </c>
    </row>
    <row r="258" spans="1:49" ht="12.75" customHeight="1">
      <c r="A258" s="109"/>
      <c r="B258" s="96"/>
      <c r="C258" s="2"/>
      <c r="D258" s="2"/>
      <c r="E258" s="2"/>
      <c r="F258" s="332" t="s">
        <v>115</v>
      </c>
      <c r="G258" s="332"/>
      <c r="H258" s="332"/>
      <c r="I258" s="332"/>
      <c r="J258" s="332"/>
      <c r="K258" s="332"/>
      <c r="L258" s="332"/>
      <c r="M258" s="332"/>
      <c r="N258" s="332"/>
      <c r="O258" s="91"/>
      <c r="P258" s="91"/>
      <c r="Q258" s="91"/>
      <c r="R258" s="341" t="s">
        <v>113</v>
      </c>
      <c r="S258" s="91"/>
      <c r="T258" s="91"/>
      <c r="U258" s="91"/>
      <c r="V258" s="91"/>
      <c r="W258" s="91"/>
      <c r="X258" s="91"/>
      <c r="Y258" s="91"/>
      <c r="Z258" s="91"/>
      <c r="AA258" s="341">
        <f>2.7-0.075*2+0.1+0.1</f>
        <v>2.7500000000000004</v>
      </c>
      <c r="AB258" s="341"/>
      <c r="AC258" s="341"/>
      <c r="AD258" s="341"/>
      <c r="AE258" s="341"/>
      <c r="AF258" s="341">
        <v>0</v>
      </c>
      <c r="AG258" s="341"/>
      <c r="AH258" s="341"/>
      <c r="AI258" s="341">
        <f>ROUND(4/0.125+1,0)</f>
        <v>33</v>
      </c>
      <c r="AJ258" s="341"/>
      <c r="AK258" s="341"/>
      <c r="AL258" s="91"/>
      <c r="AM258" s="341">
        <f t="shared" ref="AM258:AM265" si="0">(AA258+AF258)*AI258</f>
        <v>90.750000000000014</v>
      </c>
      <c r="AN258" s="341"/>
      <c r="AO258" s="341"/>
      <c r="AP258" s="341"/>
      <c r="AQ258" s="341">
        <v>12</v>
      </c>
      <c r="AR258" s="341"/>
      <c r="AS258" s="339">
        <f t="shared" ref="AS258:AS265" si="1">AQ258*AQ258/162.2</f>
        <v>0.88779284833538852</v>
      </c>
      <c r="AT258" s="339"/>
      <c r="AU258" s="91"/>
      <c r="AV258" s="92">
        <f>ROUND(AM258*AS258,2)</f>
        <v>80.569999999999993</v>
      </c>
      <c r="AW258" s="137" t="s">
        <v>112</v>
      </c>
    </row>
    <row r="259" spans="1:49" ht="12.75" customHeight="1">
      <c r="A259" s="109"/>
      <c r="B259" s="96"/>
      <c r="C259" s="2"/>
      <c r="D259" s="2"/>
      <c r="E259" s="2"/>
      <c r="F259" s="2"/>
      <c r="G259" s="2"/>
      <c r="H259" s="2"/>
      <c r="I259" s="2"/>
      <c r="J259" s="2"/>
      <c r="K259" s="2"/>
      <c r="L259" s="2"/>
      <c r="M259" s="2"/>
      <c r="N259" s="2"/>
      <c r="O259" s="91"/>
      <c r="P259" s="91"/>
      <c r="Q259" s="91"/>
      <c r="R259" s="341"/>
      <c r="S259" s="91"/>
      <c r="T259" s="91"/>
      <c r="U259" s="91"/>
      <c r="V259" s="91"/>
      <c r="W259" s="91"/>
      <c r="X259" s="91"/>
      <c r="Y259" s="91"/>
      <c r="Z259" s="91"/>
      <c r="AA259" s="341">
        <f>4-0.075*2+0.1+0.1</f>
        <v>4.05</v>
      </c>
      <c r="AB259" s="341"/>
      <c r="AC259" s="341"/>
      <c r="AD259" s="341"/>
      <c r="AE259" s="341"/>
      <c r="AF259" s="341">
        <v>0.5</v>
      </c>
      <c r="AG259" s="341"/>
      <c r="AH259" s="341"/>
      <c r="AI259" s="341">
        <f>ROUND(2.7/0.175+1,0)</f>
        <v>16</v>
      </c>
      <c r="AJ259" s="341"/>
      <c r="AK259" s="341"/>
      <c r="AL259" s="91"/>
      <c r="AM259" s="341">
        <f t="shared" si="0"/>
        <v>72.8</v>
      </c>
      <c r="AN259" s="341"/>
      <c r="AO259" s="341"/>
      <c r="AP259" s="341"/>
      <c r="AQ259" s="341">
        <v>12</v>
      </c>
      <c r="AR259" s="341"/>
      <c r="AS259" s="339">
        <f t="shared" si="1"/>
        <v>0.88779284833538852</v>
      </c>
      <c r="AT259" s="339"/>
      <c r="AU259" s="91"/>
      <c r="AV259" s="92">
        <f t="shared" ref="AV259:AV264" si="2">ROUND(AM259*AS259,2)</f>
        <v>64.63</v>
      </c>
      <c r="AW259" s="137" t="s">
        <v>112</v>
      </c>
    </row>
    <row r="260" spans="1:49" ht="12.75" customHeight="1">
      <c r="A260" s="109"/>
      <c r="B260" s="96"/>
      <c r="C260" s="2"/>
      <c r="D260" s="2"/>
      <c r="E260" s="2"/>
      <c r="F260" s="332" t="s">
        <v>116</v>
      </c>
      <c r="G260" s="332"/>
      <c r="H260" s="332"/>
      <c r="I260" s="332"/>
      <c r="J260" s="332"/>
      <c r="K260" s="332"/>
      <c r="L260" s="332"/>
      <c r="M260" s="332"/>
      <c r="N260" s="332"/>
      <c r="O260" s="91"/>
      <c r="P260" s="91"/>
      <c r="Q260" s="91"/>
      <c r="R260" s="341"/>
      <c r="S260" s="91"/>
      <c r="T260" s="91"/>
      <c r="U260" s="91"/>
      <c r="V260" s="91"/>
      <c r="W260" s="91"/>
      <c r="X260" s="91"/>
      <c r="Y260" s="91"/>
      <c r="Z260" s="91"/>
      <c r="AA260" s="341">
        <f>2.7-0.075*2+0.1+0.1</f>
        <v>2.7500000000000004</v>
      </c>
      <c r="AB260" s="341"/>
      <c r="AC260" s="341"/>
      <c r="AD260" s="341"/>
      <c r="AE260" s="341"/>
      <c r="AF260" s="341">
        <v>0</v>
      </c>
      <c r="AG260" s="341"/>
      <c r="AH260" s="341"/>
      <c r="AI260" s="341">
        <f>ROUND(4/0.1+1,0)</f>
        <v>41</v>
      </c>
      <c r="AJ260" s="341"/>
      <c r="AK260" s="341"/>
      <c r="AL260" s="91"/>
      <c r="AM260" s="341">
        <f t="shared" si="0"/>
        <v>112.75000000000001</v>
      </c>
      <c r="AN260" s="341"/>
      <c r="AO260" s="341"/>
      <c r="AP260" s="341"/>
      <c r="AQ260" s="341">
        <v>12</v>
      </c>
      <c r="AR260" s="341"/>
      <c r="AS260" s="339">
        <f t="shared" si="1"/>
        <v>0.88779284833538852</v>
      </c>
      <c r="AT260" s="339"/>
      <c r="AU260" s="91"/>
      <c r="AV260" s="92">
        <f t="shared" si="2"/>
        <v>100.1</v>
      </c>
      <c r="AW260" s="137" t="s">
        <v>112</v>
      </c>
    </row>
    <row r="261" spans="1:49">
      <c r="A261" s="109"/>
      <c r="B261" s="96"/>
      <c r="C261" s="2"/>
      <c r="D261" s="2"/>
      <c r="E261" s="2"/>
      <c r="F261" s="332"/>
      <c r="G261" s="332"/>
      <c r="H261" s="332"/>
      <c r="I261" s="332"/>
      <c r="J261" s="332"/>
      <c r="K261" s="332"/>
      <c r="L261" s="332"/>
      <c r="M261" s="332"/>
      <c r="N261" s="332"/>
      <c r="O261" s="91"/>
      <c r="P261" s="91"/>
      <c r="Q261" s="91"/>
      <c r="R261" s="341"/>
      <c r="S261" s="91"/>
      <c r="T261" s="91"/>
      <c r="U261" s="91"/>
      <c r="V261" s="91"/>
      <c r="W261" s="91"/>
      <c r="X261" s="91"/>
      <c r="Y261" s="91"/>
      <c r="Z261" s="91"/>
      <c r="AA261" s="341">
        <f>4-0.075*2+0.1+0.1</f>
        <v>4.05</v>
      </c>
      <c r="AB261" s="341"/>
      <c r="AC261" s="341"/>
      <c r="AD261" s="341"/>
      <c r="AE261" s="341"/>
      <c r="AF261" s="341">
        <v>0.5</v>
      </c>
      <c r="AG261" s="341"/>
      <c r="AH261" s="341"/>
      <c r="AI261" s="341">
        <f>ROUND(2.7/0.15+1,0)</f>
        <v>19</v>
      </c>
      <c r="AJ261" s="341"/>
      <c r="AK261" s="341"/>
      <c r="AL261" s="91"/>
      <c r="AM261" s="341">
        <f t="shared" si="0"/>
        <v>86.45</v>
      </c>
      <c r="AN261" s="341"/>
      <c r="AO261" s="341"/>
      <c r="AP261" s="341"/>
      <c r="AQ261" s="341">
        <v>12</v>
      </c>
      <c r="AR261" s="341"/>
      <c r="AS261" s="339">
        <f t="shared" si="1"/>
        <v>0.88779284833538852</v>
      </c>
      <c r="AT261" s="339"/>
      <c r="AU261" s="91"/>
      <c r="AV261" s="92">
        <f t="shared" si="2"/>
        <v>76.75</v>
      </c>
      <c r="AW261" s="137" t="s">
        <v>112</v>
      </c>
    </row>
    <row r="262" spans="1:49" ht="12.75" customHeight="1">
      <c r="A262" s="109"/>
      <c r="B262" s="96"/>
      <c r="C262" s="2"/>
      <c r="D262" s="2"/>
      <c r="E262" s="2"/>
      <c r="F262" s="332" t="s">
        <v>119</v>
      </c>
      <c r="G262" s="332"/>
      <c r="H262" s="332"/>
      <c r="I262" s="332"/>
      <c r="J262" s="332"/>
      <c r="K262" s="332"/>
      <c r="L262" s="332"/>
      <c r="M262" s="332"/>
      <c r="N262" s="332"/>
      <c r="O262" s="91"/>
      <c r="P262" s="91"/>
      <c r="Q262" s="91"/>
      <c r="R262" s="341"/>
      <c r="S262" s="91"/>
      <c r="T262" s="91"/>
      <c r="U262" s="91"/>
      <c r="V262" s="91"/>
      <c r="W262" s="91"/>
      <c r="X262" s="91"/>
      <c r="Y262" s="91"/>
      <c r="Z262" s="91"/>
      <c r="AA262" s="341">
        <f>3+0.4+0.5-0.075*2-0.012*2+0.1*2</f>
        <v>3.9260000000000002</v>
      </c>
      <c r="AB262" s="341"/>
      <c r="AC262" s="341"/>
      <c r="AD262" s="341"/>
      <c r="AE262" s="341"/>
      <c r="AF262" s="341">
        <v>0</v>
      </c>
      <c r="AG262" s="341"/>
      <c r="AH262" s="341"/>
      <c r="AI262" s="341">
        <f>ROUND(4/0.15+1,0)</f>
        <v>28</v>
      </c>
      <c r="AJ262" s="341"/>
      <c r="AK262" s="341"/>
      <c r="AL262" s="91"/>
      <c r="AM262" s="341">
        <f t="shared" si="0"/>
        <v>109.928</v>
      </c>
      <c r="AN262" s="341"/>
      <c r="AO262" s="341"/>
      <c r="AP262" s="341"/>
      <c r="AQ262" s="341">
        <v>16</v>
      </c>
      <c r="AR262" s="341"/>
      <c r="AS262" s="339">
        <f t="shared" si="1"/>
        <v>1.5782983970406905</v>
      </c>
      <c r="AT262" s="339"/>
      <c r="AU262" s="91"/>
      <c r="AV262" s="92">
        <f t="shared" si="2"/>
        <v>173.5</v>
      </c>
      <c r="AW262" s="137" t="s">
        <v>112</v>
      </c>
    </row>
    <row r="263" spans="1:49" ht="12.75" customHeight="1">
      <c r="A263" s="109"/>
      <c r="B263" s="96"/>
      <c r="C263" s="2"/>
      <c r="D263" s="2"/>
      <c r="E263" s="2"/>
      <c r="F263" s="2"/>
      <c r="G263" s="2"/>
      <c r="H263" s="2"/>
      <c r="I263" s="2"/>
      <c r="J263" s="2" t="s">
        <v>117</v>
      </c>
      <c r="K263" s="2"/>
      <c r="L263" s="2"/>
      <c r="M263" s="2"/>
      <c r="N263" s="2"/>
      <c r="O263" s="91"/>
      <c r="P263" s="91"/>
      <c r="Q263" s="91"/>
      <c r="R263" s="341"/>
      <c r="S263" s="91"/>
      <c r="T263" s="91"/>
      <c r="U263" s="91"/>
      <c r="V263" s="91"/>
      <c r="W263" s="91"/>
      <c r="X263" s="91"/>
      <c r="Y263" s="91"/>
      <c r="Z263" s="91"/>
      <c r="AA263" s="341">
        <f>3+0.4+0.5-0.075*2-0.012*2+0.1*2</f>
        <v>3.9260000000000002</v>
      </c>
      <c r="AB263" s="341"/>
      <c r="AC263" s="341"/>
      <c r="AD263" s="341"/>
      <c r="AE263" s="341"/>
      <c r="AF263" s="341">
        <v>0</v>
      </c>
      <c r="AG263" s="341"/>
      <c r="AH263" s="341"/>
      <c r="AI263" s="341">
        <f>ROUND(4/0.25+1,0)</f>
        <v>17</v>
      </c>
      <c r="AJ263" s="341"/>
      <c r="AK263" s="341"/>
      <c r="AL263" s="91"/>
      <c r="AM263" s="341">
        <f t="shared" si="0"/>
        <v>66.742000000000004</v>
      </c>
      <c r="AN263" s="341"/>
      <c r="AO263" s="341"/>
      <c r="AP263" s="341"/>
      <c r="AQ263" s="341">
        <v>16</v>
      </c>
      <c r="AR263" s="341"/>
      <c r="AS263" s="339">
        <f t="shared" si="1"/>
        <v>1.5782983970406905</v>
      </c>
      <c r="AT263" s="339"/>
      <c r="AU263" s="91"/>
      <c r="AV263" s="92">
        <f t="shared" si="2"/>
        <v>105.34</v>
      </c>
      <c r="AW263" s="137" t="s">
        <v>112</v>
      </c>
    </row>
    <row r="264" spans="1:49" ht="12.75" customHeight="1">
      <c r="A264" s="109"/>
      <c r="B264" s="96"/>
      <c r="C264" s="2"/>
      <c r="D264" s="2"/>
      <c r="E264" s="2"/>
      <c r="F264" s="332" t="s">
        <v>118</v>
      </c>
      <c r="G264" s="332"/>
      <c r="H264" s="332"/>
      <c r="I264" s="332"/>
      <c r="J264" s="332"/>
      <c r="K264" s="332"/>
      <c r="L264" s="332"/>
      <c r="M264" s="332"/>
      <c r="N264" s="332"/>
      <c r="O264" s="91"/>
      <c r="P264" s="91"/>
      <c r="Q264" s="91"/>
      <c r="R264" s="341"/>
      <c r="S264" s="91"/>
      <c r="T264" s="91"/>
      <c r="U264" s="91"/>
      <c r="V264" s="91"/>
      <c r="W264" s="91"/>
      <c r="X264" s="91"/>
      <c r="Y264" s="91"/>
      <c r="Z264" s="91"/>
      <c r="AA264" s="341">
        <f>4-0.075*2+0.1*2</f>
        <v>4.05</v>
      </c>
      <c r="AB264" s="341"/>
      <c r="AC264" s="341"/>
      <c r="AD264" s="341"/>
      <c r="AE264" s="341"/>
      <c r="AF264" s="341">
        <v>0.5</v>
      </c>
      <c r="AG264" s="341"/>
      <c r="AH264" s="341"/>
      <c r="AI264" s="341">
        <f>ROUND(3.4/0.15+1,0)</f>
        <v>24</v>
      </c>
      <c r="AJ264" s="341"/>
      <c r="AK264" s="341"/>
      <c r="AL264" s="91"/>
      <c r="AM264" s="341">
        <f t="shared" si="0"/>
        <v>109.19999999999999</v>
      </c>
      <c r="AN264" s="341"/>
      <c r="AO264" s="341"/>
      <c r="AP264" s="341"/>
      <c r="AQ264" s="341">
        <v>12</v>
      </c>
      <c r="AR264" s="341"/>
      <c r="AS264" s="339">
        <f t="shared" si="1"/>
        <v>0.88779284833538852</v>
      </c>
      <c r="AT264" s="339"/>
      <c r="AU264" s="91"/>
      <c r="AV264" s="92">
        <f t="shared" si="2"/>
        <v>96.95</v>
      </c>
      <c r="AW264" s="137" t="s">
        <v>112</v>
      </c>
    </row>
    <row r="265" spans="1:49">
      <c r="A265" s="109"/>
      <c r="B265" s="96"/>
      <c r="C265" s="2"/>
      <c r="D265" s="2"/>
      <c r="E265" s="2"/>
      <c r="F265" s="332" t="s">
        <v>117</v>
      </c>
      <c r="G265" s="332"/>
      <c r="H265" s="332"/>
      <c r="I265" s="332"/>
      <c r="J265" s="332"/>
      <c r="K265" s="332"/>
      <c r="L265" s="332"/>
      <c r="M265" s="332"/>
      <c r="N265" s="332"/>
      <c r="O265" s="91"/>
      <c r="P265" s="91"/>
      <c r="Q265" s="91"/>
      <c r="R265" s="341"/>
      <c r="S265" s="91"/>
      <c r="T265" s="91"/>
      <c r="U265" s="91"/>
      <c r="V265" s="91"/>
      <c r="W265" s="91"/>
      <c r="X265" s="91"/>
      <c r="Y265" s="91"/>
      <c r="Z265" s="91"/>
      <c r="AA265" s="341">
        <f>4-0.075*2+0.1+0.1</f>
        <v>4.05</v>
      </c>
      <c r="AB265" s="341"/>
      <c r="AC265" s="341"/>
      <c r="AD265" s="341"/>
      <c r="AE265" s="341"/>
      <c r="AF265" s="341">
        <v>0.5</v>
      </c>
      <c r="AG265" s="341"/>
      <c r="AH265" s="341"/>
      <c r="AI265" s="341">
        <f>ROUND(3.4/0.175+1,0)</f>
        <v>20</v>
      </c>
      <c r="AJ265" s="341"/>
      <c r="AK265" s="341"/>
      <c r="AL265" s="91"/>
      <c r="AM265" s="352">
        <f t="shared" si="0"/>
        <v>91</v>
      </c>
      <c r="AN265" s="352"/>
      <c r="AO265" s="352"/>
      <c r="AP265" s="352"/>
      <c r="AQ265" s="341">
        <v>12</v>
      </c>
      <c r="AR265" s="341"/>
      <c r="AS265" s="339">
        <f t="shared" si="1"/>
        <v>0.88779284833538852</v>
      </c>
      <c r="AT265" s="339"/>
      <c r="AU265" s="91"/>
      <c r="AV265" s="92">
        <f>ROUND(AM265*AS265,2)</f>
        <v>80.790000000000006</v>
      </c>
      <c r="AW265" s="137" t="s">
        <v>112</v>
      </c>
    </row>
    <row r="266" spans="1:49">
      <c r="A266" s="109"/>
      <c r="B266" s="96"/>
      <c r="C266" s="2"/>
      <c r="D266" s="2"/>
      <c r="E266" s="2"/>
      <c r="F266" s="2"/>
      <c r="G266" s="2"/>
      <c r="H266" s="2"/>
      <c r="I266" s="2"/>
      <c r="J266" s="2"/>
      <c r="K266" s="2"/>
      <c r="L266" s="2"/>
      <c r="M266" s="2"/>
      <c r="N266" s="2"/>
      <c r="O266" s="2"/>
      <c r="P266" s="2"/>
      <c r="Q266" s="2"/>
      <c r="R266" s="2"/>
      <c r="S266" s="2"/>
      <c r="T266" s="2"/>
      <c r="U266" s="2"/>
      <c r="V266" s="332" t="s">
        <v>159</v>
      </c>
      <c r="W266" s="332"/>
      <c r="X266" s="332"/>
      <c r="Y266" s="332"/>
      <c r="Z266" s="332"/>
      <c r="AA266" s="2"/>
      <c r="AB266" s="2"/>
      <c r="AC266" s="2"/>
      <c r="AD266" s="2"/>
      <c r="AE266" s="2"/>
      <c r="AF266" s="2"/>
      <c r="AG266" s="2"/>
      <c r="AH266" s="2"/>
      <c r="AI266" s="2"/>
      <c r="AJ266" s="2"/>
      <c r="AK266" s="331"/>
      <c r="AL266" s="332"/>
      <c r="AM266" s="332"/>
      <c r="AN266" s="2"/>
      <c r="AO266" s="2"/>
      <c r="AP266" s="2"/>
      <c r="AQ266" s="120"/>
      <c r="AR266" s="2"/>
      <c r="AS266" s="1"/>
      <c r="AT266" s="1"/>
      <c r="AU266" s="2"/>
      <c r="AV266" s="92"/>
      <c r="AW266" s="137"/>
    </row>
    <row r="267" spans="1:49">
      <c r="A267" s="109"/>
      <c r="B267" s="96"/>
      <c r="C267" s="2"/>
      <c r="D267" s="2"/>
      <c r="E267" s="2"/>
      <c r="F267" s="2"/>
      <c r="G267" s="2"/>
      <c r="H267" s="2"/>
      <c r="I267" s="2"/>
      <c r="J267" s="2"/>
      <c r="K267" s="2"/>
      <c r="L267" s="2"/>
      <c r="M267" s="2"/>
      <c r="N267" s="2"/>
      <c r="O267" s="2"/>
      <c r="P267" s="2"/>
      <c r="Q267" s="2"/>
      <c r="R267" s="2"/>
      <c r="S267" s="2"/>
      <c r="T267" s="2"/>
      <c r="U267" s="2"/>
      <c r="V267" s="332" t="s">
        <v>172</v>
      </c>
      <c r="W267" s="332"/>
      <c r="X267" s="332"/>
      <c r="Y267" s="332"/>
      <c r="Z267" s="332"/>
      <c r="AA267" s="2"/>
      <c r="AB267" s="2"/>
      <c r="AC267" s="2"/>
      <c r="AD267" s="2"/>
      <c r="AE267" s="2"/>
      <c r="AF267" s="2"/>
      <c r="AG267" s="2"/>
      <c r="AH267" s="2"/>
      <c r="AI267" s="2"/>
      <c r="AJ267" s="2"/>
      <c r="AK267" s="1"/>
      <c r="AL267" s="2"/>
      <c r="AM267" s="2"/>
      <c r="AN267" s="2"/>
      <c r="AO267" s="2"/>
      <c r="AP267" s="2"/>
      <c r="AQ267" s="120"/>
      <c r="AR267" s="2"/>
      <c r="AS267" s="1"/>
      <c r="AT267" s="1"/>
      <c r="AU267" s="2"/>
      <c r="AV267" s="92"/>
      <c r="AW267" s="137"/>
    </row>
    <row r="268" spans="1:49">
      <c r="A268" s="109"/>
      <c r="B268" s="96"/>
      <c r="C268" s="2"/>
      <c r="D268" s="2"/>
      <c r="E268" s="2"/>
      <c r="F268" s="2"/>
      <c r="G268" s="2"/>
      <c r="H268" s="2"/>
      <c r="I268" s="2"/>
      <c r="J268" s="2"/>
      <c r="K268" s="2"/>
      <c r="L268" s="2"/>
      <c r="M268" s="2"/>
      <c r="N268" s="2"/>
      <c r="O268" s="2"/>
      <c r="P268" s="2"/>
      <c r="Q268" s="2"/>
      <c r="R268" s="2"/>
      <c r="S268" s="2"/>
      <c r="T268" s="2"/>
      <c r="U268" s="2"/>
      <c r="V268" s="91"/>
      <c r="W268" s="91">
        <v>1</v>
      </c>
      <c r="X268" s="91"/>
      <c r="Y268" s="339">
        <v>50</v>
      </c>
      <c r="Z268" s="339"/>
      <c r="AA268" s="339"/>
      <c r="AB268" s="91"/>
      <c r="AC268" s="91"/>
      <c r="AD268" s="91"/>
      <c r="AE268" s="339">
        <f>Y268*W268</f>
        <v>50</v>
      </c>
      <c r="AF268" s="339"/>
      <c r="AG268" s="339"/>
      <c r="AH268" s="91"/>
      <c r="AI268" s="91"/>
      <c r="AJ268" s="91"/>
      <c r="AK268" s="91"/>
      <c r="AL268" s="91"/>
      <c r="AM268" s="91"/>
      <c r="AN268" s="91"/>
      <c r="AO268" s="341">
        <v>0.62</v>
      </c>
      <c r="AP268" s="341"/>
      <c r="AQ268" s="341"/>
      <c r="AR268" s="91"/>
      <c r="AS268" s="91" t="s">
        <v>4</v>
      </c>
      <c r="AT268" s="91"/>
      <c r="AU268" s="92"/>
      <c r="AV268" s="92">
        <f>AO268*AE268</f>
        <v>31</v>
      </c>
      <c r="AW268" s="137" t="s">
        <v>171</v>
      </c>
    </row>
    <row r="269" spans="1:49">
      <c r="A269" s="109"/>
      <c r="B269" s="96"/>
      <c r="C269" s="2"/>
      <c r="D269" s="2"/>
      <c r="E269" s="2"/>
      <c r="F269" s="2"/>
      <c r="G269" s="2"/>
      <c r="H269" s="2"/>
      <c r="I269" s="2"/>
      <c r="J269" s="2"/>
      <c r="K269" s="2"/>
      <c r="L269" s="2"/>
      <c r="M269" s="2"/>
      <c r="N269" s="2"/>
      <c r="O269" s="2"/>
      <c r="P269" s="2"/>
      <c r="Q269" s="2"/>
      <c r="R269" s="2"/>
      <c r="S269" s="2"/>
      <c r="T269" s="2"/>
      <c r="U269" s="2"/>
      <c r="V269" s="345" t="s">
        <v>173</v>
      </c>
      <c r="W269" s="345"/>
      <c r="X269" s="345"/>
      <c r="Y269" s="345"/>
      <c r="Z269" s="345"/>
      <c r="AA269" s="345"/>
      <c r="AB269" s="345"/>
      <c r="AC269" s="345"/>
      <c r="AD269" s="91"/>
      <c r="AE269" s="91"/>
      <c r="AF269" s="91"/>
      <c r="AG269" s="91"/>
      <c r="AH269" s="91"/>
      <c r="AI269" s="91"/>
      <c r="AJ269" s="91"/>
      <c r="AK269" s="91"/>
      <c r="AL269" s="91"/>
      <c r="AM269" s="91"/>
      <c r="AN269" s="91"/>
      <c r="AO269" s="91"/>
      <c r="AP269" s="91"/>
      <c r="AQ269" s="91"/>
      <c r="AR269" s="91"/>
      <c r="AS269" s="91"/>
      <c r="AT269" s="92"/>
      <c r="AU269" s="91"/>
      <c r="AV269" s="91"/>
      <c r="AW269" s="137"/>
    </row>
    <row r="270" spans="1:49">
      <c r="A270" s="109"/>
      <c r="B270" s="96"/>
      <c r="C270" s="2"/>
      <c r="D270" s="2"/>
      <c r="E270" s="2"/>
      <c r="F270" s="2"/>
      <c r="G270" s="2"/>
      <c r="H270" s="2"/>
      <c r="I270" s="2"/>
      <c r="J270" s="2"/>
      <c r="K270" s="2"/>
      <c r="L270" s="2"/>
      <c r="M270" s="2"/>
      <c r="N270" s="2"/>
      <c r="O270" s="2"/>
      <c r="P270" s="2"/>
      <c r="Q270" s="2"/>
      <c r="R270" s="2"/>
      <c r="S270" s="2"/>
      <c r="T270" s="2"/>
      <c r="U270" s="2"/>
      <c r="V270" s="91"/>
      <c r="W270" s="91">
        <v>1</v>
      </c>
      <c r="X270" s="91"/>
      <c r="Y270" s="341">
        <v>215</v>
      </c>
      <c r="Z270" s="341"/>
      <c r="AA270" s="341"/>
      <c r="AB270" s="341">
        <v>0.17499999999999999</v>
      </c>
      <c r="AC270" s="341"/>
      <c r="AD270" s="91"/>
      <c r="AE270" s="339">
        <f>AB270*Y270*W270</f>
        <v>37.625</v>
      </c>
      <c r="AF270" s="339"/>
      <c r="AG270" s="339"/>
      <c r="AH270" s="91"/>
      <c r="AI270" s="91"/>
      <c r="AJ270" s="91"/>
      <c r="AK270" s="91"/>
      <c r="AL270" s="91"/>
      <c r="AM270" s="91"/>
      <c r="AN270" s="91"/>
      <c r="AO270" s="341">
        <v>0.62</v>
      </c>
      <c r="AP270" s="341"/>
      <c r="AQ270" s="341"/>
      <c r="AR270" s="91"/>
      <c r="AS270" s="91" t="s">
        <v>4</v>
      </c>
      <c r="AT270" s="91"/>
      <c r="AU270" s="92"/>
      <c r="AV270" s="92">
        <f>AO270*AE270</f>
        <v>23.327500000000001</v>
      </c>
      <c r="AW270" s="137" t="s">
        <v>171</v>
      </c>
    </row>
    <row r="271" spans="1:49">
      <c r="A271" s="109"/>
      <c r="B271" s="96"/>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1"/>
      <c r="AN271" s="334" t="s">
        <v>9</v>
      </c>
      <c r="AO271" s="334"/>
      <c r="AP271" s="334"/>
      <c r="AQ271" s="334"/>
      <c r="AR271" s="334"/>
      <c r="AS271" s="334"/>
      <c r="AT271" s="334"/>
      <c r="AU271" s="21" t="s">
        <v>4</v>
      </c>
      <c r="AV271" s="126">
        <f>SUM(AV258:AV270)</f>
        <v>832.95749999999998</v>
      </c>
      <c r="AW271" s="155" t="s">
        <v>112</v>
      </c>
    </row>
    <row r="272" spans="1:49" s="2" customFormat="1" ht="50.25" customHeight="1">
      <c r="A272" s="110">
        <v>22</v>
      </c>
      <c r="B272" s="95" t="s">
        <v>98</v>
      </c>
      <c r="C272" s="360" t="s">
        <v>99</v>
      </c>
      <c r="D272" s="361"/>
      <c r="E272" s="361"/>
      <c r="F272" s="361"/>
      <c r="G272" s="361"/>
      <c r="H272" s="361"/>
      <c r="I272" s="361"/>
      <c r="J272" s="361"/>
      <c r="K272" s="361"/>
      <c r="L272" s="361"/>
      <c r="M272" s="361"/>
      <c r="N272" s="361"/>
      <c r="O272" s="361"/>
      <c r="P272" s="361"/>
      <c r="Q272" s="361"/>
      <c r="R272" s="361"/>
      <c r="S272" s="361"/>
      <c r="T272" s="361"/>
      <c r="U272" s="361"/>
      <c r="V272" s="361"/>
      <c r="W272" s="361"/>
      <c r="X272" s="361"/>
      <c r="Y272" s="361"/>
      <c r="Z272" s="361"/>
      <c r="AA272" s="361"/>
      <c r="AB272" s="361"/>
      <c r="AC272" s="361"/>
      <c r="AD272" s="361"/>
      <c r="AE272" s="361"/>
      <c r="AF272" s="361"/>
      <c r="AG272" s="361"/>
      <c r="AH272" s="361"/>
      <c r="AI272" s="361"/>
      <c r="AJ272" s="361"/>
      <c r="AK272" s="361"/>
      <c r="AL272" s="361"/>
      <c r="AM272" s="361"/>
      <c r="AN272" s="361"/>
      <c r="AO272" s="361"/>
      <c r="AP272" s="361"/>
      <c r="AQ272" s="361"/>
      <c r="AR272" s="361"/>
      <c r="AS272" s="361"/>
      <c r="AT272" s="361"/>
      <c r="AU272" s="361"/>
      <c r="AV272" s="91"/>
      <c r="AW272" s="137"/>
    </row>
    <row r="273" spans="1:49" s="2" customFormat="1" ht="12" customHeight="1">
      <c r="A273" s="109"/>
      <c r="B273" s="98" t="s">
        <v>100</v>
      </c>
      <c r="C273" s="2" t="s">
        <v>101</v>
      </c>
      <c r="D273" s="3"/>
      <c r="E273" s="3"/>
      <c r="F273" s="3"/>
      <c r="G273" s="3"/>
      <c r="H273" s="3"/>
      <c r="I273" s="3"/>
      <c r="J273" s="3"/>
      <c r="K273" s="3"/>
      <c r="L273" s="3"/>
      <c r="M273" s="3"/>
      <c r="N273" s="3"/>
      <c r="AQ273" s="120"/>
      <c r="AV273" s="91"/>
      <c r="AW273" s="137"/>
    </row>
    <row r="274" spans="1:49" s="2" customFormat="1" ht="12" customHeight="1">
      <c r="A274" s="109"/>
      <c r="B274" s="98"/>
      <c r="D274" s="3"/>
      <c r="E274" s="3"/>
      <c r="F274" s="2" t="s">
        <v>102</v>
      </c>
      <c r="G274" s="3"/>
      <c r="H274" s="3"/>
      <c r="I274" s="3"/>
      <c r="J274" s="3"/>
      <c r="K274" s="3"/>
      <c r="L274" s="3"/>
      <c r="M274" s="3"/>
      <c r="N274" s="3" t="s">
        <v>4</v>
      </c>
      <c r="O274" s="332">
        <v>2.7</v>
      </c>
      <c r="P274" s="332"/>
      <c r="Q274" s="2" t="s">
        <v>34</v>
      </c>
      <c r="R274" s="332">
        <v>0.4</v>
      </c>
      <c r="S274" s="332"/>
      <c r="T274" s="2" t="s">
        <v>6</v>
      </c>
      <c r="U274" s="2" t="s">
        <v>34</v>
      </c>
      <c r="V274" s="336">
        <v>4</v>
      </c>
      <c r="W274" s="336"/>
      <c r="X274" s="2" t="s">
        <v>6</v>
      </c>
      <c r="AQ274" s="120"/>
      <c r="AU274" s="2" t="s">
        <v>4</v>
      </c>
      <c r="AV274" s="91">
        <f>O274*R274*V274</f>
        <v>4.32</v>
      </c>
      <c r="AW274" s="137" t="s">
        <v>24</v>
      </c>
    </row>
    <row r="275" spans="1:49" s="2" customFormat="1" ht="12" customHeight="1">
      <c r="A275" s="109"/>
      <c r="B275" s="98"/>
      <c r="D275" s="3"/>
      <c r="E275" s="3"/>
      <c r="F275" s="2" t="s">
        <v>103</v>
      </c>
      <c r="G275" s="3"/>
      <c r="H275" s="3"/>
      <c r="I275" s="3"/>
      <c r="J275" s="3"/>
      <c r="K275" s="3"/>
      <c r="L275" s="3"/>
      <c r="M275" s="3"/>
      <c r="N275" s="3"/>
      <c r="O275" s="331">
        <f>(0.35+0.25)/2</f>
        <v>0.3</v>
      </c>
      <c r="P275" s="331"/>
      <c r="Q275" s="2" t="s">
        <v>34</v>
      </c>
      <c r="R275" s="336">
        <v>3</v>
      </c>
      <c r="S275" s="336"/>
      <c r="T275" s="2" t="s">
        <v>6</v>
      </c>
      <c r="U275" s="2" t="s">
        <v>34</v>
      </c>
      <c r="V275" s="336">
        <v>4</v>
      </c>
      <c r="W275" s="336"/>
      <c r="X275" s="2" t="s">
        <v>6</v>
      </c>
      <c r="AQ275" s="120"/>
      <c r="AU275" s="2" t="s">
        <v>4</v>
      </c>
      <c r="AV275" s="92">
        <f>O275*R275*V275</f>
        <v>3.5999999999999996</v>
      </c>
      <c r="AW275" s="137" t="s">
        <v>24</v>
      </c>
    </row>
    <row r="276" spans="1:49" s="2" customFormat="1" ht="12" customHeight="1">
      <c r="A276" s="109"/>
      <c r="B276" s="98"/>
      <c r="D276" s="3"/>
      <c r="E276" s="3"/>
      <c r="G276" s="3"/>
      <c r="H276" s="3"/>
      <c r="I276" s="3"/>
      <c r="J276" s="3"/>
      <c r="K276" s="3"/>
      <c r="L276" s="3"/>
      <c r="M276" s="3"/>
      <c r="N276" s="3"/>
      <c r="O276" s="1"/>
      <c r="P276" s="332" t="s">
        <v>159</v>
      </c>
      <c r="Q276" s="332"/>
      <c r="R276" s="332"/>
      <c r="S276" s="332"/>
      <c r="T276" s="332"/>
      <c r="AQ276" s="120"/>
      <c r="AV276" s="92"/>
      <c r="AW276" s="137"/>
    </row>
    <row r="277" spans="1:49" s="2" customFormat="1" ht="12" customHeight="1">
      <c r="A277" s="109"/>
      <c r="B277" s="98"/>
      <c r="D277" s="3"/>
      <c r="E277" s="3"/>
      <c r="G277" s="3"/>
      <c r="H277" s="3"/>
      <c r="I277" s="3"/>
      <c r="J277" s="3"/>
      <c r="K277" s="3"/>
      <c r="L277" s="3"/>
      <c r="M277" s="3"/>
      <c r="N277" s="3"/>
      <c r="O277" s="1"/>
      <c r="Q277" s="2">
        <v>1</v>
      </c>
      <c r="R277" s="331">
        <v>50</v>
      </c>
      <c r="S277" s="331"/>
      <c r="T277" s="331"/>
      <c r="V277" s="356" t="s">
        <v>174</v>
      </c>
      <c r="W277" s="356"/>
      <c r="X277" s="356"/>
      <c r="Z277" s="332">
        <v>0.15</v>
      </c>
      <c r="AA277" s="332"/>
      <c r="AQ277" s="120"/>
      <c r="AU277" s="2" t="s">
        <v>4</v>
      </c>
      <c r="AV277" s="92">
        <f>Q277*R277*((0.25+0.15)/2*Z277)</f>
        <v>1.5</v>
      </c>
      <c r="AW277" s="137" t="s">
        <v>24</v>
      </c>
    </row>
    <row r="278" spans="1:49" s="2" customFormat="1" ht="12" customHeight="1">
      <c r="A278" s="109"/>
      <c r="B278" s="98"/>
      <c r="D278" s="3"/>
      <c r="E278" s="3"/>
      <c r="G278" s="3"/>
      <c r="H278" s="3"/>
      <c r="I278" s="3"/>
      <c r="J278" s="3"/>
      <c r="K278" s="3"/>
      <c r="L278" s="3"/>
      <c r="M278" s="3"/>
      <c r="N278" s="3"/>
      <c r="O278" s="1"/>
      <c r="W278" s="2">
        <v>2</v>
      </c>
      <c r="AQ278" s="120"/>
      <c r="AU278" s="331"/>
      <c r="AV278" s="331"/>
      <c r="AW278" s="137"/>
    </row>
    <row r="279" spans="1:49" ht="12.75" thickBot="1">
      <c r="A279" s="109"/>
      <c r="B279" s="96"/>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10"/>
      <c r="AN279" s="384" t="s">
        <v>9</v>
      </c>
      <c r="AO279" s="384"/>
      <c r="AP279" s="384"/>
      <c r="AQ279" s="384"/>
      <c r="AR279" s="384"/>
      <c r="AS279" s="384"/>
      <c r="AT279" s="384"/>
      <c r="AU279" s="10" t="s">
        <v>4</v>
      </c>
      <c r="AV279" s="279">
        <f>SUM(AV274:AV277)</f>
        <v>9.42</v>
      </c>
      <c r="AW279" s="156" t="s">
        <v>24</v>
      </c>
    </row>
    <row r="280" spans="1:49" s="2" customFormat="1" ht="39.75" customHeight="1">
      <c r="A280" s="280">
        <v>23</v>
      </c>
      <c r="B280" s="294" t="s">
        <v>129</v>
      </c>
      <c r="C280" s="365" t="s">
        <v>132</v>
      </c>
      <c r="D280" s="366"/>
      <c r="E280" s="366"/>
      <c r="F280" s="366"/>
      <c r="G280" s="366"/>
      <c r="H280" s="366"/>
      <c r="I280" s="366"/>
      <c r="J280" s="366"/>
      <c r="K280" s="366"/>
      <c r="L280" s="366"/>
      <c r="M280" s="366"/>
      <c r="N280" s="366"/>
      <c r="O280" s="366"/>
      <c r="P280" s="366"/>
      <c r="Q280" s="366"/>
      <c r="R280" s="366"/>
      <c r="S280" s="366"/>
      <c r="T280" s="366"/>
      <c r="U280" s="366"/>
      <c r="V280" s="366"/>
      <c r="W280" s="366"/>
      <c r="X280" s="366"/>
      <c r="Y280" s="366"/>
      <c r="Z280" s="366"/>
      <c r="AA280" s="366"/>
      <c r="AB280" s="366"/>
      <c r="AC280" s="366"/>
      <c r="AD280" s="366"/>
      <c r="AE280" s="366"/>
      <c r="AF280" s="366"/>
      <c r="AG280" s="366"/>
      <c r="AH280" s="366"/>
      <c r="AI280" s="366"/>
      <c r="AJ280" s="366"/>
      <c r="AK280" s="366"/>
      <c r="AL280" s="366"/>
      <c r="AM280" s="366"/>
      <c r="AN280" s="366"/>
      <c r="AO280" s="366"/>
      <c r="AP280" s="366"/>
      <c r="AQ280" s="366"/>
      <c r="AR280" s="366"/>
      <c r="AS280" s="366"/>
      <c r="AT280" s="366"/>
      <c r="AU280" s="366"/>
      <c r="AV280" s="283"/>
      <c r="AW280" s="284"/>
    </row>
    <row r="281" spans="1:49" s="2" customFormat="1" ht="12.75" customHeight="1">
      <c r="A281" s="285"/>
      <c r="B281" s="98" t="s">
        <v>130</v>
      </c>
      <c r="C281" s="7" t="s">
        <v>131</v>
      </c>
      <c r="D281" s="3"/>
      <c r="E281" s="3"/>
      <c r="F281" s="3"/>
      <c r="G281" s="3"/>
      <c r="H281" s="3"/>
      <c r="I281" s="3"/>
      <c r="J281" s="3"/>
      <c r="K281" s="3"/>
      <c r="L281" s="3"/>
      <c r="M281" s="3"/>
      <c r="N281" s="3"/>
      <c r="O281" s="3"/>
      <c r="P281" s="3"/>
      <c r="Q281" s="3"/>
      <c r="R281" s="3"/>
      <c r="S281" s="3"/>
      <c r="T281" s="3"/>
      <c r="AQ281" s="120"/>
      <c r="AV281" s="91"/>
      <c r="AW281" s="286"/>
    </row>
    <row r="282" spans="1:49" s="2" customFormat="1" ht="10.5" customHeight="1">
      <c r="A282" s="295"/>
      <c r="B282" s="96"/>
      <c r="F282" s="2" t="s">
        <v>133</v>
      </c>
      <c r="K282" s="2">
        <v>2</v>
      </c>
      <c r="L282" s="2" t="s">
        <v>34</v>
      </c>
      <c r="M282" s="332">
        <v>10</v>
      </c>
      <c r="N282" s="332"/>
      <c r="O282" s="2" t="s">
        <v>34</v>
      </c>
      <c r="P282" s="332">
        <f>0.2</f>
        <v>0.2</v>
      </c>
      <c r="Q282" s="332"/>
      <c r="R282" s="2" t="s">
        <v>34</v>
      </c>
      <c r="S282" s="331">
        <v>0.15</v>
      </c>
      <c r="T282" s="331"/>
      <c r="Z282" s="30"/>
      <c r="AI282" s="23"/>
      <c r="AJ282" s="23"/>
      <c r="AK282" s="23"/>
      <c r="AQ282" s="120"/>
      <c r="AU282" s="2" t="s">
        <v>4</v>
      </c>
      <c r="AV282" s="91">
        <f>K282*M282*P282*S282</f>
        <v>0.6</v>
      </c>
      <c r="AW282" s="286" t="s">
        <v>22</v>
      </c>
    </row>
    <row r="283" spans="1:49" s="2" customFormat="1" ht="10.5" customHeight="1">
      <c r="A283" s="295"/>
      <c r="B283" s="100"/>
      <c r="F283" s="2" t="s">
        <v>134</v>
      </c>
      <c r="K283" s="2">
        <v>2</v>
      </c>
      <c r="L283" s="2" t="s">
        <v>34</v>
      </c>
      <c r="M283" s="332">
        <v>11</v>
      </c>
      <c r="N283" s="332"/>
      <c r="O283" s="2" t="s">
        <v>34</v>
      </c>
      <c r="P283" s="332">
        <f>0.2</f>
        <v>0.2</v>
      </c>
      <c r="Q283" s="332"/>
      <c r="R283" s="2" t="s">
        <v>34</v>
      </c>
      <c r="S283" s="331">
        <v>0.15</v>
      </c>
      <c r="T283" s="331"/>
      <c r="Z283" s="30"/>
      <c r="AI283" s="23"/>
      <c r="AJ283" s="23"/>
      <c r="AK283" s="23"/>
      <c r="AQ283" s="120"/>
      <c r="AU283" s="2" t="s">
        <v>4</v>
      </c>
      <c r="AV283" s="91">
        <f>K283*M283*P283*S283</f>
        <v>0.66</v>
      </c>
      <c r="AW283" s="286" t="s">
        <v>22</v>
      </c>
    </row>
    <row r="284" spans="1:49" s="2" customFormat="1" ht="12.75" customHeight="1">
      <c r="A284" s="285"/>
      <c r="B284" s="98"/>
      <c r="C284" s="7"/>
      <c r="D284" s="3"/>
      <c r="E284" s="3"/>
      <c r="F284" s="2" t="s">
        <v>135</v>
      </c>
      <c r="G284" s="3"/>
      <c r="H284" s="3"/>
      <c r="I284" s="3"/>
      <c r="J284" s="3"/>
      <c r="N284" s="3">
        <v>2</v>
      </c>
      <c r="O284" s="3" t="s">
        <v>34</v>
      </c>
      <c r="P284" s="351">
        <v>10</v>
      </c>
      <c r="Q284" s="351"/>
      <c r="R284" s="3" t="s">
        <v>34</v>
      </c>
      <c r="S284" s="347">
        <v>4</v>
      </c>
      <c r="T284" s="347"/>
      <c r="AQ284" s="120"/>
      <c r="AU284" s="2" t="s">
        <v>4</v>
      </c>
      <c r="AV284" s="92">
        <f>N284*P284*S284</f>
        <v>80</v>
      </c>
      <c r="AW284" s="286" t="s">
        <v>22</v>
      </c>
    </row>
    <row r="285" spans="1:49" s="2" customFormat="1" ht="10.5" customHeight="1">
      <c r="A285" s="285"/>
      <c r="B285" s="96"/>
      <c r="F285" s="2" t="s">
        <v>199</v>
      </c>
      <c r="K285" s="2">
        <v>2</v>
      </c>
      <c r="L285" s="2" t="s">
        <v>34</v>
      </c>
      <c r="M285" s="332">
        <v>1</v>
      </c>
      <c r="N285" s="332"/>
      <c r="O285" s="2" t="s">
        <v>34</v>
      </c>
      <c r="P285" s="332">
        <v>9.6</v>
      </c>
      <c r="Q285" s="332"/>
      <c r="R285" s="2" t="s">
        <v>34</v>
      </c>
      <c r="S285" s="331">
        <v>3</v>
      </c>
      <c r="T285" s="331"/>
      <c r="Z285" s="30"/>
      <c r="AI285" s="23"/>
      <c r="AJ285" s="23"/>
      <c r="AK285" s="23"/>
      <c r="AQ285" s="120"/>
      <c r="AU285" s="2" t="s">
        <v>4</v>
      </c>
      <c r="AV285" s="91">
        <f>K285*M285*P285*S285</f>
        <v>57.599999999999994</v>
      </c>
      <c r="AW285" s="286" t="s">
        <v>22</v>
      </c>
    </row>
    <row r="286" spans="1:49" s="2" customFormat="1" ht="10.5" customHeight="1">
      <c r="A286" s="285"/>
      <c r="B286" s="96"/>
      <c r="F286" s="2" t="s">
        <v>200</v>
      </c>
      <c r="K286" s="2">
        <v>2</v>
      </c>
      <c r="L286" s="2" t="s">
        <v>34</v>
      </c>
      <c r="M286" s="332">
        <v>1</v>
      </c>
      <c r="N286" s="332"/>
      <c r="O286" s="2" t="s">
        <v>34</v>
      </c>
      <c r="P286" s="332">
        <v>9.3000000000000007</v>
      </c>
      <c r="Q286" s="332"/>
      <c r="R286" s="2" t="s">
        <v>34</v>
      </c>
      <c r="S286" s="331">
        <v>3</v>
      </c>
      <c r="T286" s="331"/>
      <c r="Z286" s="30"/>
      <c r="AI286" s="23"/>
      <c r="AJ286" s="23"/>
      <c r="AK286" s="23"/>
      <c r="AQ286" s="120"/>
      <c r="AU286" s="2" t="s">
        <v>4</v>
      </c>
      <c r="AV286" s="91">
        <f>K286*M286*P286*S286</f>
        <v>55.800000000000004</v>
      </c>
      <c r="AW286" s="286" t="s">
        <v>22</v>
      </c>
    </row>
    <row r="287" spans="1:49" s="2" customFormat="1" ht="12.75" customHeight="1">
      <c r="A287" s="285"/>
      <c r="B287" s="98"/>
      <c r="C287" s="2" t="s">
        <v>201</v>
      </c>
      <c r="D287" s="3"/>
      <c r="E287" s="3"/>
      <c r="G287" s="3"/>
      <c r="H287" s="3"/>
      <c r="I287" s="3"/>
      <c r="J287" s="3"/>
      <c r="K287" s="2">
        <v>1</v>
      </c>
      <c r="L287" s="2" t="s">
        <v>34</v>
      </c>
      <c r="M287" s="332">
        <v>2</v>
      </c>
      <c r="N287" s="332"/>
      <c r="O287" s="2" t="s">
        <v>34</v>
      </c>
      <c r="P287" s="332">
        <v>7.8</v>
      </c>
      <c r="Q287" s="332"/>
      <c r="R287" s="2" t="s">
        <v>34</v>
      </c>
      <c r="S287" s="331">
        <v>2</v>
      </c>
      <c r="T287" s="331"/>
      <c r="AQ287" s="120"/>
      <c r="AU287" s="2" t="s">
        <v>4</v>
      </c>
      <c r="AV287" s="91">
        <f>K287*M287*P287*S287</f>
        <v>31.2</v>
      </c>
      <c r="AW287" s="286" t="s">
        <v>22</v>
      </c>
    </row>
    <row r="288" spans="1:49" s="2" customFormat="1" ht="12.75" customHeight="1">
      <c r="A288" s="285"/>
      <c r="B288" s="98"/>
      <c r="C288" s="2" t="s">
        <v>202</v>
      </c>
      <c r="E288" s="3"/>
      <c r="G288" s="3"/>
      <c r="H288" s="3"/>
      <c r="I288" s="3"/>
      <c r="J288" s="3"/>
      <c r="K288" s="2">
        <v>2</v>
      </c>
      <c r="L288" s="2" t="s">
        <v>34</v>
      </c>
      <c r="M288" s="332">
        <v>1</v>
      </c>
      <c r="N288" s="332"/>
      <c r="O288" s="2" t="s">
        <v>34</v>
      </c>
      <c r="P288" s="332">
        <v>1.3</v>
      </c>
      <c r="Q288" s="332"/>
      <c r="R288" s="2" t="s">
        <v>34</v>
      </c>
      <c r="S288" s="331">
        <v>1.5</v>
      </c>
      <c r="T288" s="331"/>
      <c r="AQ288" s="120"/>
      <c r="AU288" s="2" t="s">
        <v>4</v>
      </c>
      <c r="AV288" s="91">
        <f>K288*M288*P288*S288</f>
        <v>3.9000000000000004</v>
      </c>
      <c r="AW288" s="286" t="s">
        <v>22</v>
      </c>
    </row>
    <row r="289" spans="1:49" s="2" customFormat="1" ht="12.75" customHeight="1">
      <c r="A289" s="285"/>
      <c r="B289" s="98"/>
      <c r="C289" s="7" t="s">
        <v>203</v>
      </c>
      <c r="D289" s="3"/>
      <c r="E289" s="3"/>
      <c r="G289" s="3"/>
      <c r="H289" s="3"/>
      <c r="I289" s="3"/>
      <c r="J289" s="3"/>
      <c r="N289" s="2">
        <v>4</v>
      </c>
      <c r="O289" s="2" t="s">
        <v>34</v>
      </c>
      <c r="P289" s="332">
        <v>5</v>
      </c>
      <c r="Q289" s="332"/>
      <c r="R289" s="2" t="s">
        <v>34</v>
      </c>
      <c r="S289" s="332">
        <v>2.84</v>
      </c>
      <c r="T289" s="332"/>
      <c r="AQ289" s="120"/>
      <c r="AU289" s="2" t="s">
        <v>4</v>
      </c>
      <c r="AV289" s="91">
        <f>N289*P289*S289</f>
        <v>56.8</v>
      </c>
      <c r="AW289" s="286" t="s">
        <v>22</v>
      </c>
    </row>
    <row r="290" spans="1:49" s="2" customFormat="1" ht="12.75" customHeight="1">
      <c r="A290" s="285"/>
      <c r="B290" s="98"/>
      <c r="C290" s="7"/>
      <c r="D290" s="3"/>
      <c r="E290" s="3"/>
      <c r="G290" s="3"/>
      <c r="H290" s="3"/>
      <c r="I290" s="3"/>
      <c r="J290" s="3"/>
      <c r="N290" s="2">
        <v>4</v>
      </c>
      <c r="O290" s="2" t="s">
        <v>34</v>
      </c>
      <c r="P290" s="332">
        <v>5</v>
      </c>
      <c r="Q290" s="332"/>
      <c r="R290" s="2" t="s">
        <v>34</v>
      </c>
      <c r="S290" s="332">
        <v>2.84</v>
      </c>
      <c r="T290" s="332"/>
      <c r="AQ290" s="120"/>
      <c r="AU290" s="2" t="s">
        <v>4</v>
      </c>
      <c r="AV290" s="91">
        <f>N290*P290*S290</f>
        <v>56.8</v>
      </c>
      <c r="AW290" s="286" t="s">
        <v>22</v>
      </c>
    </row>
    <row r="291" spans="1:49" s="2" customFormat="1" ht="12.75" customHeight="1">
      <c r="A291" s="285"/>
      <c r="B291" s="98"/>
      <c r="C291" s="7"/>
      <c r="D291" s="3"/>
      <c r="E291" s="3"/>
      <c r="G291" s="3"/>
      <c r="H291" s="3"/>
      <c r="I291" s="3"/>
      <c r="J291" s="3"/>
      <c r="N291" s="3">
        <v>2</v>
      </c>
      <c r="O291" s="3" t="s">
        <v>34</v>
      </c>
      <c r="P291" s="351">
        <v>1.21</v>
      </c>
      <c r="Q291" s="351"/>
      <c r="R291" s="3"/>
      <c r="S291" s="347">
        <v>2.84</v>
      </c>
      <c r="T291" s="347"/>
      <c r="AQ291" s="120"/>
      <c r="AU291" s="2" t="s">
        <v>4</v>
      </c>
      <c r="AV291" s="91">
        <f>N291*P291*S291</f>
        <v>6.8727999999999998</v>
      </c>
      <c r="AW291" s="286" t="s">
        <v>22</v>
      </c>
    </row>
    <row r="292" spans="1:49" s="2" customFormat="1" ht="9" customHeight="1">
      <c r="A292" s="285"/>
      <c r="B292" s="98"/>
      <c r="C292" s="7"/>
      <c r="D292" s="3"/>
      <c r="E292" s="3"/>
      <c r="G292" s="3"/>
      <c r="H292" s="3"/>
      <c r="I292" s="3"/>
      <c r="J292" s="3"/>
      <c r="N292" s="3"/>
      <c r="O292" s="3"/>
      <c r="P292" s="351"/>
      <c r="Q292" s="351"/>
      <c r="R292" s="3"/>
      <c r="S292" s="347"/>
      <c r="T292" s="347"/>
      <c r="AQ292" s="120"/>
      <c r="AV292" s="91"/>
      <c r="AW292" s="286"/>
    </row>
    <row r="293" spans="1:49" ht="12.75" thickBot="1">
      <c r="A293" s="289"/>
      <c r="B293" s="290"/>
      <c r="C293" s="291"/>
      <c r="D293" s="291"/>
      <c r="E293" s="291"/>
      <c r="F293" s="291"/>
      <c r="G293" s="291"/>
      <c r="H293" s="291"/>
      <c r="I293" s="291"/>
      <c r="J293" s="291"/>
      <c r="K293" s="291"/>
      <c r="L293" s="291"/>
      <c r="M293" s="291"/>
      <c r="N293" s="291"/>
      <c r="O293" s="291"/>
      <c r="P293" s="291"/>
      <c r="Q293" s="291"/>
      <c r="R293" s="291"/>
      <c r="S293" s="291"/>
      <c r="T293" s="291"/>
      <c r="U293" s="291"/>
      <c r="V293" s="291"/>
      <c r="W293" s="291"/>
      <c r="X293" s="291"/>
      <c r="Y293" s="291"/>
      <c r="Z293" s="291"/>
      <c r="AA293" s="291"/>
      <c r="AB293" s="291"/>
      <c r="AC293" s="291"/>
      <c r="AD293" s="291"/>
      <c r="AE293" s="291"/>
      <c r="AF293" s="291"/>
      <c r="AG293" s="291"/>
      <c r="AH293" s="291"/>
      <c r="AI293" s="291"/>
      <c r="AJ293" s="291"/>
      <c r="AK293" s="291"/>
      <c r="AL293" s="291"/>
      <c r="AM293" s="292"/>
      <c r="AN293" s="340" t="s">
        <v>9</v>
      </c>
      <c r="AO293" s="340"/>
      <c r="AP293" s="340"/>
      <c r="AQ293" s="340"/>
      <c r="AR293" s="340"/>
      <c r="AS293" s="340"/>
      <c r="AT293" s="340"/>
      <c r="AU293" s="292" t="s">
        <v>4</v>
      </c>
      <c r="AV293" s="296">
        <f>SUM(AV282:AV292)</f>
        <v>350.2328</v>
      </c>
      <c r="AW293" s="293" t="s">
        <v>22</v>
      </c>
    </row>
    <row r="294" spans="1:49" s="2" customFormat="1" ht="49.5" customHeight="1">
      <c r="A294" s="109">
        <v>24</v>
      </c>
      <c r="B294" s="98" t="s">
        <v>136</v>
      </c>
      <c r="C294" s="348" t="s">
        <v>137</v>
      </c>
      <c r="D294" s="349"/>
      <c r="E294" s="349"/>
      <c r="F294" s="349"/>
      <c r="G294" s="349"/>
      <c r="H294" s="349"/>
      <c r="I294" s="349"/>
      <c r="J294" s="349"/>
      <c r="K294" s="349"/>
      <c r="L294" s="349"/>
      <c r="M294" s="349"/>
      <c r="N294" s="349"/>
      <c r="O294" s="349"/>
      <c r="P294" s="349"/>
      <c r="Q294" s="349"/>
      <c r="R294" s="349"/>
      <c r="S294" s="349"/>
      <c r="T294" s="349"/>
      <c r="U294" s="349"/>
      <c r="V294" s="349"/>
      <c r="W294" s="349"/>
      <c r="X294" s="349"/>
      <c r="Y294" s="349"/>
      <c r="Z294" s="349"/>
      <c r="AA294" s="349"/>
      <c r="AB294" s="349"/>
      <c r="AC294" s="349"/>
      <c r="AD294" s="349"/>
      <c r="AE294" s="349"/>
      <c r="AF294" s="349"/>
      <c r="AG294" s="349"/>
      <c r="AH294" s="349"/>
      <c r="AI294" s="349"/>
      <c r="AJ294" s="349"/>
      <c r="AK294" s="349"/>
      <c r="AL294" s="349"/>
      <c r="AM294" s="349"/>
      <c r="AN294" s="349"/>
      <c r="AO294" s="349"/>
      <c r="AP294" s="349"/>
      <c r="AQ294" s="349"/>
      <c r="AR294" s="349"/>
      <c r="AS294" s="349"/>
      <c r="AT294" s="349"/>
      <c r="AU294" s="19"/>
      <c r="AV294" s="91"/>
      <c r="AW294" s="137"/>
    </row>
    <row r="295" spans="1:49" s="2" customFormat="1" ht="11.1" customHeight="1">
      <c r="A295" s="109"/>
      <c r="B295" s="96"/>
      <c r="C295" s="2" t="s">
        <v>252</v>
      </c>
      <c r="X295" s="339">
        <v>2</v>
      </c>
      <c r="Y295" s="339"/>
      <c r="Z295" s="339"/>
      <c r="AA295" s="339"/>
      <c r="AB295" s="339"/>
      <c r="AC295" s="339"/>
      <c r="AE295" s="7"/>
      <c r="AQ295" s="120"/>
      <c r="AV295" s="91"/>
      <c r="AW295" s="137"/>
    </row>
    <row r="296" spans="1:49" s="2" customFormat="1" ht="11.1" customHeight="1">
      <c r="A296" s="109"/>
      <c r="B296" s="96"/>
      <c r="AH296" s="331">
        <v>13</v>
      </c>
      <c r="AI296" s="331"/>
      <c r="AJ296" s="331"/>
      <c r="AQ296" s="120"/>
      <c r="AV296" s="91"/>
      <c r="AW296" s="137"/>
    </row>
    <row r="297" spans="1:49" s="2" customFormat="1" ht="11.1" customHeight="1">
      <c r="A297" s="109"/>
      <c r="B297" s="96"/>
      <c r="AQ297" s="120"/>
      <c r="AV297" s="91"/>
      <c r="AW297" s="137"/>
    </row>
    <row r="298" spans="1:49" s="2" customFormat="1" ht="11.1" customHeight="1">
      <c r="A298" s="109"/>
      <c r="B298" s="96"/>
      <c r="M298" s="88"/>
      <c r="O298" s="89"/>
      <c r="S298" s="14"/>
      <c r="T298" s="14"/>
      <c r="U298" s="22" t="s">
        <v>138</v>
      </c>
      <c r="V298" s="90">
        <v>2</v>
      </c>
      <c r="W298" s="22"/>
      <c r="AQ298" s="120"/>
      <c r="AV298" s="91"/>
      <c r="AW298" s="137"/>
    </row>
    <row r="299" spans="1:49" s="2" customFormat="1" ht="11.1" customHeight="1">
      <c r="A299" s="109"/>
      <c r="B299" s="96"/>
      <c r="M299" s="88"/>
      <c r="S299" s="14"/>
      <c r="T299" s="14"/>
      <c r="V299" s="88"/>
      <c r="X299" s="89"/>
      <c r="Z299" s="353">
        <f>X295+(AH296-AH299)*V298*2</f>
        <v>12</v>
      </c>
      <c r="AA299" s="353"/>
      <c r="AB299" s="353"/>
      <c r="AC299" s="14"/>
      <c r="AH299" s="331">
        <v>10.5</v>
      </c>
      <c r="AI299" s="331"/>
      <c r="AJ299" s="331"/>
      <c r="AQ299" s="120"/>
      <c r="AV299" s="91"/>
      <c r="AW299" s="137"/>
    </row>
    <row r="300" spans="1:49" ht="14.25" customHeight="1">
      <c r="A300" s="109"/>
      <c r="B300" s="96"/>
      <c r="C300" s="2"/>
      <c r="D300" s="2"/>
      <c r="E300" s="2"/>
      <c r="F300" s="2"/>
      <c r="G300" s="2"/>
      <c r="H300" s="2"/>
      <c r="I300" s="2"/>
      <c r="J300" s="2"/>
      <c r="K300" s="2"/>
      <c r="L300" s="2"/>
      <c r="M300" s="2"/>
      <c r="N300" s="2"/>
      <c r="O300" s="2" t="s">
        <v>30</v>
      </c>
      <c r="P300" s="2"/>
      <c r="Q300" s="2"/>
      <c r="R300" s="2"/>
      <c r="S300" s="2" t="s">
        <v>31</v>
      </c>
      <c r="T300" s="2"/>
      <c r="U300" s="2"/>
      <c r="V300" s="2"/>
      <c r="W300" s="2" t="s">
        <v>50</v>
      </c>
      <c r="X300" s="2"/>
      <c r="Y300" s="2"/>
      <c r="Z300" s="2"/>
      <c r="AA300" s="2"/>
      <c r="AB300" s="2"/>
      <c r="AC300" s="23"/>
      <c r="AD300" s="2" t="s">
        <v>32</v>
      </c>
      <c r="AE300" s="2"/>
      <c r="AF300" s="2"/>
      <c r="AG300" s="23"/>
      <c r="AH300" s="23" t="s">
        <v>33</v>
      </c>
      <c r="AI300" s="23"/>
      <c r="AJ300" s="183"/>
      <c r="AK300" s="183"/>
      <c r="AL300" s="183"/>
      <c r="AM300" s="2"/>
      <c r="AN300" s="2"/>
      <c r="AO300" s="2"/>
      <c r="AP300" s="2"/>
      <c r="AQ300" s="120"/>
      <c r="AR300" s="2"/>
      <c r="AS300" s="2"/>
      <c r="AT300" s="2"/>
      <c r="AU300" s="2"/>
      <c r="AV300" s="91"/>
      <c r="AW300" s="137"/>
    </row>
    <row r="301" spans="1:49" ht="13.5" customHeight="1">
      <c r="A301" s="109"/>
      <c r="B301" s="96"/>
      <c r="C301" s="350" t="s">
        <v>183</v>
      </c>
      <c r="D301" s="333"/>
      <c r="E301" s="333"/>
      <c r="F301" s="333"/>
      <c r="G301" s="333"/>
      <c r="H301" s="333"/>
      <c r="I301" s="333"/>
      <c r="J301" s="333"/>
      <c r="K301" s="333"/>
      <c r="L301" s="333"/>
      <c r="M301" s="1"/>
      <c r="N301" s="2"/>
      <c r="O301" s="339">
        <f>X295</f>
        <v>2</v>
      </c>
      <c r="P301" s="339"/>
      <c r="Q301" s="91"/>
      <c r="R301" s="91"/>
      <c r="S301" s="339">
        <f>Z299</f>
        <v>12</v>
      </c>
      <c r="T301" s="339"/>
      <c r="U301" s="339"/>
      <c r="V301" s="91"/>
      <c r="W301" s="339">
        <f>(O301+S301)/2</f>
        <v>7</v>
      </c>
      <c r="X301" s="339"/>
      <c r="Y301" s="339"/>
      <c r="Z301" s="339"/>
      <c r="AA301" s="91"/>
      <c r="AB301" s="91"/>
      <c r="AC301" s="91"/>
      <c r="AD301" s="339">
        <f>AH296-AH299</f>
        <v>2.5</v>
      </c>
      <c r="AE301" s="339"/>
      <c r="AF301" s="339"/>
      <c r="AG301" s="92"/>
      <c r="AH301" s="352">
        <v>40</v>
      </c>
      <c r="AI301" s="352"/>
      <c r="AJ301" s="352"/>
      <c r="AK301" s="183"/>
      <c r="AL301" s="183"/>
      <c r="AM301" s="2"/>
      <c r="AN301" s="2"/>
      <c r="AO301" s="2"/>
      <c r="AP301" s="2"/>
      <c r="AQ301" s="120"/>
      <c r="AR301" s="2"/>
      <c r="AS301" s="2"/>
      <c r="AT301" s="2"/>
      <c r="AU301" s="2" t="s">
        <v>4</v>
      </c>
      <c r="AV301" s="92">
        <f>W301*AD301*AH301</f>
        <v>700</v>
      </c>
      <c r="AW301" s="137" t="s">
        <v>24</v>
      </c>
    </row>
    <row r="302" spans="1:49" ht="13.5" customHeight="1">
      <c r="A302" s="109"/>
      <c r="B302" s="96"/>
      <c r="C302" s="350" t="s">
        <v>184</v>
      </c>
      <c r="D302" s="333"/>
      <c r="E302" s="333"/>
      <c r="F302" s="333"/>
      <c r="G302" s="333"/>
      <c r="H302" s="333"/>
      <c r="I302" s="333"/>
      <c r="J302" s="333"/>
      <c r="K302" s="333"/>
      <c r="L302" s="333"/>
      <c r="M302" s="1"/>
      <c r="N302" s="2"/>
      <c r="O302" s="339">
        <f>X295</f>
        <v>2</v>
      </c>
      <c r="P302" s="339"/>
      <c r="Q302" s="91"/>
      <c r="R302" s="91"/>
      <c r="S302" s="339">
        <f>Z299</f>
        <v>12</v>
      </c>
      <c r="T302" s="339"/>
      <c r="U302" s="339"/>
      <c r="V302" s="91"/>
      <c r="W302" s="339">
        <f>(O302+S302)/2</f>
        <v>7</v>
      </c>
      <c r="X302" s="339"/>
      <c r="Y302" s="339"/>
      <c r="Z302" s="339"/>
      <c r="AA302" s="91"/>
      <c r="AB302" s="91"/>
      <c r="AC302" s="91"/>
      <c r="AD302" s="339">
        <v>2</v>
      </c>
      <c r="AE302" s="339"/>
      <c r="AF302" s="339"/>
      <c r="AG302" s="92"/>
      <c r="AH302" s="352">
        <v>35</v>
      </c>
      <c r="AI302" s="352"/>
      <c r="AJ302" s="352"/>
      <c r="AK302" s="183"/>
      <c r="AL302" s="183"/>
      <c r="AM302" s="2"/>
      <c r="AN302" s="2"/>
      <c r="AO302" s="2"/>
      <c r="AP302" s="2"/>
      <c r="AQ302" s="120"/>
      <c r="AR302" s="2"/>
      <c r="AS302" s="2"/>
      <c r="AT302" s="2"/>
      <c r="AU302" s="2" t="s">
        <v>4</v>
      </c>
      <c r="AV302" s="92">
        <f>W302*AD302*AH302</f>
        <v>490</v>
      </c>
      <c r="AW302" s="137" t="s">
        <v>24</v>
      </c>
    </row>
    <row r="303" spans="1:49" ht="13.5" customHeight="1">
      <c r="A303" s="109"/>
      <c r="B303" s="96"/>
      <c r="C303" s="350" t="s">
        <v>148</v>
      </c>
      <c r="D303" s="333"/>
      <c r="E303" s="333"/>
      <c r="F303" s="333"/>
      <c r="G303" s="333"/>
      <c r="H303" s="333"/>
      <c r="I303" s="333"/>
      <c r="J303" s="333"/>
      <c r="K303" s="333"/>
      <c r="L303" s="333"/>
      <c r="M303" s="1"/>
      <c r="N303" s="2"/>
      <c r="O303" s="339">
        <f>X295</f>
        <v>2</v>
      </c>
      <c r="P303" s="339"/>
      <c r="Q303" s="91"/>
      <c r="R303" s="91"/>
      <c r="S303" s="339">
        <f>Z299</f>
        <v>12</v>
      </c>
      <c r="T303" s="339"/>
      <c r="U303" s="339"/>
      <c r="V303" s="91"/>
      <c r="W303" s="339">
        <f>(O303+S303)/2</f>
        <v>7</v>
      </c>
      <c r="X303" s="339"/>
      <c r="Y303" s="339"/>
      <c r="Z303" s="339"/>
      <c r="AA303" s="91"/>
      <c r="AB303" s="91"/>
      <c r="AC303" s="91"/>
      <c r="AD303" s="339">
        <f>AH296-AH299</f>
        <v>2.5</v>
      </c>
      <c r="AE303" s="339"/>
      <c r="AF303" s="339"/>
      <c r="AG303" s="92"/>
      <c r="AH303" s="352">
        <v>35</v>
      </c>
      <c r="AI303" s="352"/>
      <c r="AJ303" s="352"/>
      <c r="AK303" s="183"/>
      <c r="AL303" s="183"/>
      <c r="AM303" s="2"/>
      <c r="AN303" s="2"/>
      <c r="AO303" s="2"/>
      <c r="AP303" s="2"/>
      <c r="AQ303" s="120"/>
      <c r="AR303" s="2"/>
      <c r="AS303" s="2"/>
      <c r="AT303" s="2"/>
      <c r="AU303" s="2" t="s">
        <v>4</v>
      </c>
      <c r="AV303" s="92">
        <f>W303*AD303*AH303</f>
        <v>612.5</v>
      </c>
      <c r="AW303" s="137" t="s">
        <v>24</v>
      </c>
    </row>
    <row r="304" spans="1:49">
      <c r="A304" s="109"/>
      <c r="B304" s="96"/>
      <c r="C304" s="2"/>
      <c r="D304" s="2"/>
      <c r="E304" s="2"/>
      <c r="F304" s="2"/>
      <c r="G304" s="2"/>
      <c r="H304" s="2"/>
      <c r="I304" s="2"/>
      <c r="J304" s="2"/>
      <c r="K304" s="2"/>
      <c r="L304" s="2"/>
      <c r="M304" s="2"/>
      <c r="N304" s="2"/>
      <c r="O304" s="91"/>
      <c r="P304" s="91"/>
      <c r="Q304" s="91"/>
      <c r="R304" s="91"/>
      <c r="S304" s="91"/>
      <c r="T304" s="91"/>
      <c r="U304" s="91"/>
      <c r="V304" s="91"/>
      <c r="W304" s="91"/>
      <c r="X304" s="91"/>
      <c r="Y304" s="91"/>
      <c r="Z304" s="91"/>
      <c r="AA304" s="91"/>
      <c r="AB304" s="91"/>
      <c r="AC304" s="91"/>
      <c r="AD304" s="91"/>
      <c r="AE304" s="91"/>
      <c r="AF304" s="91"/>
      <c r="AG304" s="91"/>
      <c r="AH304" s="117"/>
      <c r="AI304" s="117"/>
      <c r="AJ304" s="117"/>
      <c r="AK304" s="117"/>
      <c r="AL304" s="117"/>
      <c r="AM304" s="334" t="s">
        <v>194</v>
      </c>
      <c r="AN304" s="334"/>
      <c r="AO304" s="334"/>
      <c r="AP304" s="334"/>
      <c r="AQ304" s="334"/>
      <c r="AR304" s="334"/>
      <c r="AS304" s="334"/>
      <c r="AT304" s="334"/>
      <c r="AU304" s="21" t="s">
        <v>4</v>
      </c>
      <c r="AV304" s="126">
        <f>SUM(AV301:AV303)</f>
        <v>1802.5</v>
      </c>
      <c r="AW304" s="155" t="s">
        <v>24</v>
      </c>
    </row>
    <row r="305" spans="1:256" s="2" customFormat="1" ht="24.75" customHeight="1">
      <c r="A305" s="382">
        <v>25</v>
      </c>
      <c r="B305" s="95" t="s">
        <v>139</v>
      </c>
      <c r="C305" s="360" t="s">
        <v>140</v>
      </c>
      <c r="D305" s="361"/>
      <c r="E305" s="361"/>
      <c r="F305" s="361"/>
      <c r="G305" s="361"/>
      <c r="H305" s="361"/>
      <c r="I305" s="361"/>
      <c r="J305" s="361"/>
      <c r="K305" s="361"/>
      <c r="L305" s="361"/>
      <c r="M305" s="361"/>
      <c r="N305" s="361"/>
      <c r="O305" s="361"/>
      <c r="P305" s="361"/>
      <c r="Q305" s="361"/>
      <c r="R305" s="361"/>
      <c r="S305" s="361"/>
      <c r="T305" s="361"/>
      <c r="U305" s="361"/>
      <c r="V305" s="361"/>
      <c r="W305" s="361"/>
      <c r="X305" s="361"/>
      <c r="Y305" s="361"/>
      <c r="Z305" s="361"/>
      <c r="AA305" s="361"/>
      <c r="AB305" s="361"/>
      <c r="AC305" s="361"/>
      <c r="AD305" s="361"/>
      <c r="AE305" s="361"/>
      <c r="AF305" s="361"/>
      <c r="AG305" s="361"/>
      <c r="AH305" s="361"/>
      <c r="AI305" s="361"/>
      <c r="AJ305" s="361"/>
      <c r="AK305" s="361"/>
      <c r="AL305" s="361"/>
      <c r="AM305" s="361"/>
      <c r="AN305" s="361"/>
      <c r="AO305" s="361"/>
      <c r="AP305" s="361"/>
      <c r="AQ305" s="361"/>
      <c r="AR305" s="361"/>
      <c r="AS305" s="361"/>
      <c r="AT305" s="361"/>
      <c r="AV305" s="91"/>
      <c r="AW305" s="137"/>
    </row>
    <row r="306" spans="1:256" s="2" customFormat="1" ht="10.5" customHeight="1">
      <c r="A306" s="383"/>
      <c r="B306" s="98"/>
      <c r="C306" s="3"/>
      <c r="D306" s="3"/>
      <c r="E306" s="3"/>
      <c r="G306" s="3"/>
      <c r="H306" s="3"/>
      <c r="I306" s="3"/>
      <c r="J306" s="332" t="s">
        <v>243</v>
      </c>
      <c r="K306" s="332"/>
      <c r="L306" s="332"/>
      <c r="M306" s="332"/>
      <c r="N306" s="332"/>
      <c r="O306" s="332"/>
      <c r="P306" s="332"/>
      <c r="Q306" s="332"/>
      <c r="R306" s="332"/>
      <c r="S306" s="332"/>
      <c r="T306" s="3"/>
      <c r="U306" s="3"/>
      <c r="V306" s="3"/>
      <c r="W306" s="3"/>
      <c r="X306" s="3"/>
      <c r="Y306" s="3"/>
      <c r="Z306" s="3"/>
      <c r="AQ306" s="120"/>
      <c r="AV306" s="91"/>
      <c r="AW306" s="137"/>
    </row>
    <row r="307" spans="1:256" s="2" customFormat="1" ht="12.75" customHeight="1">
      <c r="A307" s="383"/>
      <c r="B307" s="96"/>
      <c r="C307" s="7"/>
      <c r="AM307" s="21"/>
      <c r="AN307" s="21"/>
      <c r="AO307" s="21"/>
      <c r="AP307" s="21"/>
      <c r="AQ307" s="119"/>
      <c r="AR307" s="21"/>
      <c r="AS307" s="9" t="s">
        <v>9</v>
      </c>
      <c r="AT307" s="9"/>
      <c r="AU307" s="9" t="s">
        <v>4</v>
      </c>
      <c r="AV307" s="134">
        <f>AV304</f>
        <v>1802.5</v>
      </c>
      <c r="AW307" s="155" t="s">
        <v>24</v>
      </c>
    </row>
    <row r="308" spans="1:256" s="2" customFormat="1" ht="27" customHeight="1">
      <c r="A308" s="93">
        <v>26</v>
      </c>
      <c r="B308" s="102" t="s">
        <v>232</v>
      </c>
      <c r="C308" s="360" t="s">
        <v>231</v>
      </c>
      <c r="D308" s="361"/>
      <c r="E308" s="361"/>
      <c r="F308" s="361"/>
      <c r="G308" s="361"/>
      <c r="H308" s="361"/>
      <c r="I308" s="361"/>
      <c r="J308" s="361"/>
      <c r="K308" s="361"/>
      <c r="L308" s="361"/>
      <c r="M308" s="361"/>
      <c r="N308" s="361"/>
      <c r="O308" s="361"/>
      <c r="P308" s="361"/>
      <c r="Q308" s="361"/>
      <c r="R308" s="361"/>
      <c r="S308" s="361"/>
      <c r="T308" s="361"/>
      <c r="U308" s="361"/>
      <c r="V308" s="361"/>
      <c r="W308" s="361"/>
      <c r="X308" s="361"/>
      <c r="Y308" s="361"/>
      <c r="Z308" s="361"/>
      <c r="AA308" s="361"/>
      <c r="AB308" s="361"/>
      <c r="AC308" s="361"/>
      <c r="AD308" s="361"/>
      <c r="AE308" s="361"/>
      <c r="AF308" s="361"/>
      <c r="AG308" s="361"/>
      <c r="AH308" s="361"/>
      <c r="AI308" s="361"/>
      <c r="AJ308" s="361"/>
      <c r="AK308" s="361"/>
      <c r="AL308" s="361"/>
      <c r="AM308" s="361"/>
      <c r="AN308" s="361"/>
      <c r="AO308" s="361"/>
      <c r="AP308" s="361"/>
      <c r="AQ308" s="361"/>
      <c r="AR308" s="361"/>
      <c r="AS308" s="361"/>
      <c r="AT308" s="361"/>
      <c r="AU308" s="24"/>
      <c r="AV308" s="135"/>
      <c r="AW308" s="159"/>
      <c r="AX308" s="25"/>
      <c r="AY308" s="25"/>
      <c r="AZ308" s="25"/>
      <c r="BA308" s="25"/>
      <c r="BB308" s="25"/>
      <c r="BC308" s="25"/>
      <c r="BD308" s="25"/>
      <c r="BE308" s="25"/>
      <c r="BF308" s="25"/>
      <c r="BG308" s="7"/>
      <c r="BH308" s="7"/>
      <c r="BI308" s="7"/>
      <c r="BJ308" s="7"/>
      <c r="BK308" s="7"/>
      <c r="BL308" s="7"/>
      <c r="BM308" s="7"/>
      <c r="BN308" s="370"/>
      <c r="BO308" s="370"/>
      <c r="BP308" s="370"/>
      <c r="BQ308" s="370"/>
      <c r="BR308" s="370"/>
      <c r="BS308" s="370"/>
      <c r="BT308" s="370"/>
      <c r="BU308" s="370"/>
      <c r="BV308" s="370"/>
      <c r="BW308" s="370"/>
      <c r="BX308" s="370"/>
      <c r="BY308" s="370"/>
      <c r="BZ308" s="370"/>
      <c r="CA308" s="370"/>
      <c r="CB308" s="370"/>
      <c r="CC308" s="370"/>
      <c r="CD308" s="370"/>
      <c r="CE308" s="370"/>
      <c r="CF308" s="370"/>
      <c r="CG308" s="370"/>
      <c r="CH308" s="370"/>
      <c r="CI308" s="370"/>
      <c r="CJ308" s="370"/>
      <c r="CK308" s="370"/>
      <c r="CL308" s="370"/>
      <c r="CM308" s="7"/>
      <c r="CN308" s="7"/>
      <c r="CO308" s="7"/>
      <c r="CP308" s="7"/>
      <c r="CQ308" s="7"/>
      <c r="CR308" s="7"/>
      <c r="CS308" s="7"/>
      <c r="CT308" s="370"/>
      <c r="CU308" s="370"/>
      <c r="CV308" s="370"/>
      <c r="CW308" s="370"/>
      <c r="CX308" s="370"/>
      <c r="CY308" s="370"/>
      <c r="CZ308" s="370"/>
      <c r="DA308" s="370"/>
      <c r="DB308" s="370"/>
      <c r="DC308" s="370"/>
      <c r="DD308" s="370"/>
      <c r="DE308" s="370"/>
      <c r="DF308" s="370"/>
      <c r="DG308" s="370"/>
      <c r="DH308" s="370"/>
      <c r="DI308" s="370"/>
      <c r="DJ308" s="370"/>
      <c r="DK308" s="370"/>
      <c r="DL308" s="370"/>
      <c r="DM308" s="370"/>
      <c r="DN308" s="370"/>
      <c r="DO308" s="370"/>
      <c r="DP308" s="370"/>
      <c r="DQ308" s="370"/>
      <c r="DR308" s="370"/>
      <c r="DS308" s="7"/>
      <c r="DT308" s="7"/>
      <c r="DU308" s="7"/>
      <c r="DV308" s="7"/>
      <c r="DW308" s="7"/>
      <c r="DX308" s="7"/>
      <c r="DY308" s="7"/>
      <c r="DZ308" s="370"/>
      <c r="EA308" s="370"/>
      <c r="EB308" s="370"/>
      <c r="EC308" s="370"/>
      <c r="ED308" s="370"/>
      <c r="EE308" s="370"/>
      <c r="EF308" s="370"/>
      <c r="EG308" s="370"/>
      <c r="EH308" s="370"/>
      <c r="EI308" s="370"/>
      <c r="EJ308" s="370"/>
      <c r="EK308" s="370"/>
      <c r="EL308" s="370"/>
      <c r="EM308" s="370"/>
      <c r="EN308" s="370"/>
      <c r="EO308" s="370"/>
      <c r="EP308" s="370"/>
      <c r="EQ308" s="370"/>
      <c r="ER308" s="370"/>
      <c r="ES308" s="370"/>
      <c r="ET308" s="370"/>
      <c r="EU308" s="370"/>
      <c r="EV308" s="370"/>
      <c r="EW308" s="370"/>
      <c r="EX308" s="370"/>
      <c r="EY308" s="7"/>
      <c r="EZ308" s="7"/>
      <c r="FA308" s="7"/>
      <c r="FB308" s="7"/>
      <c r="FC308" s="7"/>
      <c r="FD308" s="7"/>
      <c r="FE308" s="7"/>
      <c r="FF308" s="370"/>
      <c r="FG308" s="370"/>
      <c r="FH308" s="370"/>
      <c r="FI308" s="370"/>
      <c r="FJ308" s="370"/>
      <c r="FK308" s="370"/>
      <c r="FL308" s="370"/>
      <c r="FM308" s="370"/>
      <c r="FN308" s="370"/>
      <c r="FO308" s="370"/>
      <c r="FP308" s="370"/>
      <c r="FQ308" s="370"/>
      <c r="FR308" s="370"/>
      <c r="FS308" s="370"/>
      <c r="FT308" s="370"/>
      <c r="FU308" s="370"/>
      <c r="FV308" s="370"/>
      <c r="FW308" s="370"/>
      <c r="FX308" s="370"/>
      <c r="FY308" s="370"/>
      <c r="FZ308" s="370"/>
      <c r="GA308" s="370"/>
      <c r="GB308" s="370"/>
      <c r="GC308" s="370"/>
      <c r="GD308" s="370"/>
      <c r="GE308" s="7"/>
      <c r="GF308" s="7"/>
      <c r="GG308" s="7"/>
      <c r="GH308" s="7"/>
      <c r="GI308" s="7"/>
      <c r="GJ308" s="7"/>
      <c r="GK308" s="7"/>
      <c r="GL308" s="370"/>
      <c r="GM308" s="370"/>
      <c r="GN308" s="370"/>
      <c r="GO308" s="370"/>
      <c r="GP308" s="370"/>
      <c r="GQ308" s="370"/>
      <c r="GR308" s="370"/>
      <c r="GS308" s="370"/>
      <c r="GT308" s="370"/>
      <c r="GU308" s="370"/>
      <c r="GV308" s="370"/>
      <c r="GW308" s="370"/>
      <c r="GX308" s="370"/>
      <c r="GY308" s="370"/>
      <c r="GZ308" s="370"/>
      <c r="HA308" s="370"/>
      <c r="HB308" s="370"/>
      <c r="HC308" s="370"/>
      <c r="HD308" s="370"/>
      <c r="HE308" s="370"/>
      <c r="HF308" s="370"/>
      <c r="HG308" s="370"/>
      <c r="HH308" s="370"/>
      <c r="HI308" s="370"/>
      <c r="HJ308" s="370"/>
      <c r="HK308" s="7"/>
      <c r="HL308" s="7"/>
      <c r="HM308" s="7"/>
      <c r="HN308" s="7"/>
      <c r="HO308" s="7"/>
      <c r="HP308" s="7"/>
      <c r="HQ308" s="7"/>
      <c r="HR308" s="370"/>
      <c r="HS308" s="370"/>
      <c r="HT308" s="370"/>
      <c r="HU308" s="370"/>
      <c r="HV308" s="370"/>
      <c r="HW308" s="370"/>
      <c r="HX308" s="370"/>
      <c r="HY308" s="370"/>
      <c r="HZ308" s="370"/>
      <c r="IA308" s="370"/>
      <c r="IB308" s="370"/>
      <c r="IC308" s="370"/>
      <c r="ID308" s="370"/>
      <c r="IE308" s="370"/>
      <c r="IF308" s="370"/>
      <c r="IG308" s="370"/>
      <c r="IH308" s="370"/>
      <c r="II308" s="370"/>
      <c r="IJ308" s="370"/>
      <c r="IK308" s="370"/>
      <c r="IL308" s="370"/>
      <c r="IM308" s="370"/>
      <c r="IN308" s="370"/>
      <c r="IO308" s="370"/>
      <c r="IP308" s="370"/>
      <c r="IQ308" s="7"/>
      <c r="IR308" s="7"/>
      <c r="IS308" s="7"/>
      <c r="IT308" s="7"/>
      <c r="IU308" s="7"/>
      <c r="IV308" s="7"/>
    </row>
    <row r="309" spans="1:256" ht="10.5" customHeight="1">
      <c r="A309" s="98"/>
      <c r="B309" s="104"/>
      <c r="C309" s="4"/>
      <c r="D309" s="3"/>
      <c r="E309" s="332" t="s">
        <v>176</v>
      </c>
      <c r="F309" s="332"/>
      <c r="G309" s="332"/>
      <c r="H309" s="332"/>
      <c r="I309" s="332"/>
      <c r="J309" s="332"/>
      <c r="K309" s="332"/>
      <c r="L309" s="332"/>
      <c r="M309" s="332"/>
      <c r="N309" s="332"/>
      <c r="O309" s="332"/>
      <c r="P309" s="332"/>
      <c r="Q309" s="33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120"/>
      <c r="AR309" s="2"/>
      <c r="AS309" s="2"/>
      <c r="AT309" s="2"/>
      <c r="AU309" s="2"/>
      <c r="AV309" s="91"/>
      <c r="AW309" s="137"/>
    </row>
    <row r="310" spans="1:256" ht="10.5" customHeight="1">
      <c r="A310" s="98"/>
      <c r="B310" s="104"/>
      <c r="C310" s="4"/>
      <c r="D310" s="3"/>
      <c r="E310" s="2"/>
      <c r="F310" s="2"/>
      <c r="G310" s="2"/>
      <c r="H310" s="2"/>
      <c r="I310" s="2"/>
      <c r="J310" s="2"/>
      <c r="K310" s="2"/>
      <c r="L310" s="2"/>
      <c r="M310" s="2"/>
      <c r="N310" s="335"/>
      <c r="O310" s="335"/>
      <c r="P310" s="2"/>
      <c r="Q310" s="2"/>
      <c r="R310" s="2"/>
      <c r="S310" s="331">
        <v>5</v>
      </c>
      <c r="T310" s="331"/>
      <c r="U310" s="2"/>
      <c r="V310" s="332">
        <v>3.4750000000000001</v>
      </c>
      <c r="W310" s="332"/>
      <c r="X310" s="2"/>
      <c r="Y310" s="2"/>
      <c r="Z310" s="356">
        <v>9.6999999999999993</v>
      </c>
      <c r="AA310" s="356"/>
      <c r="AB310" s="17" t="s">
        <v>21</v>
      </c>
      <c r="AC310" s="18">
        <v>2.7</v>
      </c>
      <c r="AD310" s="17"/>
      <c r="AE310" s="331"/>
      <c r="AF310" s="331"/>
      <c r="AG310" s="2"/>
      <c r="AH310" s="2"/>
      <c r="AI310" s="2" t="s">
        <v>4</v>
      </c>
      <c r="AJ310" s="332">
        <f>S310*V310*((Z310+AC310)/AB311)</f>
        <v>107.72499999999999</v>
      </c>
      <c r="AK310" s="332"/>
      <c r="AL310" s="332"/>
      <c r="AM310" s="2" t="s">
        <v>24</v>
      </c>
      <c r="AN310" s="2"/>
      <c r="AO310" s="2"/>
      <c r="AP310" s="2"/>
      <c r="AQ310" s="120"/>
      <c r="AR310" s="2"/>
      <c r="AS310" s="2"/>
      <c r="AT310" s="2"/>
      <c r="AU310" s="2"/>
      <c r="AV310" s="91"/>
      <c r="AW310" s="137"/>
    </row>
    <row r="311" spans="1:256" ht="12" customHeight="1">
      <c r="A311" s="98"/>
      <c r="B311" s="104"/>
      <c r="C311" s="4"/>
      <c r="D311" s="3"/>
      <c r="E311" s="2"/>
      <c r="F311" s="2"/>
      <c r="G311" s="2"/>
      <c r="H311" s="2"/>
      <c r="I311" s="2"/>
      <c r="J311" s="2"/>
      <c r="K311" s="2"/>
      <c r="L311" s="2"/>
      <c r="M311" s="2"/>
      <c r="N311" s="377" t="s">
        <v>291</v>
      </c>
      <c r="O311" s="377"/>
      <c r="P311" s="377"/>
      <c r="Q311" s="377"/>
      <c r="R311" s="377"/>
      <c r="S311" s="377"/>
      <c r="T311" s="377"/>
      <c r="U311" s="377"/>
      <c r="V311" s="377"/>
      <c r="W311" s="377"/>
      <c r="X311" s="2"/>
      <c r="Y311" s="2"/>
      <c r="Z311" s="2"/>
      <c r="AA311" s="2"/>
      <c r="AB311" s="2">
        <v>2</v>
      </c>
      <c r="AC311" s="2"/>
      <c r="AD311" s="2"/>
      <c r="AE311" s="2"/>
      <c r="AF311" s="2"/>
      <c r="AG311" s="2"/>
      <c r="AH311" s="2"/>
      <c r="AI311" s="2" t="s">
        <v>4</v>
      </c>
      <c r="AJ311" s="332">
        <f>AJ310*0.85</f>
        <v>91.566249999999997</v>
      </c>
      <c r="AK311" s="332"/>
      <c r="AL311" s="332"/>
      <c r="AM311" s="2" t="s">
        <v>24</v>
      </c>
      <c r="AN311" s="2"/>
      <c r="AO311" s="2"/>
      <c r="AP311" s="2"/>
      <c r="AQ311" s="120"/>
      <c r="AR311" s="2"/>
      <c r="AS311" s="2"/>
      <c r="AT311" s="2"/>
      <c r="AU311" s="2"/>
      <c r="AV311" s="91"/>
      <c r="AW311" s="137"/>
    </row>
    <row r="312" spans="1:256" s="2" customFormat="1">
      <c r="A312" s="97"/>
      <c r="B312" s="97"/>
      <c r="C312" s="6"/>
      <c r="D312" s="17"/>
      <c r="E312" s="17"/>
      <c r="F312" s="17"/>
      <c r="G312" s="17"/>
      <c r="H312" s="17"/>
      <c r="I312" s="17"/>
      <c r="J312" s="17"/>
      <c r="K312" s="17"/>
      <c r="L312" s="17"/>
      <c r="M312" s="17"/>
      <c r="X312" s="6"/>
      <c r="Y312" s="6"/>
      <c r="Z312" s="6"/>
      <c r="AA312" s="6"/>
      <c r="AB312" s="6"/>
      <c r="AC312" s="6"/>
      <c r="AD312" s="6"/>
      <c r="AE312" s="80"/>
      <c r="AF312" s="17"/>
      <c r="AG312" s="17"/>
      <c r="AH312" s="6"/>
      <c r="AI312" s="6"/>
      <c r="AJ312" s="6"/>
      <c r="AK312" s="17"/>
      <c r="AL312" s="17"/>
      <c r="AM312" s="334" t="s">
        <v>194</v>
      </c>
      <c r="AN312" s="334"/>
      <c r="AO312" s="334"/>
      <c r="AP312" s="334"/>
      <c r="AQ312" s="334"/>
      <c r="AR312" s="334"/>
      <c r="AS312" s="334"/>
      <c r="AT312" s="334"/>
      <c r="AU312" s="21" t="s">
        <v>4</v>
      </c>
      <c r="AV312" s="136">
        <f>AJ311</f>
        <v>91.566249999999997</v>
      </c>
      <c r="AW312" s="155" t="s">
        <v>24</v>
      </c>
      <c r="AX312" s="7"/>
      <c r="AY312" s="7"/>
      <c r="AZ312" s="7"/>
      <c r="BA312" s="7"/>
      <c r="BB312" s="7"/>
      <c r="BC312" s="7"/>
      <c r="BD312" s="7"/>
      <c r="BE312" s="7"/>
      <c r="BF312" s="7"/>
      <c r="BG312" s="7"/>
      <c r="BH312" s="7"/>
      <c r="BI312" s="7"/>
      <c r="BJ312" s="7"/>
      <c r="BK312" s="30"/>
      <c r="BN312" s="7"/>
      <c r="BO312" s="7"/>
      <c r="BP312" s="7"/>
      <c r="BW312" s="7"/>
      <c r="BX312" s="7"/>
      <c r="BY312" s="7"/>
      <c r="BZ312" s="7"/>
      <c r="CA312" s="7"/>
      <c r="CB312" s="7"/>
      <c r="CC312" s="7"/>
      <c r="CD312" s="7"/>
      <c r="CE312" s="7"/>
      <c r="CF312" s="7"/>
      <c r="CG312" s="7"/>
      <c r="CH312" s="7"/>
      <c r="CI312" s="7"/>
      <c r="CJ312" s="7"/>
      <c r="CK312" s="7"/>
      <c r="CL312" s="7"/>
      <c r="CM312" s="7"/>
      <c r="CN312" s="7"/>
      <c r="CO312" s="7"/>
      <c r="CP312" s="7"/>
      <c r="CQ312" s="30"/>
      <c r="CT312" s="7"/>
      <c r="CU312" s="7"/>
      <c r="CV312" s="7"/>
      <c r="DC312" s="7"/>
      <c r="DD312" s="7"/>
      <c r="DE312" s="7"/>
      <c r="DF312" s="7"/>
      <c r="DG312" s="7"/>
      <c r="DH312" s="7"/>
      <c r="DI312" s="7"/>
      <c r="DJ312" s="7"/>
      <c r="DK312" s="7"/>
      <c r="DL312" s="7"/>
      <c r="DM312" s="7"/>
      <c r="DN312" s="7"/>
      <c r="DO312" s="7"/>
      <c r="DP312" s="7"/>
      <c r="DQ312" s="7"/>
      <c r="DR312" s="7"/>
      <c r="DS312" s="7"/>
      <c r="DT312" s="7"/>
      <c r="DU312" s="7"/>
      <c r="DV312" s="7"/>
      <c r="DW312" s="30"/>
      <c r="DZ312" s="7"/>
      <c r="EA312" s="7"/>
      <c r="EB312" s="7"/>
      <c r="EI312" s="7"/>
      <c r="EJ312" s="7"/>
      <c r="EK312" s="7"/>
      <c r="EL312" s="7"/>
      <c r="EM312" s="7"/>
      <c r="EN312" s="7"/>
      <c r="EO312" s="7"/>
      <c r="EP312" s="7"/>
      <c r="EQ312" s="7"/>
      <c r="ER312" s="7"/>
      <c r="ES312" s="7"/>
      <c r="ET312" s="7"/>
      <c r="EU312" s="7"/>
      <c r="EV312" s="7"/>
      <c r="EW312" s="7"/>
      <c r="EX312" s="7"/>
      <c r="EY312" s="7"/>
      <c r="EZ312" s="7"/>
      <c r="FA312" s="7"/>
      <c r="FB312" s="7"/>
      <c r="FC312" s="30"/>
      <c r="FF312" s="7"/>
      <c r="FG312" s="7"/>
      <c r="FH312" s="7"/>
      <c r="FO312" s="7"/>
      <c r="FP312" s="7"/>
      <c r="FQ312" s="7"/>
      <c r="FR312" s="7"/>
      <c r="FS312" s="7"/>
      <c r="FT312" s="7"/>
      <c r="FU312" s="7"/>
      <c r="FV312" s="7"/>
      <c r="FW312" s="7"/>
      <c r="FX312" s="7"/>
      <c r="FY312" s="7"/>
      <c r="FZ312" s="7"/>
      <c r="GA312" s="7"/>
      <c r="GB312" s="7"/>
      <c r="GC312" s="7"/>
      <c r="GD312" s="7"/>
      <c r="GE312" s="7"/>
      <c r="GF312" s="7"/>
      <c r="GG312" s="7"/>
      <c r="GH312" s="7"/>
      <c r="GI312" s="30"/>
      <c r="GL312" s="7"/>
      <c r="GM312" s="7"/>
      <c r="GN312" s="7"/>
      <c r="GU312" s="7"/>
      <c r="GV312" s="7"/>
      <c r="GW312" s="7"/>
      <c r="GX312" s="7"/>
      <c r="GY312" s="7"/>
      <c r="GZ312" s="7"/>
      <c r="HA312" s="7"/>
      <c r="HB312" s="7"/>
      <c r="HC312" s="7"/>
      <c r="HD312" s="7"/>
      <c r="HE312" s="7"/>
      <c r="HF312" s="7"/>
      <c r="HG312" s="7"/>
      <c r="HH312" s="7"/>
      <c r="HI312" s="7"/>
      <c r="HJ312" s="7"/>
      <c r="HK312" s="7"/>
      <c r="HL312" s="7"/>
      <c r="HM312" s="7"/>
      <c r="HN312" s="7"/>
      <c r="HO312" s="30"/>
      <c r="HR312" s="7"/>
      <c r="HS312" s="7"/>
      <c r="HT312" s="7"/>
      <c r="IA312" s="7"/>
      <c r="IB312" s="7"/>
      <c r="IC312" s="7"/>
      <c r="ID312" s="7"/>
      <c r="IE312" s="7"/>
      <c r="IF312" s="7"/>
      <c r="IG312" s="7"/>
      <c r="IH312" s="7"/>
      <c r="II312" s="7"/>
      <c r="IJ312" s="7"/>
      <c r="IK312" s="7"/>
      <c r="IL312" s="7"/>
      <c r="IM312" s="7"/>
      <c r="IN312" s="7"/>
      <c r="IO312" s="7"/>
      <c r="IP312" s="7"/>
      <c r="IQ312" s="7"/>
      <c r="IR312" s="7"/>
      <c r="IS312" s="7"/>
      <c r="IT312" s="7"/>
      <c r="IU312" s="30"/>
    </row>
    <row r="313" spans="1:256" s="2" customFormat="1" ht="13.5" customHeight="1">
      <c r="A313" s="93">
        <v>27</v>
      </c>
      <c r="B313" s="102" t="s">
        <v>204</v>
      </c>
      <c r="C313" s="364" t="s">
        <v>205</v>
      </c>
      <c r="D313" s="364"/>
      <c r="E313" s="364"/>
      <c r="F313" s="364"/>
      <c r="G313" s="364"/>
      <c r="H313" s="364"/>
      <c r="I313" s="364"/>
      <c r="J313" s="364"/>
      <c r="K313" s="364"/>
      <c r="L313" s="364"/>
      <c r="M313" s="364"/>
      <c r="N313" s="364"/>
      <c r="O313" s="364"/>
      <c r="P313" s="364"/>
      <c r="Q313" s="364"/>
      <c r="R313" s="364"/>
      <c r="S313" s="364"/>
      <c r="T313" s="364"/>
      <c r="U313" s="364"/>
      <c r="V313" s="364"/>
      <c r="W313" s="364"/>
      <c r="X313" s="364"/>
      <c r="Y313" s="364"/>
      <c r="Z313" s="364"/>
      <c r="AA313" s="364"/>
      <c r="AB313" s="364"/>
      <c r="AC313" s="364"/>
      <c r="AD313" s="364"/>
      <c r="AE313" s="364"/>
      <c r="AF313" s="364"/>
      <c r="AG313" s="364"/>
      <c r="AH313" s="364"/>
      <c r="AI313" s="364"/>
      <c r="AJ313" s="364"/>
      <c r="AK313" s="364"/>
      <c r="AL313" s="364"/>
      <c r="AM313" s="364"/>
      <c r="AN313" s="364"/>
      <c r="AO313" s="364"/>
      <c r="AP313" s="364"/>
      <c r="AQ313" s="364"/>
      <c r="AR313" s="364"/>
      <c r="AS313" s="364"/>
      <c r="AT313" s="364"/>
      <c r="AU313" s="24"/>
      <c r="AV313" s="135"/>
      <c r="AW313" s="159"/>
      <c r="AX313" s="25"/>
      <c r="AY313" s="25"/>
      <c r="AZ313" s="25"/>
      <c r="BA313" s="25"/>
      <c r="BB313" s="25"/>
      <c r="BC313" s="25"/>
      <c r="BD313" s="25"/>
      <c r="BE313" s="25"/>
      <c r="BF313" s="25"/>
      <c r="BG313" s="7"/>
      <c r="BH313" s="7"/>
      <c r="BI313" s="7"/>
      <c r="BJ313" s="7"/>
      <c r="BK313" s="7"/>
      <c r="BL313" s="7"/>
      <c r="BM313" s="7"/>
      <c r="BN313" s="370"/>
      <c r="BO313" s="370"/>
      <c r="BP313" s="370"/>
      <c r="BQ313" s="370"/>
      <c r="BR313" s="370"/>
      <c r="BS313" s="370"/>
      <c r="BT313" s="370"/>
      <c r="BU313" s="370"/>
      <c r="BV313" s="370"/>
      <c r="BW313" s="370"/>
      <c r="BX313" s="370"/>
      <c r="BY313" s="370"/>
      <c r="BZ313" s="370"/>
      <c r="CA313" s="370"/>
      <c r="CB313" s="370"/>
      <c r="CC313" s="370"/>
      <c r="CD313" s="370"/>
      <c r="CE313" s="370"/>
      <c r="CF313" s="370"/>
      <c r="CG313" s="370"/>
      <c r="CH313" s="370"/>
      <c r="CI313" s="370"/>
      <c r="CJ313" s="370"/>
      <c r="CK313" s="370"/>
      <c r="CL313" s="370"/>
      <c r="CM313" s="7"/>
      <c r="CN313" s="7"/>
      <c r="CO313" s="7"/>
      <c r="CP313" s="7"/>
      <c r="CQ313" s="7"/>
      <c r="CR313" s="7"/>
      <c r="CS313" s="7"/>
      <c r="CT313" s="370"/>
      <c r="CU313" s="370"/>
      <c r="CV313" s="370"/>
      <c r="CW313" s="370"/>
      <c r="CX313" s="370"/>
      <c r="CY313" s="370"/>
      <c r="CZ313" s="370"/>
      <c r="DA313" s="370"/>
      <c r="DB313" s="370"/>
      <c r="DC313" s="370"/>
      <c r="DD313" s="370"/>
      <c r="DE313" s="370"/>
      <c r="DF313" s="370"/>
      <c r="DG313" s="370"/>
      <c r="DH313" s="370"/>
      <c r="DI313" s="370"/>
      <c r="DJ313" s="370"/>
      <c r="DK313" s="370"/>
      <c r="DL313" s="370"/>
      <c r="DM313" s="370"/>
      <c r="DN313" s="370"/>
      <c r="DO313" s="370"/>
      <c r="DP313" s="370"/>
      <c r="DQ313" s="370"/>
      <c r="DR313" s="370"/>
      <c r="DS313" s="7"/>
      <c r="DT313" s="7"/>
      <c r="DU313" s="7"/>
      <c r="DV313" s="7"/>
      <c r="DW313" s="7"/>
      <c r="DX313" s="7"/>
      <c r="DY313" s="7"/>
      <c r="DZ313" s="370"/>
      <c r="EA313" s="370"/>
      <c r="EB313" s="370"/>
      <c r="EC313" s="370"/>
      <c r="ED313" s="370"/>
      <c r="EE313" s="370"/>
      <c r="EF313" s="370"/>
      <c r="EG313" s="370"/>
      <c r="EH313" s="370"/>
      <c r="EI313" s="370"/>
      <c r="EJ313" s="370"/>
      <c r="EK313" s="370"/>
      <c r="EL313" s="370"/>
      <c r="EM313" s="370"/>
      <c r="EN313" s="370"/>
      <c r="EO313" s="370"/>
      <c r="EP313" s="370"/>
      <c r="EQ313" s="370"/>
      <c r="ER313" s="370"/>
      <c r="ES313" s="370"/>
      <c r="ET313" s="370"/>
      <c r="EU313" s="370"/>
      <c r="EV313" s="370"/>
      <c r="EW313" s="370"/>
      <c r="EX313" s="370"/>
      <c r="EY313" s="7"/>
      <c r="EZ313" s="7"/>
      <c r="FA313" s="7"/>
      <c r="FB313" s="7"/>
      <c r="FC313" s="7"/>
      <c r="FD313" s="7"/>
      <c r="FE313" s="7"/>
      <c r="FF313" s="370"/>
      <c r="FG313" s="370"/>
      <c r="FH313" s="370"/>
      <c r="FI313" s="370"/>
      <c r="FJ313" s="370"/>
      <c r="FK313" s="370"/>
      <c r="FL313" s="370"/>
      <c r="FM313" s="370"/>
      <c r="FN313" s="370"/>
      <c r="FO313" s="370"/>
      <c r="FP313" s="370"/>
      <c r="FQ313" s="370"/>
      <c r="FR313" s="370"/>
      <c r="FS313" s="370"/>
      <c r="FT313" s="370"/>
      <c r="FU313" s="370"/>
      <c r="FV313" s="370"/>
      <c r="FW313" s="370"/>
      <c r="FX313" s="370"/>
      <c r="FY313" s="370"/>
      <c r="FZ313" s="370"/>
      <c r="GA313" s="370"/>
      <c r="GB313" s="370"/>
      <c r="GC313" s="370"/>
      <c r="GD313" s="370"/>
      <c r="GE313" s="7"/>
      <c r="GF313" s="7"/>
      <c r="GG313" s="7"/>
      <c r="GH313" s="7"/>
      <c r="GI313" s="7"/>
      <c r="GJ313" s="7"/>
      <c r="GK313" s="7"/>
      <c r="GL313" s="370"/>
      <c r="GM313" s="370"/>
      <c r="GN313" s="370"/>
      <c r="GO313" s="370"/>
      <c r="GP313" s="370"/>
      <c r="GQ313" s="370"/>
      <c r="GR313" s="370"/>
      <c r="GS313" s="370"/>
      <c r="GT313" s="370"/>
      <c r="GU313" s="370"/>
      <c r="GV313" s="370"/>
      <c r="GW313" s="370"/>
      <c r="GX313" s="370"/>
      <c r="GY313" s="370"/>
      <c r="GZ313" s="370"/>
      <c r="HA313" s="370"/>
      <c r="HB313" s="370"/>
      <c r="HC313" s="370"/>
      <c r="HD313" s="370"/>
      <c r="HE313" s="370"/>
      <c r="HF313" s="370"/>
      <c r="HG313" s="370"/>
      <c r="HH313" s="370"/>
      <c r="HI313" s="370"/>
      <c r="HJ313" s="370"/>
      <c r="HK313" s="7"/>
      <c r="HL313" s="7"/>
      <c r="HM313" s="7"/>
      <c r="HN313" s="7"/>
      <c r="HO313" s="7"/>
      <c r="HP313" s="7"/>
      <c r="HQ313" s="7"/>
      <c r="HR313" s="370"/>
      <c r="HS313" s="370"/>
      <c r="HT313" s="370"/>
      <c r="HU313" s="370"/>
      <c r="HV313" s="370"/>
      <c r="HW313" s="370"/>
      <c r="HX313" s="370"/>
      <c r="HY313" s="370"/>
      <c r="HZ313" s="370"/>
      <c r="IA313" s="370"/>
      <c r="IB313" s="370"/>
      <c r="IC313" s="370"/>
      <c r="ID313" s="370"/>
      <c r="IE313" s="370"/>
      <c r="IF313" s="370"/>
      <c r="IG313" s="370"/>
      <c r="IH313" s="370"/>
      <c r="II313" s="370"/>
      <c r="IJ313" s="370"/>
      <c r="IK313" s="370"/>
      <c r="IL313" s="370"/>
      <c r="IM313" s="370"/>
      <c r="IN313" s="370"/>
      <c r="IO313" s="370"/>
      <c r="IP313" s="370"/>
      <c r="IQ313" s="7"/>
      <c r="IR313" s="7"/>
      <c r="IS313" s="7"/>
      <c r="IT313" s="7"/>
      <c r="IU313" s="7"/>
      <c r="IV313" s="7"/>
    </row>
    <row r="314" spans="1:256" ht="12.75" customHeight="1">
      <c r="A314" s="96"/>
      <c r="B314" s="96"/>
      <c r="C314" s="2"/>
      <c r="D314" s="2"/>
      <c r="E314" s="2"/>
      <c r="F314" s="2"/>
      <c r="G314" s="2"/>
      <c r="H314" s="2"/>
      <c r="I314" s="2"/>
      <c r="J314" s="2"/>
      <c r="K314" s="2"/>
      <c r="L314" s="2"/>
      <c r="M314" s="2"/>
      <c r="N314" s="2"/>
      <c r="O314" s="2"/>
      <c r="P314" s="343" t="s">
        <v>251</v>
      </c>
      <c r="Q314" s="343"/>
      <c r="R314" s="343"/>
      <c r="S314" s="343"/>
      <c r="T314" s="343"/>
      <c r="U314" s="343"/>
      <c r="V314" s="343"/>
      <c r="W314" s="343"/>
      <c r="X314" s="343"/>
      <c r="Y314" s="343"/>
      <c r="Z314" s="343"/>
      <c r="AA314" s="343"/>
      <c r="AB314" s="343"/>
      <c r="AC314" s="343"/>
      <c r="AD314" s="2"/>
      <c r="AE314" s="2"/>
      <c r="AF314" s="332"/>
      <c r="AG314" s="332"/>
      <c r="AH314" s="332"/>
      <c r="AI314" s="332"/>
      <c r="AJ314" s="2"/>
      <c r="AK314" s="2"/>
      <c r="AL314" s="2"/>
      <c r="AM314" s="2"/>
      <c r="AN314" s="2"/>
      <c r="AO314" s="2"/>
      <c r="AP314" s="2"/>
      <c r="AQ314" s="120"/>
      <c r="AR314" s="2"/>
      <c r="AS314" s="2"/>
      <c r="AT314" s="2"/>
      <c r="AU314" s="2" t="s">
        <v>4</v>
      </c>
      <c r="AV314" s="92">
        <v>2</v>
      </c>
      <c r="AW314" s="137" t="s">
        <v>206</v>
      </c>
    </row>
    <row r="315" spans="1:256">
      <c r="A315" s="97"/>
      <c r="B315" s="9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21"/>
      <c r="AM315" s="21"/>
      <c r="AN315" s="21"/>
      <c r="AO315" s="21"/>
      <c r="AP315" s="21"/>
      <c r="AQ315" s="376" t="s">
        <v>9</v>
      </c>
      <c r="AR315" s="376"/>
      <c r="AS315" s="376"/>
      <c r="AT315" s="376"/>
      <c r="AU315" s="21" t="s">
        <v>4</v>
      </c>
      <c r="AV315" s="126">
        <f>SUM(AV314:AV314)</f>
        <v>2</v>
      </c>
      <c r="AW315" s="155" t="s">
        <v>206</v>
      </c>
    </row>
    <row r="316" spans="1:256">
      <c r="A316" s="160"/>
      <c r="B316" s="160"/>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c r="AC316" s="161"/>
      <c r="AD316" s="161"/>
      <c r="AE316" s="161"/>
      <c r="AF316" s="161"/>
      <c r="AG316" s="161"/>
      <c r="AH316" s="161"/>
      <c r="AI316" s="161"/>
      <c r="AJ316" s="161"/>
      <c r="AK316" s="161"/>
      <c r="AL316" s="161"/>
      <c r="AM316" s="161"/>
      <c r="AN316" s="161"/>
      <c r="AO316" s="161"/>
      <c r="AP316" s="161"/>
      <c r="AQ316" s="162"/>
      <c r="AR316" s="161"/>
      <c r="AS316" s="161"/>
      <c r="AT316" s="161"/>
      <c r="AU316" s="161"/>
      <c r="AV316" s="160"/>
      <c r="AW316" s="160"/>
    </row>
    <row r="317" spans="1:256">
      <c r="A317" s="160"/>
      <c r="B317" s="160"/>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c r="AC317" s="161"/>
      <c r="AD317" s="161"/>
      <c r="AE317" s="161"/>
      <c r="AF317" s="161"/>
      <c r="AG317" s="161"/>
      <c r="AH317" s="161"/>
      <c r="AI317" s="161"/>
      <c r="AJ317" s="161"/>
      <c r="AK317" s="161"/>
      <c r="AL317" s="161"/>
      <c r="AM317" s="161"/>
      <c r="AN317" s="161"/>
      <c r="AO317" s="161"/>
      <c r="AP317" s="161"/>
      <c r="AQ317" s="162"/>
      <c r="AR317" s="161"/>
      <c r="AS317" s="161"/>
      <c r="AT317" s="161"/>
      <c r="AU317" s="161"/>
      <c r="AV317" s="160"/>
      <c r="AW317" s="160"/>
    </row>
    <row r="318" spans="1:256" s="154" customFormat="1" ht="12" customHeight="1">
      <c r="A318" s="160"/>
      <c r="B318" s="160"/>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c r="AC318" s="161"/>
      <c r="AD318" s="161"/>
      <c r="AE318" s="161"/>
      <c r="AF318" s="161"/>
      <c r="AG318" s="161"/>
      <c r="AH318" s="161"/>
      <c r="AI318" s="161"/>
      <c r="AJ318" s="161"/>
      <c r="AK318" s="161"/>
      <c r="AL318" s="161"/>
      <c r="AM318" s="161"/>
      <c r="AN318" s="161"/>
      <c r="AO318" s="161"/>
      <c r="AP318" s="161"/>
      <c r="AQ318" s="162"/>
      <c r="AR318" s="161"/>
      <c r="AS318" s="161"/>
      <c r="AT318" s="161"/>
      <c r="AU318" s="161"/>
      <c r="AV318" s="160"/>
      <c r="AW318" s="160"/>
    </row>
    <row r="319" spans="1:256" s="154" customFormat="1" ht="12.75" customHeight="1">
      <c r="A319" s="160"/>
      <c r="B319" s="160"/>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0" t="s">
        <v>207</v>
      </c>
      <c r="AA319" s="161"/>
      <c r="AB319" s="161"/>
      <c r="AC319" s="161"/>
      <c r="AD319" s="161"/>
      <c r="AE319" s="161"/>
      <c r="AF319" s="161"/>
      <c r="AG319" s="161"/>
      <c r="AH319" s="161"/>
      <c r="AI319" s="161"/>
      <c r="AJ319" s="161"/>
      <c r="AK319" s="161"/>
      <c r="AL319" s="161"/>
      <c r="AM319" s="161"/>
      <c r="AN319" s="161"/>
      <c r="AO319" s="160" t="s">
        <v>208</v>
      </c>
      <c r="AP319" s="161"/>
      <c r="AQ319" s="162"/>
      <c r="AR319" s="161"/>
      <c r="AS319" s="161"/>
      <c r="AT319" s="161"/>
      <c r="AU319" s="161"/>
      <c r="AV319" s="160"/>
      <c r="AW319" s="160"/>
    </row>
    <row r="320" spans="1:256" s="154" customFormat="1" ht="12.75" customHeight="1">
      <c r="A320" s="160"/>
      <c r="B320" s="160"/>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0" t="s">
        <v>209</v>
      </c>
      <c r="AA320" s="161"/>
      <c r="AB320" s="161"/>
      <c r="AC320" s="161"/>
      <c r="AD320" s="161"/>
      <c r="AE320" s="161"/>
      <c r="AF320" s="161"/>
      <c r="AG320" s="161"/>
      <c r="AH320" s="161"/>
      <c r="AI320" s="161"/>
      <c r="AJ320" s="161"/>
      <c r="AK320" s="161"/>
      <c r="AL320" s="161"/>
      <c r="AM320" s="161"/>
      <c r="AN320" s="161"/>
      <c r="AO320" s="160" t="s">
        <v>210</v>
      </c>
      <c r="AP320" s="161"/>
      <c r="AQ320" s="162"/>
      <c r="AR320" s="161"/>
      <c r="AS320" s="161"/>
      <c r="AT320" s="161"/>
      <c r="AU320" s="161"/>
      <c r="AV320" s="160"/>
      <c r="AW320" s="160"/>
    </row>
    <row r="321" spans="1:49" s="154" customFormat="1" ht="12.75" customHeight="1">
      <c r="A321" s="160"/>
      <c r="B321" s="160"/>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0" t="s">
        <v>215</v>
      </c>
      <c r="AA321" s="161"/>
      <c r="AB321" s="161"/>
      <c r="AC321" s="161"/>
      <c r="AD321" s="161"/>
      <c r="AE321" s="161"/>
      <c r="AF321" s="161"/>
      <c r="AG321" s="161"/>
      <c r="AH321" s="161"/>
      <c r="AI321" s="161"/>
      <c r="AJ321" s="161"/>
      <c r="AK321" s="161"/>
      <c r="AL321" s="161"/>
      <c r="AM321" s="161"/>
      <c r="AN321" s="161"/>
      <c r="AO321" s="160" t="s">
        <v>211</v>
      </c>
      <c r="AP321" s="161"/>
      <c r="AQ321" s="162"/>
      <c r="AR321" s="161"/>
      <c r="AS321" s="161"/>
      <c r="AT321" s="161"/>
      <c r="AU321" s="161"/>
      <c r="AV321" s="160"/>
      <c r="AW321" s="160"/>
    </row>
    <row r="322" spans="1:49">
      <c r="A322" s="160"/>
      <c r="B322" s="160"/>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0" t="s">
        <v>217</v>
      </c>
      <c r="AA322" s="161"/>
      <c r="AB322" s="161"/>
      <c r="AC322" s="161"/>
      <c r="AD322" s="161"/>
      <c r="AE322" s="161"/>
      <c r="AF322" s="161"/>
      <c r="AG322" s="161"/>
      <c r="AH322" s="161"/>
      <c r="AI322" s="161"/>
      <c r="AJ322" s="161"/>
      <c r="AK322" s="161"/>
      <c r="AL322" s="161"/>
      <c r="AM322" s="161"/>
      <c r="AN322" s="161"/>
      <c r="AO322" s="160" t="s">
        <v>212</v>
      </c>
      <c r="AP322" s="161"/>
      <c r="AQ322" s="162"/>
      <c r="AR322" s="161"/>
      <c r="AS322" s="161"/>
      <c r="AT322" s="161"/>
      <c r="AU322" s="161"/>
      <c r="AV322" s="160"/>
      <c r="AW322" s="160"/>
    </row>
    <row r="323" spans="1:49">
      <c r="A323" s="160"/>
      <c r="B323" s="160"/>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c r="AC323" s="161"/>
      <c r="AD323" s="161"/>
      <c r="AE323" s="161"/>
      <c r="AF323" s="161"/>
      <c r="AG323" s="161"/>
      <c r="AH323" s="161"/>
      <c r="AI323" s="161"/>
      <c r="AJ323" s="161"/>
      <c r="AK323" s="161"/>
      <c r="AL323" s="161"/>
      <c r="AM323" s="161"/>
      <c r="AN323" s="161"/>
      <c r="AO323" s="161"/>
      <c r="AP323" s="161"/>
      <c r="AQ323" s="162"/>
      <c r="AR323" s="161"/>
      <c r="AS323" s="161"/>
      <c r="AT323" s="161"/>
      <c r="AU323" s="161"/>
      <c r="AV323" s="160"/>
      <c r="AW323" s="160"/>
    </row>
    <row r="324" spans="1:49">
      <c r="A324" s="160"/>
      <c r="B324" s="160"/>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c r="AC324" s="161"/>
      <c r="AD324" s="161"/>
      <c r="AE324" s="161"/>
      <c r="AF324" s="161"/>
      <c r="AG324" s="161"/>
      <c r="AH324" s="161"/>
      <c r="AI324" s="161"/>
      <c r="AJ324" s="161"/>
      <c r="AK324" s="161"/>
      <c r="AL324" s="161"/>
      <c r="AM324" s="161"/>
      <c r="AN324" s="161"/>
      <c r="AO324" s="161"/>
      <c r="AP324" s="161"/>
      <c r="AQ324" s="162"/>
      <c r="AR324" s="161"/>
      <c r="AS324" s="161"/>
      <c r="AT324" s="161"/>
      <c r="AU324" s="161"/>
      <c r="AV324" s="160"/>
      <c r="AW324" s="160"/>
    </row>
    <row r="325" spans="1:49">
      <c r="A325" s="160"/>
      <c r="B325" s="160"/>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c r="AC325" s="161"/>
      <c r="AD325" s="161"/>
      <c r="AE325" s="161"/>
      <c r="AF325" s="161"/>
      <c r="AG325" s="161"/>
      <c r="AH325" s="161"/>
      <c r="AI325" s="161"/>
      <c r="AJ325" s="161"/>
      <c r="AK325" s="161"/>
      <c r="AL325" s="161"/>
      <c r="AM325" s="161"/>
      <c r="AN325" s="161"/>
      <c r="AO325" s="161"/>
      <c r="AP325" s="161"/>
      <c r="AQ325" s="162"/>
      <c r="AR325" s="161"/>
      <c r="AS325" s="161"/>
      <c r="AT325" s="161"/>
      <c r="AU325" s="161"/>
      <c r="AV325" s="160"/>
      <c r="AW325" s="160"/>
    </row>
    <row r="326" spans="1:49">
      <c r="A326" s="160"/>
      <c r="B326" s="160"/>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c r="AC326" s="161"/>
      <c r="AD326" s="161"/>
      <c r="AE326" s="161"/>
      <c r="AF326" s="161"/>
      <c r="AG326" s="161"/>
      <c r="AH326" s="161"/>
      <c r="AI326" s="161"/>
      <c r="AJ326" s="161"/>
      <c r="AK326" s="161"/>
      <c r="AL326" s="161"/>
      <c r="AM326" s="161"/>
      <c r="AN326" s="161"/>
      <c r="AO326" s="161"/>
      <c r="AP326" s="161"/>
      <c r="AQ326" s="162"/>
      <c r="AR326" s="161"/>
      <c r="AS326" s="161"/>
      <c r="AT326" s="161"/>
      <c r="AU326" s="161"/>
      <c r="AV326" s="160"/>
      <c r="AW326" s="160"/>
    </row>
    <row r="327" spans="1:49">
      <c r="A327" s="160"/>
      <c r="B327" s="160"/>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c r="AD327" s="161"/>
      <c r="AE327" s="161"/>
      <c r="AF327" s="161"/>
      <c r="AG327" s="161"/>
      <c r="AH327" s="161"/>
      <c r="AI327" s="161"/>
      <c r="AJ327" s="161"/>
      <c r="AK327" s="161"/>
      <c r="AL327" s="161"/>
      <c r="AM327" s="161"/>
      <c r="AN327" s="161"/>
      <c r="AO327" s="161"/>
      <c r="AP327" s="161"/>
      <c r="AQ327" s="162"/>
      <c r="AR327" s="161"/>
      <c r="AS327" s="161"/>
      <c r="AT327" s="161"/>
      <c r="AU327" s="161"/>
      <c r="AV327" s="160"/>
      <c r="AW327" s="160"/>
    </row>
  </sheetData>
  <dataConsolidate/>
  <mergeCells count="692">
    <mergeCell ref="F148:K148"/>
    <mergeCell ref="P148:R148"/>
    <mergeCell ref="I137:J137"/>
    <mergeCell ref="O147:Q147"/>
    <mergeCell ref="I145:J145"/>
    <mergeCell ref="O139:Q139"/>
    <mergeCell ref="I133:K133"/>
    <mergeCell ref="E119:P119"/>
    <mergeCell ref="I141:K141"/>
    <mergeCell ref="AQ54:AT54"/>
    <mergeCell ref="P287:Q287"/>
    <mergeCell ref="R277:T277"/>
    <mergeCell ref="R262:R265"/>
    <mergeCell ref="P283:Q283"/>
    <mergeCell ref="S287:T287"/>
    <mergeCell ref="S286:T286"/>
    <mergeCell ref="O275:P275"/>
    <mergeCell ref="O274:P274"/>
    <mergeCell ref="C272:AU272"/>
    <mergeCell ref="S282:T282"/>
    <mergeCell ref="AN271:AT271"/>
    <mergeCell ref="AO268:AQ268"/>
    <mergeCell ref="AO270:AQ270"/>
    <mergeCell ref="AB270:AC270"/>
    <mergeCell ref="AE270:AG270"/>
    <mergeCell ref="F265:N265"/>
    <mergeCell ref="F262:N262"/>
    <mergeCell ref="O172:Q172"/>
    <mergeCell ref="D150:Q150"/>
    <mergeCell ref="W172:X172"/>
    <mergeCell ref="X164:Z164"/>
    <mergeCell ref="AA119:AB119"/>
    <mergeCell ref="X131:Z131"/>
    <mergeCell ref="HR313:IP313"/>
    <mergeCell ref="BN313:CL313"/>
    <mergeCell ref="CT313:DR313"/>
    <mergeCell ref="DZ313:EX313"/>
    <mergeCell ref="C48:K48"/>
    <mergeCell ref="V81:Y81"/>
    <mergeCell ref="E78:Q78"/>
    <mergeCell ref="T66:U66"/>
    <mergeCell ref="V62:X62"/>
    <mergeCell ref="R67:T67"/>
    <mergeCell ref="T80:U80"/>
    <mergeCell ref="E52:Z52"/>
    <mergeCell ref="C51:AT51"/>
    <mergeCell ref="S77:T77"/>
    <mergeCell ref="AF53:AG53"/>
    <mergeCell ref="AB76:AC76"/>
    <mergeCell ref="AE77:AG77"/>
    <mergeCell ref="AC54:AD54"/>
    <mergeCell ref="AB69:AC69"/>
    <mergeCell ref="AE69:AG69"/>
    <mergeCell ref="AF75:AH75"/>
    <mergeCell ref="C64:AC64"/>
    <mergeCell ref="T54:AA54"/>
    <mergeCell ref="AA58:AB58"/>
    <mergeCell ref="HR308:IP308"/>
    <mergeCell ref="FF308:GD308"/>
    <mergeCell ref="N310:O310"/>
    <mergeCell ref="S310:T310"/>
    <mergeCell ref="V310:W310"/>
    <mergeCell ref="DZ308:EX308"/>
    <mergeCell ref="GL308:HJ308"/>
    <mergeCell ref="BN308:CL308"/>
    <mergeCell ref="CT308:DR308"/>
    <mergeCell ref="Z310:AA310"/>
    <mergeCell ref="E309:Q309"/>
    <mergeCell ref="C308:AT308"/>
    <mergeCell ref="AJ310:AL310"/>
    <mergeCell ref="Y270:AA270"/>
    <mergeCell ref="AQ315:AT315"/>
    <mergeCell ref="P314:AC314"/>
    <mergeCell ref="AJ311:AL311"/>
    <mergeCell ref="N311:W311"/>
    <mergeCell ref="AF314:AI314"/>
    <mergeCell ref="C313:AT313"/>
    <mergeCell ref="AM312:AT312"/>
    <mergeCell ref="Y151:Z151"/>
    <mergeCell ref="V163:W163"/>
    <mergeCell ref="X163:Z163"/>
    <mergeCell ref="S158:AE158"/>
    <mergeCell ref="O157:Q157"/>
    <mergeCell ref="AE166:AF166"/>
    <mergeCell ref="I151:K151"/>
    <mergeCell ref="P163:Q163"/>
    <mergeCell ref="P160:W160"/>
    <mergeCell ref="S163:U163"/>
    <mergeCell ref="AE168:AG168"/>
    <mergeCell ref="I155:J155"/>
    <mergeCell ref="N48:P48"/>
    <mergeCell ref="R48:T48"/>
    <mergeCell ref="W48:Y48"/>
    <mergeCell ref="AE268:AG268"/>
    <mergeCell ref="X219:Z219"/>
    <mergeCell ref="AJ53:AK53"/>
    <mergeCell ref="AA67:AC67"/>
    <mergeCell ref="T68:V68"/>
    <mergeCell ref="AD58:AF58"/>
    <mergeCell ref="Y183:Z183"/>
    <mergeCell ref="Y220:Z220"/>
    <mergeCell ref="AJ67:AL67"/>
    <mergeCell ref="Y210:Z210"/>
    <mergeCell ref="P199:Q199"/>
    <mergeCell ref="O207:Q207"/>
    <mergeCell ref="AI62:AJ62"/>
    <mergeCell ref="AL62:AN62"/>
    <mergeCell ref="P108:Q108"/>
    <mergeCell ref="S108:U108"/>
    <mergeCell ref="W147:X147"/>
    <mergeCell ref="Y133:Z133"/>
    <mergeCell ref="X130:Z130"/>
    <mergeCell ref="V108:W108"/>
    <mergeCell ref="Y23:Z23"/>
    <mergeCell ref="C27:P27"/>
    <mergeCell ref="AB22:AC22"/>
    <mergeCell ref="T22:U22"/>
    <mergeCell ref="AD22:AE22"/>
    <mergeCell ref="Z29:AA29"/>
    <mergeCell ref="AD23:AE23"/>
    <mergeCell ref="C19:AD19"/>
    <mergeCell ref="C21:AT21"/>
    <mergeCell ref="T28:U28"/>
    <mergeCell ref="Z28:AA28"/>
    <mergeCell ref="W28:X28"/>
    <mergeCell ref="AB23:AC23"/>
    <mergeCell ref="R29:T29"/>
    <mergeCell ref="W23:X23"/>
    <mergeCell ref="C26:AT26"/>
    <mergeCell ref="V29:X29"/>
    <mergeCell ref="AC29:AD29"/>
    <mergeCell ref="AF28:AH28"/>
    <mergeCell ref="AF29:AH29"/>
    <mergeCell ref="AA30:AC30"/>
    <mergeCell ref="E16:S16"/>
    <mergeCell ref="P291:Q291"/>
    <mergeCell ref="P290:Q290"/>
    <mergeCell ref="P282:Q282"/>
    <mergeCell ref="M96:O96"/>
    <mergeCell ref="P113:R113"/>
    <mergeCell ref="P289:Q289"/>
    <mergeCell ref="O257:Z257"/>
    <mergeCell ref="AB183:AD183"/>
    <mergeCell ref="S62:T62"/>
    <mergeCell ref="AA81:AC81"/>
    <mergeCell ref="R81:T81"/>
    <mergeCell ref="S83:T83"/>
    <mergeCell ref="V266:Z266"/>
    <mergeCell ref="V274:W274"/>
    <mergeCell ref="V277:X277"/>
    <mergeCell ref="V269:AC269"/>
    <mergeCell ref="Y268:AA268"/>
    <mergeCell ref="L46:N46"/>
    <mergeCell ref="S47:T47"/>
    <mergeCell ref="C18:AT18"/>
    <mergeCell ref="Y46:AA46"/>
    <mergeCell ref="AQ20:AT20"/>
    <mergeCell ref="AI131:AK131"/>
    <mergeCell ref="AL131:AM131"/>
    <mergeCell ref="AD128:AF128"/>
    <mergeCell ref="F114:K114"/>
    <mergeCell ref="AB128:AC128"/>
    <mergeCell ref="H126:AA126"/>
    <mergeCell ref="P130:Q130"/>
    <mergeCell ref="AE117:AF117"/>
    <mergeCell ref="A1:AW1"/>
    <mergeCell ref="A2:AW2"/>
    <mergeCell ref="A4:A6"/>
    <mergeCell ref="A7:A10"/>
    <mergeCell ref="AH9:AJ9"/>
    <mergeCell ref="AU3:AW3"/>
    <mergeCell ref="C3:AT3"/>
    <mergeCell ref="AQ6:AT6"/>
    <mergeCell ref="AB5:AC5"/>
    <mergeCell ref="AH8:AJ8"/>
    <mergeCell ref="A11:A17"/>
    <mergeCell ref="E15:S15"/>
    <mergeCell ref="Q12:S12"/>
    <mergeCell ref="C11:AT11"/>
    <mergeCell ref="L12:O12"/>
    <mergeCell ref="T15:V15"/>
    <mergeCell ref="A89:A93"/>
    <mergeCell ref="F91:O91"/>
    <mergeCell ref="AB75:AD75"/>
    <mergeCell ref="E86:Q86"/>
    <mergeCell ref="Y77:Z77"/>
    <mergeCell ref="AC47:AD47"/>
    <mergeCell ref="Q54:S54"/>
    <mergeCell ref="Z49:AA49"/>
    <mergeCell ref="W92:Y92"/>
    <mergeCell ref="AA92:AC92"/>
    <mergeCell ref="S92:U92"/>
    <mergeCell ref="Y83:Z83"/>
    <mergeCell ref="Z87:AA87"/>
    <mergeCell ref="V77:W77"/>
    <mergeCell ref="W58:X58"/>
    <mergeCell ref="N87:O87"/>
    <mergeCell ref="C89:AT89"/>
    <mergeCell ref="AB77:AC77"/>
    <mergeCell ref="V87:W87"/>
    <mergeCell ref="AQ70:AT70"/>
    <mergeCell ref="AJ69:AL69"/>
    <mergeCell ref="AQ62:AT62"/>
    <mergeCell ref="AQ53:AU53"/>
    <mergeCell ref="AQ58:AT58"/>
    <mergeCell ref="V83:W83"/>
    <mergeCell ref="AE83:AG83"/>
    <mergeCell ref="S76:T76"/>
    <mergeCell ref="C73:AC73"/>
    <mergeCell ref="AR71:AT71"/>
    <mergeCell ref="AJ81:AL81"/>
    <mergeCell ref="AJ76:AL76"/>
    <mergeCell ref="C85:AT85"/>
    <mergeCell ref="AJ77:AL77"/>
    <mergeCell ref="AJ83:AL83"/>
    <mergeCell ref="V76:W76"/>
    <mergeCell ref="AF262:AH262"/>
    <mergeCell ref="AM261:AP261"/>
    <mergeCell ref="AQ260:AR260"/>
    <mergeCell ref="AM265:AP265"/>
    <mergeCell ref="AA261:AE261"/>
    <mergeCell ref="AI261:AK261"/>
    <mergeCell ref="AQ262:AR262"/>
    <mergeCell ref="AM262:AP262"/>
    <mergeCell ref="AQ261:AR261"/>
    <mergeCell ref="AI260:AK260"/>
    <mergeCell ref="AF261:AH261"/>
    <mergeCell ref="AA265:AE265"/>
    <mergeCell ref="AA264:AE264"/>
    <mergeCell ref="AA263:AE263"/>
    <mergeCell ref="AF265:AH265"/>
    <mergeCell ref="AF263:AH263"/>
    <mergeCell ref="AF264:AH264"/>
    <mergeCell ref="AA260:AE260"/>
    <mergeCell ref="V275:W275"/>
    <mergeCell ref="C280:AU280"/>
    <mergeCell ref="AU278:AV278"/>
    <mergeCell ref="M286:N286"/>
    <mergeCell ref="S283:T283"/>
    <mergeCell ref="S284:T284"/>
    <mergeCell ref="AN279:AT279"/>
    <mergeCell ref="P285:Q285"/>
    <mergeCell ref="M282:N282"/>
    <mergeCell ref="M283:N283"/>
    <mergeCell ref="A305:A307"/>
    <mergeCell ref="P284:Q284"/>
    <mergeCell ref="S303:U303"/>
    <mergeCell ref="M288:N288"/>
    <mergeCell ref="P288:Q288"/>
    <mergeCell ref="S288:T288"/>
    <mergeCell ref="C302:L302"/>
    <mergeCell ref="O301:P301"/>
    <mergeCell ref="M285:N285"/>
    <mergeCell ref="P286:Q286"/>
    <mergeCell ref="C303:L303"/>
    <mergeCell ref="J306:S306"/>
    <mergeCell ref="C305:AT305"/>
    <mergeCell ref="AD303:AF303"/>
    <mergeCell ref="O303:P303"/>
    <mergeCell ref="AH303:AJ303"/>
    <mergeCell ref="W303:Z303"/>
    <mergeCell ref="AF258:AH258"/>
    <mergeCell ref="AE38:AG38"/>
    <mergeCell ref="M287:N287"/>
    <mergeCell ref="Z277:AA277"/>
    <mergeCell ref="R274:S274"/>
    <mergeCell ref="F264:N264"/>
    <mergeCell ref="AA262:AE262"/>
    <mergeCell ref="F258:N258"/>
    <mergeCell ref="P276:T276"/>
    <mergeCell ref="AC253:AD253"/>
    <mergeCell ref="AA258:AE258"/>
    <mergeCell ref="AF41:AG41"/>
    <mergeCell ref="AC49:AD49"/>
    <mergeCell ref="AC42:AD42"/>
    <mergeCell ref="AE49:AF49"/>
    <mergeCell ref="E44:I44"/>
    <mergeCell ref="T45:U45"/>
    <mergeCell ref="S69:T69"/>
    <mergeCell ref="V69:W69"/>
    <mergeCell ref="V96:W96"/>
    <mergeCell ref="AC46:AD46"/>
    <mergeCell ref="L42:N42"/>
    <mergeCell ref="C38:Z38"/>
    <mergeCell ref="R275:S275"/>
    <mergeCell ref="AS114:AT114"/>
    <mergeCell ref="P114:R114"/>
    <mergeCell ref="C125:Z125"/>
    <mergeCell ref="T120:X120"/>
    <mergeCell ref="AL111:AM111"/>
    <mergeCell ref="AH123:AL123"/>
    <mergeCell ref="X117:Z117"/>
    <mergeCell ref="AD111:AF111"/>
    <mergeCell ref="AA120:AB120"/>
    <mergeCell ref="AI111:AK111"/>
    <mergeCell ref="H123:AA123"/>
    <mergeCell ref="AA121:AB121"/>
    <mergeCell ref="AF114:AL114"/>
    <mergeCell ref="E115:R115"/>
    <mergeCell ref="T119:X119"/>
    <mergeCell ref="E116:S116"/>
    <mergeCell ref="Q31:R31"/>
    <mergeCell ref="T31:V31"/>
    <mergeCell ref="E40:I40"/>
    <mergeCell ref="AL108:AM108"/>
    <mergeCell ref="AI110:AK110"/>
    <mergeCell ref="AI109:AK109"/>
    <mergeCell ref="AL109:AM109"/>
    <mergeCell ref="AL110:AM110"/>
    <mergeCell ref="AD108:AF108"/>
    <mergeCell ref="AB108:AC108"/>
    <mergeCell ref="X108:Z108"/>
    <mergeCell ref="AJ87:AL87"/>
    <mergeCell ref="AM50:AT50"/>
    <mergeCell ref="AF45:AG45"/>
    <mergeCell ref="Q46:S46"/>
    <mergeCell ref="V67:Y67"/>
    <mergeCell ref="AE62:AG62"/>
    <mergeCell ref="AA62:AC62"/>
    <mergeCell ref="X66:Z66"/>
    <mergeCell ref="T53:U53"/>
    <mergeCell ref="T82:V82"/>
    <mergeCell ref="C72:AT72"/>
    <mergeCell ref="AB83:AC83"/>
    <mergeCell ref="AE87:AF87"/>
    <mergeCell ref="U47:AA47"/>
    <mergeCell ref="R35:T35"/>
    <mergeCell ref="Q34:S34"/>
    <mergeCell ref="X35:Y35"/>
    <mergeCell ref="C37:AT37"/>
    <mergeCell ref="V34:X34"/>
    <mergeCell ref="Z34:AA34"/>
    <mergeCell ref="AM38:AN38"/>
    <mergeCell ref="AJ38:AL38"/>
    <mergeCell ref="U42:X42"/>
    <mergeCell ref="AJ45:AK45"/>
    <mergeCell ref="AJ41:AK41"/>
    <mergeCell ref="N34:O34"/>
    <mergeCell ref="Z42:AA42"/>
    <mergeCell ref="Q42:S42"/>
    <mergeCell ref="V43:W43"/>
    <mergeCell ref="AB32:AC32"/>
    <mergeCell ref="AB31:AC31"/>
    <mergeCell ref="X31:Z31"/>
    <mergeCell ref="W32:X32"/>
    <mergeCell ref="T41:U41"/>
    <mergeCell ref="AC38:AD38"/>
    <mergeCell ref="AF34:AH34"/>
    <mergeCell ref="AF31:AH31"/>
    <mergeCell ref="AF32:AH32"/>
    <mergeCell ref="S32:U32"/>
    <mergeCell ref="C4:AT4"/>
    <mergeCell ref="AF5:AI5"/>
    <mergeCell ref="Z5:AA5"/>
    <mergeCell ref="U5:W5"/>
    <mergeCell ref="X5:Y5"/>
    <mergeCell ref="C7:AT7"/>
    <mergeCell ref="AQ10:AT10"/>
    <mergeCell ref="Y22:Z22"/>
    <mergeCell ref="T24:U24"/>
    <mergeCell ref="W22:X22"/>
    <mergeCell ref="AB8:AC8"/>
    <mergeCell ref="X12:Y12"/>
    <mergeCell ref="U8:W8"/>
    <mergeCell ref="X8:Y8"/>
    <mergeCell ref="U9:W9"/>
    <mergeCell ref="AB9:AC9"/>
    <mergeCell ref="T23:U23"/>
    <mergeCell ref="E14:S14"/>
    <mergeCell ref="T14:V14"/>
    <mergeCell ref="T16:V16"/>
    <mergeCell ref="AQ17:AT17"/>
    <mergeCell ref="E13:S13"/>
    <mergeCell ref="V13:W13"/>
    <mergeCell ref="X13:AE13"/>
    <mergeCell ref="C98:AT98"/>
    <mergeCell ref="L102:M102"/>
    <mergeCell ref="R102:S102"/>
    <mergeCell ref="L101:M101"/>
    <mergeCell ref="AM93:AT93"/>
    <mergeCell ref="I102:J102"/>
    <mergeCell ref="Q96:S96"/>
    <mergeCell ref="C100:AT100"/>
    <mergeCell ref="H101:I101"/>
    <mergeCell ref="J101:K101"/>
    <mergeCell ref="AE102:AI102"/>
    <mergeCell ref="AC96:AD96"/>
    <mergeCell ref="C94:AT94"/>
    <mergeCell ref="Z96:AA96"/>
    <mergeCell ref="AI130:AK130"/>
    <mergeCell ref="AI128:AK128"/>
    <mergeCell ref="AL128:AM128"/>
    <mergeCell ref="AL130:AM130"/>
    <mergeCell ref="AH127:AT127"/>
    <mergeCell ref="AF122:AL122"/>
    <mergeCell ref="AN123:AR123"/>
    <mergeCell ref="AS122:AT122"/>
    <mergeCell ref="AT126:AU126"/>
    <mergeCell ref="AO126:AS126"/>
    <mergeCell ref="AN122:AR122"/>
    <mergeCell ref="AF259:AH259"/>
    <mergeCell ref="AF260:AH260"/>
    <mergeCell ref="AM260:AP260"/>
    <mergeCell ref="AM259:AP259"/>
    <mergeCell ref="AN206:AP206"/>
    <mergeCell ref="AL132:AM132"/>
    <mergeCell ref="AS148:AT148"/>
    <mergeCell ref="AS149:AT149"/>
    <mergeCell ref="AN149:AR149"/>
    <mergeCell ref="AN137:AP137"/>
    <mergeCell ref="AN145:AP145"/>
    <mergeCell ref="C162:AT162"/>
    <mergeCell ref="I170:J170"/>
    <mergeCell ref="AN192:AU192"/>
    <mergeCell ref="AN187:AP187"/>
    <mergeCell ref="AN190:AR190"/>
    <mergeCell ref="AF180:AL180"/>
    <mergeCell ref="AE184:AG184"/>
    <mergeCell ref="AN170:AP170"/>
    <mergeCell ref="W206:X206"/>
    <mergeCell ref="AN194:AU194"/>
    <mergeCell ref="AS173:AT173"/>
    <mergeCell ref="AN173:AR173"/>
    <mergeCell ref="P173:R173"/>
    <mergeCell ref="F257:N257"/>
    <mergeCell ref="C255:AU255"/>
    <mergeCell ref="D218:Q218"/>
    <mergeCell ref="I220:K220"/>
    <mergeCell ref="AN215:AP215"/>
    <mergeCell ref="AF219:AH219"/>
    <mergeCell ref="O216:Q216"/>
    <mergeCell ref="AB219:AD219"/>
    <mergeCell ref="AB220:AD220"/>
    <mergeCell ref="AF220:AH220"/>
    <mergeCell ref="W215:X215"/>
    <mergeCell ref="AI257:AK257"/>
    <mergeCell ref="AF257:AH257"/>
    <mergeCell ref="C251:AG251"/>
    <mergeCell ref="W249:Y249"/>
    <mergeCell ref="U240:V240"/>
    <mergeCell ref="W248:Y248"/>
    <mergeCell ref="AQ257:AR257"/>
    <mergeCell ref="AM257:AP257"/>
    <mergeCell ref="AC231:AE231"/>
    <mergeCell ref="AN224:AP224"/>
    <mergeCell ref="AE222:AG222"/>
    <mergeCell ref="C245:AT245"/>
    <mergeCell ref="GL313:HJ313"/>
    <mergeCell ref="AE310:AF310"/>
    <mergeCell ref="AN250:AT250"/>
    <mergeCell ref="AF173:AL173"/>
    <mergeCell ref="AB199:AC199"/>
    <mergeCell ref="C197:AT197"/>
    <mergeCell ref="Y199:Z199"/>
    <mergeCell ref="D198:Q198"/>
    <mergeCell ref="AS180:AT180"/>
    <mergeCell ref="D181:Q181"/>
    <mergeCell ref="AB182:AD182"/>
    <mergeCell ref="AN214:AP214"/>
    <mergeCell ref="C194:AA194"/>
    <mergeCell ref="AI201:AK201"/>
    <mergeCell ref="AL201:AM201"/>
    <mergeCell ref="AE200:AG200"/>
    <mergeCell ref="I214:J214"/>
    <mergeCell ref="AE202:AF202"/>
    <mergeCell ref="AE211:AG211"/>
    <mergeCell ref="AB210:AC210"/>
    <mergeCell ref="AE210:AF210"/>
    <mergeCell ref="AN178:AP178"/>
    <mergeCell ref="AN180:AR180"/>
    <mergeCell ref="J253:K253"/>
    <mergeCell ref="AI265:AK265"/>
    <mergeCell ref="AI264:AK264"/>
    <mergeCell ref="AI263:AK263"/>
    <mergeCell ref="AS258:AT258"/>
    <mergeCell ref="AI258:AK258"/>
    <mergeCell ref="AI259:AK259"/>
    <mergeCell ref="AQ263:AR263"/>
    <mergeCell ref="AQ259:AR259"/>
    <mergeCell ref="FF313:GD313"/>
    <mergeCell ref="AM304:AT304"/>
    <mergeCell ref="F261:N261"/>
    <mergeCell ref="R258:R261"/>
    <mergeCell ref="F260:N260"/>
    <mergeCell ref="AA259:AE259"/>
    <mergeCell ref="C248:K248"/>
    <mergeCell ref="AN225:AP225"/>
    <mergeCell ref="Y226:AA226"/>
    <mergeCell ref="O226:Q226"/>
    <mergeCell ref="W226:X226"/>
    <mergeCell ref="E240:Q240"/>
    <mergeCell ref="C238:AU238"/>
    <mergeCell ref="C242:P242"/>
    <mergeCell ref="C243:P243"/>
    <mergeCell ref="W242:X242"/>
    <mergeCell ref="AI240:AK240"/>
    <mergeCell ref="AB242:AC242"/>
    <mergeCell ref="Z243:AA243"/>
    <mergeCell ref="X240:AA240"/>
    <mergeCell ref="AD240:AF240"/>
    <mergeCell ref="W241:X241"/>
    <mergeCell ref="Z242:AA242"/>
    <mergeCell ref="Z241:AA241"/>
    <mergeCell ref="AS257:AU257"/>
    <mergeCell ref="AN254:AT254"/>
    <mergeCell ref="Y233:AA233"/>
    <mergeCell ref="AE142:AG142"/>
    <mergeCell ref="W75:Z75"/>
    <mergeCell ref="J249:K249"/>
    <mergeCell ref="D233:T233"/>
    <mergeCell ref="S87:T87"/>
    <mergeCell ref="C230:N230"/>
    <mergeCell ref="I224:J224"/>
    <mergeCell ref="C193:AT193"/>
    <mergeCell ref="AC233:AE233"/>
    <mergeCell ref="C229:AT229"/>
    <mergeCell ref="AN227:AP227"/>
    <mergeCell ref="AG232:AI232"/>
    <mergeCell ref="AC232:AE232"/>
    <mergeCell ref="Y231:AA231"/>
    <mergeCell ref="Y232:AA232"/>
    <mergeCell ref="AP228:AT228"/>
    <mergeCell ref="D231:T231"/>
    <mergeCell ref="Y206:AA206"/>
    <mergeCell ref="I210:K210"/>
    <mergeCell ref="D232:T232"/>
    <mergeCell ref="AI132:AK132"/>
    <mergeCell ref="W157:X157"/>
    <mergeCell ref="Y157:AA157"/>
    <mergeCell ref="I205:J205"/>
    <mergeCell ref="AE204:AG204"/>
    <mergeCell ref="AC195:AK195"/>
    <mergeCell ref="Y200:Z200"/>
    <mergeCell ref="I202:K202"/>
    <mergeCell ref="AE221:AG221"/>
    <mergeCell ref="AE212:AG212"/>
    <mergeCell ref="Y69:Z69"/>
    <mergeCell ref="Y76:Z76"/>
    <mergeCell ref="AF182:AH182"/>
    <mergeCell ref="Y139:AA139"/>
    <mergeCell ref="AE153:AG153"/>
    <mergeCell ref="AE151:AG151"/>
    <mergeCell ref="AB151:AC151"/>
    <mergeCell ref="AE143:AG143"/>
    <mergeCell ref="AE133:AF133"/>
    <mergeCell ref="AD132:AG132"/>
    <mergeCell ref="AE141:AF141"/>
    <mergeCell ref="Y141:Z141"/>
    <mergeCell ref="AE135:AG135"/>
    <mergeCell ref="AE134:AG134"/>
    <mergeCell ref="W139:X139"/>
    <mergeCell ref="AB141:AC141"/>
    <mergeCell ref="AB133:AC133"/>
    <mergeCell ref="AN205:AP205"/>
    <mergeCell ref="Y202:Z202"/>
    <mergeCell ref="AE203:AG203"/>
    <mergeCell ref="AB202:AC202"/>
    <mergeCell ref="C106:Y106"/>
    <mergeCell ref="AM97:AT97"/>
    <mergeCell ref="P118:R118"/>
    <mergeCell ref="P117:Q117"/>
    <mergeCell ref="X109:Z109"/>
    <mergeCell ref="F118:K118"/>
    <mergeCell ref="AI108:AK108"/>
    <mergeCell ref="AD110:AF110"/>
    <mergeCell ref="X110:Z110"/>
    <mergeCell ref="P112:R112"/>
    <mergeCell ref="F112:K112"/>
    <mergeCell ref="F113:K113"/>
    <mergeCell ref="P101:Q101"/>
    <mergeCell ref="U102:V102"/>
    <mergeCell ref="O102:P102"/>
    <mergeCell ref="C105:AT105"/>
    <mergeCell ref="C107:P107"/>
    <mergeCell ref="AL107:AM107"/>
    <mergeCell ref="AC194:AK194"/>
    <mergeCell ref="C195:AA195"/>
    <mergeCell ref="AD107:AF107"/>
    <mergeCell ref="AI107:AK107"/>
    <mergeCell ref="AB107:AC107"/>
    <mergeCell ref="AE103:AI103"/>
    <mergeCell ref="AN114:AR114"/>
    <mergeCell ref="AD109:AF109"/>
    <mergeCell ref="V267:Z267"/>
    <mergeCell ref="AE176:AG176"/>
    <mergeCell ref="AN155:AP155"/>
    <mergeCell ref="AL164:AM164"/>
    <mergeCell ref="W180:X180"/>
    <mergeCell ref="AE185:AG185"/>
    <mergeCell ref="AE175:AG175"/>
    <mergeCell ref="AF183:AH183"/>
    <mergeCell ref="AE167:AG167"/>
    <mergeCell ref="Y215:AA215"/>
    <mergeCell ref="AE174:AF174"/>
    <mergeCell ref="AK231:AM231"/>
    <mergeCell ref="AB243:AC243"/>
    <mergeCell ref="AK233:AM233"/>
    <mergeCell ref="AC241:AD241"/>
    <mergeCell ref="AK232:AM232"/>
    <mergeCell ref="AG231:AI231"/>
    <mergeCell ref="AG233:AI233"/>
    <mergeCell ref="AN234:AT234"/>
    <mergeCell ref="AN244:AT244"/>
    <mergeCell ref="C236:N236"/>
    <mergeCell ref="C252:K252"/>
    <mergeCell ref="X295:AC295"/>
    <mergeCell ref="S302:U302"/>
    <mergeCell ref="S292:T292"/>
    <mergeCell ref="S290:T290"/>
    <mergeCell ref="S289:T289"/>
    <mergeCell ref="C294:AT294"/>
    <mergeCell ref="S301:U301"/>
    <mergeCell ref="S291:T291"/>
    <mergeCell ref="S285:T285"/>
    <mergeCell ref="C301:L301"/>
    <mergeCell ref="P292:Q292"/>
    <mergeCell ref="W301:Z301"/>
    <mergeCell ref="AH296:AJ296"/>
    <mergeCell ref="AH302:AJ302"/>
    <mergeCell ref="O302:P302"/>
    <mergeCell ref="AH301:AJ301"/>
    <mergeCell ref="Z299:AB299"/>
    <mergeCell ref="AH299:AJ299"/>
    <mergeCell ref="AD302:AF302"/>
    <mergeCell ref="W302:Z302"/>
    <mergeCell ref="AD301:AF301"/>
    <mergeCell ref="AN293:AT293"/>
    <mergeCell ref="AA257:AE257"/>
    <mergeCell ref="W243:X243"/>
    <mergeCell ref="W253:Y253"/>
    <mergeCell ref="AC248:AD248"/>
    <mergeCell ref="AC249:AD249"/>
    <mergeCell ref="AC252:AD252"/>
    <mergeCell ref="W252:Y252"/>
    <mergeCell ref="AQ258:AR258"/>
    <mergeCell ref="AM258:AP258"/>
    <mergeCell ref="AS265:AT265"/>
    <mergeCell ref="AK266:AM266"/>
    <mergeCell ref="AM264:AP264"/>
    <mergeCell ref="AS264:AT264"/>
    <mergeCell ref="AQ265:AR265"/>
    <mergeCell ref="AQ264:AR264"/>
    <mergeCell ref="AS262:AT262"/>
    <mergeCell ref="AI262:AK262"/>
    <mergeCell ref="AS263:AT263"/>
    <mergeCell ref="AS259:AT259"/>
    <mergeCell ref="AS261:AT261"/>
    <mergeCell ref="AS260:AT260"/>
    <mergeCell ref="AM263:AP263"/>
    <mergeCell ref="AL199:AM199"/>
    <mergeCell ref="AB200:AC200"/>
    <mergeCell ref="I178:J178"/>
    <mergeCell ref="I187:J187"/>
    <mergeCell ref="O189:Q189"/>
    <mergeCell ref="S190:AL190"/>
    <mergeCell ref="X182:Z182"/>
    <mergeCell ref="AL200:AM200"/>
    <mergeCell ref="W189:X189"/>
    <mergeCell ref="AH191:AU191"/>
    <mergeCell ref="AS190:AT190"/>
    <mergeCell ref="AN195:AU195"/>
    <mergeCell ref="C196:AT196"/>
    <mergeCell ref="AE199:AG199"/>
    <mergeCell ref="AB166:AC166"/>
    <mergeCell ref="I183:K183"/>
    <mergeCell ref="Y166:Z166"/>
    <mergeCell ref="Y174:Z174"/>
    <mergeCell ref="Y172:AA172"/>
    <mergeCell ref="I174:K174"/>
    <mergeCell ref="Y180:AA180"/>
    <mergeCell ref="AB174:AC174"/>
    <mergeCell ref="F173:K173"/>
    <mergeCell ref="I166:K166"/>
    <mergeCell ref="O180:Q180"/>
    <mergeCell ref="AI165:AK165"/>
    <mergeCell ref="Y147:AA147"/>
    <mergeCell ref="AL165:AM165"/>
    <mergeCell ref="AI163:AK163"/>
    <mergeCell ref="AB163:AC163"/>
    <mergeCell ref="AH160:AU160"/>
    <mergeCell ref="AL163:AM163"/>
    <mergeCell ref="AR161:AT161"/>
    <mergeCell ref="AF158:AL158"/>
    <mergeCell ref="AS159:AT159"/>
    <mergeCell ref="AI164:AK164"/>
    <mergeCell ref="AB164:AC164"/>
    <mergeCell ref="AN159:AR159"/>
    <mergeCell ref="AE152:AG152"/>
    <mergeCell ref="AF148:AL148"/>
    <mergeCell ref="AN158:AR158"/>
    <mergeCell ref="AS158:AT158"/>
    <mergeCell ref="AN148:AR148"/>
  </mergeCells>
  <phoneticPr fontId="2" type="noConversion"/>
  <printOptions horizontalCentered="1"/>
  <pageMargins left="0.5" right="0.3" top="0.5" bottom="0.4" header="0.25" footer="0.3"/>
  <pageSetup paperSize="9" scale="90" orientation="portrait" r:id="rId1"/>
  <headerFooter alignWithMargins="0">
    <oddHeader>&amp;RPackage No.:GKIP/KUS/W-1/12-13</oddHeader>
    <oddFooter>&amp;RPage &amp;P of &amp;N</oddFooter>
  </headerFooter>
  <rowBreaks count="3" manualBreakCount="3">
    <brk id="54" max="48" man="1"/>
    <brk id="237" max="48" man="1"/>
    <brk id="293" max="48" man="1"/>
  </rowBreaks>
  <drawing r:id="rId2"/>
</worksheet>
</file>

<file path=xl/worksheets/sheet3.xml><?xml version="1.0" encoding="utf-8"?>
<worksheet xmlns="http://schemas.openxmlformats.org/spreadsheetml/2006/main" xmlns:r="http://schemas.openxmlformats.org/officeDocument/2006/relationships">
  <dimension ref="A1:I65"/>
  <sheetViews>
    <sheetView view="pageBreakPreview" zoomScale="145" zoomScaleSheetLayoutView="100" workbookViewId="0">
      <selection activeCell="C23" sqref="C23"/>
    </sheetView>
  </sheetViews>
  <sheetFormatPr defaultRowHeight="12.75"/>
  <cols>
    <col min="1" max="1" width="4.28515625" style="37" customWidth="1"/>
    <col min="2" max="2" width="9.42578125" style="152" customWidth="1"/>
    <col min="3" max="3" width="58.85546875" style="49" customWidth="1"/>
    <col min="4" max="4" width="5.28515625" style="37" customWidth="1"/>
    <col min="5" max="5" width="8.28515625" style="152" customWidth="1"/>
    <col min="6" max="6" width="7.42578125" style="152" customWidth="1"/>
    <col min="7" max="7" width="13" style="37" customWidth="1"/>
    <col min="8" max="8" width="15.85546875" style="8" bestFit="1" customWidth="1"/>
    <col min="9" max="9" width="13.85546875" style="8" bestFit="1" customWidth="1"/>
    <col min="10" max="10" width="12" style="8" bestFit="1" customWidth="1"/>
    <col min="11" max="11" width="9.42578125" style="8" customWidth="1"/>
    <col min="12" max="12" width="15.42578125" style="8" customWidth="1"/>
    <col min="13" max="13" width="13.5703125" style="8" customWidth="1"/>
    <col min="14" max="16384" width="9.140625" style="8"/>
  </cols>
  <sheetData>
    <row r="1" spans="1:8" ht="19.5" customHeight="1">
      <c r="A1" s="408" t="s">
        <v>54</v>
      </c>
      <c r="B1" s="408"/>
      <c r="C1" s="408"/>
      <c r="D1" s="408"/>
      <c r="E1" s="408"/>
      <c r="F1" s="408"/>
      <c r="G1" s="408"/>
    </row>
    <row r="2" spans="1:8" ht="38.25" customHeight="1">
      <c r="A2" s="409" t="str">
        <f>'Cover Page'!A23:AK23</f>
        <v>Repair &amp; Rehabilitation of Head Regulator of Kushtia (HRK) at Km 10.60 of Kushtia Main Canal (KMC) in c/w Rehabilitation of the Ganges-Kobadak Irrigation Project under Kushtia O &amp; M Division, BWDB, Kushtia.</v>
      </c>
      <c r="B2" s="409"/>
      <c r="C2" s="409"/>
      <c r="D2" s="409"/>
      <c r="E2" s="409"/>
      <c r="F2" s="409"/>
      <c r="G2" s="409"/>
    </row>
    <row r="3" spans="1:8" s="38" customFormat="1" ht="24.75" customHeight="1">
      <c r="A3" s="11" t="s">
        <v>146</v>
      </c>
      <c r="B3" s="12" t="s">
        <v>55</v>
      </c>
      <c r="C3" s="11" t="s">
        <v>1</v>
      </c>
      <c r="D3" s="11" t="s">
        <v>35</v>
      </c>
      <c r="E3" s="11" t="s">
        <v>36</v>
      </c>
      <c r="F3" s="11" t="s">
        <v>37</v>
      </c>
      <c r="G3" s="11" t="s">
        <v>38</v>
      </c>
    </row>
    <row r="4" spans="1:8" s="39" customFormat="1" ht="80.25" customHeight="1">
      <c r="A4" s="36">
        <v>1</v>
      </c>
      <c r="B4" s="35" t="str">
        <f>Estimate!B4</f>
        <v>04-120</v>
      </c>
      <c r="C4" s="41" t="str">
        <f>Estimate!C4</f>
        <v>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v>
      </c>
      <c r="D4" s="35" t="s">
        <v>12</v>
      </c>
      <c r="E4" s="35">
        <f>Estimate!AV6</f>
        <v>1</v>
      </c>
      <c r="F4" s="46">
        <v>1116</v>
      </c>
      <c r="G4" s="244">
        <f>ROUND(E4*F4,2)</f>
        <v>1116</v>
      </c>
    </row>
    <row r="5" spans="1:8" s="39" customFormat="1" ht="52.5" customHeight="1">
      <c r="A5" s="36">
        <v>2</v>
      </c>
      <c r="B5" s="35" t="str">
        <f>Estimate!B7</f>
        <v>04-180</v>
      </c>
      <c r="C5" s="41" t="str">
        <f>Estimate!C7</f>
        <v>Site preparation by manually removing all miscellaneous objectional materials from entire site and removing soil upto 15cm depth including uprooting stumps, jungle clearing, levelling dressing etc. complete as per direction of Engineer in charge.</v>
      </c>
      <c r="D5" s="35" t="str">
        <f>Estimate!AW10</f>
        <v>Sqm</v>
      </c>
      <c r="E5" s="42">
        <f>Estimate!AV10</f>
        <v>328</v>
      </c>
      <c r="F5" s="46">
        <v>24</v>
      </c>
      <c r="G5" s="244">
        <f>ROUND(E5*F5,2)</f>
        <v>7872</v>
      </c>
    </row>
    <row r="6" spans="1:8" s="39" customFormat="1" ht="27" customHeight="1">
      <c r="A6" s="36">
        <v>3</v>
      </c>
      <c r="B6" s="35" t="str">
        <f>Estimate!B11</f>
        <v>04-320</v>
      </c>
      <c r="C6" s="41" t="str">
        <f>Estimate!C11</f>
        <v>Supplying bamboo pegs 0.45 m to 0.75 m long and average dia 6 cm, with saw cut top as per direction of Engineer in charge.</v>
      </c>
      <c r="D6" s="35" t="s">
        <v>12</v>
      </c>
      <c r="E6" s="35">
        <f>Estimate!AV17</f>
        <v>88</v>
      </c>
      <c r="F6" s="46">
        <v>26</v>
      </c>
      <c r="G6" s="244">
        <f t="shared" ref="G6:G33" si="0">ROUND(E6*F6,2)</f>
        <v>2288</v>
      </c>
    </row>
    <row r="7" spans="1:8" s="39" customFormat="1" ht="27" customHeight="1">
      <c r="A7" s="36">
        <v>4</v>
      </c>
      <c r="B7" s="35" t="str">
        <f>Estimate!B18</f>
        <v>04-330</v>
      </c>
      <c r="C7" s="41" t="str">
        <f>Estimate!C18</f>
        <v>Labour charge for fixing the bamboo pegs 0.45m to 0.75m long and average dia 6cm, as per direction of Engineer in charge</v>
      </c>
      <c r="D7" s="35" t="s">
        <v>12</v>
      </c>
      <c r="E7" s="35">
        <f>E6</f>
        <v>88</v>
      </c>
      <c r="F7" s="46">
        <v>2</v>
      </c>
      <c r="G7" s="244">
        <f t="shared" si="0"/>
        <v>176</v>
      </c>
    </row>
    <row r="8" spans="1:8" s="39" customFormat="1" ht="41.25" customHeight="1">
      <c r="A8" s="36">
        <v>5</v>
      </c>
      <c r="B8" s="35" t="str">
        <f>Estimate!B21</f>
        <v>04-280-10</v>
      </c>
      <c r="C8" s="41" t="str">
        <f>Estimate!C21</f>
        <v>Constructing at site, cement mortar gauge on masonry wall, including engraving in meter, decimeter &amp; centimeter, painting and figuring with black and red water proof paint, etc. complete as per direction of Engineer in charge.</v>
      </c>
      <c r="D8" s="35" t="s">
        <v>6</v>
      </c>
      <c r="E8" s="42">
        <f>Estimate!AV25</f>
        <v>15</v>
      </c>
      <c r="F8" s="46">
        <v>71</v>
      </c>
      <c r="G8" s="244">
        <f t="shared" si="0"/>
        <v>1065</v>
      </c>
    </row>
    <row r="9" spans="1:8" s="39" customFormat="1" ht="25.5" customHeight="1">
      <c r="A9" s="405">
        <v>6</v>
      </c>
      <c r="B9" s="35" t="str">
        <f>Estimate!B26</f>
        <v>52-110</v>
      </c>
      <c r="C9" s="41" t="str">
        <f>Estimate!C26</f>
        <v>Dismantling of construction works, including removing debris within 60m as per direction of Engineer in charge.</v>
      </c>
      <c r="D9" s="35"/>
      <c r="E9" s="43"/>
      <c r="F9" s="46"/>
      <c r="G9" s="244">
        <f t="shared" si="0"/>
        <v>0</v>
      </c>
    </row>
    <row r="10" spans="1:8" s="39" customFormat="1" ht="12.75" customHeight="1">
      <c r="A10" s="407"/>
      <c r="B10" s="35" t="str">
        <f>Estimate!B27</f>
        <v>52-110-30</v>
      </c>
      <c r="C10" s="41" t="str">
        <f>Estimate!C27</f>
        <v>brick masonry in cement</v>
      </c>
      <c r="D10" s="35" t="str">
        <f>Estimate!AW36</f>
        <v>cum</v>
      </c>
      <c r="E10" s="42">
        <f>Estimate!AV36</f>
        <v>341.07499999999993</v>
      </c>
      <c r="F10" s="42">
        <v>418</v>
      </c>
      <c r="G10" s="244">
        <f t="shared" si="0"/>
        <v>142569.35</v>
      </c>
      <c r="H10" s="40"/>
    </row>
    <row r="11" spans="1:8" s="39" customFormat="1" ht="52.5" customHeight="1">
      <c r="A11" s="405">
        <v>7</v>
      </c>
      <c r="B11" s="35" t="str">
        <f>Estimate!B37</f>
        <v>40-440</v>
      </c>
      <c r="C11" s="41" t="str">
        <f>Estimate!C37</f>
        <v>Supplying and filling empty gunny/synthetic bags as approved in design &amp; drawing with sand/ earth available at site sewing the end with sutly, including carrying and placing in position within the site with supply of all materials as per direction of Engineer in charge.</v>
      </c>
      <c r="D11" s="75"/>
      <c r="E11" s="242"/>
      <c r="F11" s="42"/>
      <c r="G11" s="242"/>
      <c r="H11" s="40"/>
    </row>
    <row r="12" spans="1:8" s="39" customFormat="1" ht="18" customHeight="1">
      <c r="A12" s="407"/>
      <c r="B12" s="35" t="str">
        <f>Estimate!B38</f>
        <v>40-440-30</v>
      </c>
      <c r="C12" s="50" t="str">
        <f>Estimate!C38</f>
        <v>Capacity : 50 kg. (Synthetic bag)</v>
      </c>
      <c r="D12" s="46" t="s">
        <v>12</v>
      </c>
      <c r="E12" s="43">
        <f>Estimate!AV50</f>
        <v>20208.839999999986</v>
      </c>
      <c r="F12" s="42">
        <v>19</v>
      </c>
      <c r="G12" s="244">
        <f>ROUND(E12*F12,2)</f>
        <v>383967.96</v>
      </c>
      <c r="H12" s="40"/>
    </row>
    <row r="13" spans="1:8" s="39" customFormat="1" ht="144" customHeight="1">
      <c r="A13" s="36">
        <v>8</v>
      </c>
      <c r="B13" s="35" t="str">
        <f>Estimate!B51</f>
        <v>16-360-10</v>
      </c>
      <c r="C13" s="41" t="str">
        <f>Estimate!C51</f>
        <v xml:space="preserve">Earth work by carried earth by truck/boat or any other means supplied at contractor's own cost (including royalty) in constructing/ resectioning of the embankment/ canal bank/ road etc. in clayey soil (minimum 30% clay, 0-40% silt and 0-30% sand) beyond the initial lead of 300m including throwing the spoils to a profile in layers not exceeding 150mm in thickness, breaking clods, benching the side slopes, stripping the base of embankment and borrow pit area, dug bailing, cutting trees upto 200mm girth with uprooting stumps, clearing jungles, bail out of water, rough dressing and 150mm cambering at the centre of the crest etc. complete as per design, specification and direction of Engineer in charge.
16-360-10: 300 m to 1.00 km
</v>
      </c>
      <c r="D13" s="35" t="s">
        <v>24</v>
      </c>
      <c r="E13" s="42">
        <f>Estimate!AV71</f>
        <v>2978.9318000000017</v>
      </c>
      <c r="F13" s="46">
        <v>260</v>
      </c>
      <c r="G13" s="244">
        <f>ROUND(E13*F13,2)</f>
        <v>774522.27</v>
      </c>
    </row>
    <row r="14" spans="1:8" s="39" customFormat="1" ht="52.5" customHeight="1">
      <c r="A14" s="36">
        <v>9</v>
      </c>
      <c r="B14" s="35" t="str">
        <f>Estimate!B72</f>
        <v>40-900</v>
      </c>
      <c r="C14" s="41" t="str">
        <f>Estimate!C72</f>
        <v xml:space="preserve">Earth work in cutting and filling of eroded bank of river, channel etc. to design slope, including levelling, dressing and compacting the earth in 150mm layers and preparation of the base for bank protection work as per direction of Engineer in charge. </v>
      </c>
      <c r="D14" s="35" t="s">
        <v>24</v>
      </c>
      <c r="E14" s="42">
        <f>Estimate!AV84</f>
        <v>761.01819999999998</v>
      </c>
      <c r="F14" s="46">
        <v>124</v>
      </c>
      <c r="G14" s="244">
        <f>ROUND(E14*F14,2)</f>
        <v>94366.26</v>
      </c>
    </row>
    <row r="15" spans="1:8" s="39" customFormat="1" ht="66" customHeight="1">
      <c r="A15" s="36">
        <v>10</v>
      </c>
      <c r="B15" s="35" t="str">
        <f>Estimate!B85</f>
        <v>16-310-10</v>
      </c>
      <c r="C15" s="41" t="str">
        <f>Estimate!C85</f>
        <v>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v>
      </c>
      <c r="D15" s="35" t="s">
        <v>24</v>
      </c>
      <c r="E15" s="42">
        <f>Estimate!AV88</f>
        <v>101.64375000000001</v>
      </c>
      <c r="F15" s="46">
        <v>214</v>
      </c>
      <c r="G15" s="244">
        <f>ROUND(E15*F15,2)</f>
        <v>21751.759999999998</v>
      </c>
    </row>
    <row r="16" spans="1:8" s="39" customFormat="1" ht="54" customHeight="1">
      <c r="A16" s="405">
        <v>11</v>
      </c>
      <c r="B16" s="35" t="str">
        <f>Estimate!B89</f>
        <v>16-230</v>
      </c>
      <c r="C16" s="41" t="str">
        <f>Estimate!C89</f>
        <v>Compaction of earth in resectioning of embankment/ canal bank/ road/ river bank slopes/ compounds etc as per design to profile in layers not exceeding 150mm in thickness in all kinds of soils etc. complete as per direction of Engineer in charge.</v>
      </c>
      <c r="D16" s="36"/>
      <c r="E16" s="243"/>
      <c r="F16" s="46"/>
      <c r="G16" s="36"/>
    </row>
    <row r="17" spans="1:9" s="39" customFormat="1" ht="14.25" customHeight="1">
      <c r="A17" s="407"/>
      <c r="B17" s="35" t="str">
        <f>Estimate!B90</f>
        <v>16-230-20</v>
      </c>
      <c r="C17" s="41" t="str">
        <f>Estimate!C90</f>
        <v>By 7.00 kg. iron rammer to remove all voids from soil.</v>
      </c>
      <c r="D17" s="35" t="s">
        <v>24</v>
      </c>
      <c r="E17" s="42">
        <f>Estimate!AV93</f>
        <v>3739.9500000000016</v>
      </c>
      <c r="F17" s="46">
        <v>30</v>
      </c>
      <c r="G17" s="244">
        <f>ROUND(E17*F17,2)</f>
        <v>112198.5</v>
      </c>
    </row>
    <row r="18" spans="1:9" s="39" customFormat="1" ht="39.75" customHeight="1">
      <c r="A18" s="36">
        <v>12</v>
      </c>
      <c r="B18" s="35" t="str">
        <f>Estimate!B94</f>
        <v>44-220-10</v>
      </c>
      <c r="C18" s="41" t="str">
        <f>Estimate!C94</f>
        <v>Supplying and laying single layer polythene sheet in floor below cement concrete, RCC slab, on walls etc. complete in all respect as per direction of Engineer in charge.</v>
      </c>
      <c r="D18" s="35" t="s">
        <v>47</v>
      </c>
      <c r="E18" s="42">
        <f>Estimate!AV97</f>
        <v>24.599999999999998</v>
      </c>
      <c r="F18" s="46">
        <v>33</v>
      </c>
      <c r="G18" s="245">
        <f>ROUND(E18*F18,2)</f>
        <v>811.8</v>
      </c>
    </row>
    <row r="19" spans="1:9" s="39" customFormat="1" ht="64.5" customHeight="1">
      <c r="A19" s="405">
        <v>13</v>
      </c>
      <c r="B19" s="35" t="str">
        <f>Estimate!B98</f>
        <v>12-310</v>
      </c>
      <c r="C19" s="41" t="str">
        <f>Estimate!C98</f>
        <v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v>
      </c>
      <c r="D19" s="35"/>
      <c r="E19" s="43"/>
      <c r="F19" s="42"/>
      <c r="G19" s="244"/>
      <c r="H19" s="40"/>
    </row>
    <row r="20" spans="1:9" s="39" customFormat="1" ht="14.25" customHeight="1">
      <c r="A20" s="407"/>
      <c r="B20" s="11" t="str">
        <f>Estimate!B99</f>
        <v>12-310-20</v>
      </c>
      <c r="C20" s="76" t="str">
        <f>Estimate!C99</f>
        <v>by pump.</v>
      </c>
      <c r="D20" s="11" t="str">
        <f>Estimate!AW104</f>
        <v>cum</v>
      </c>
      <c r="E20" s="273">
        <f>Estimate!AV104</f>
        <v>42820.730671197962</v>
      </c>
      <c r="F20" s="42">
        <v>6</v>
      </c>
      <c r="G20" s="244">
        <f>ROUND(E20*F20,2)</f>
        <v>256924.38</v>
      </c>
      <c r="H20" s="40"/>
    </row>
    <row r="21" spans="1:9" s="39" customFormat="1" ht="91.5" customHeight="1">
      <c r="A21" s="405">
        <v>14</v>
      </c>
      <c r="B21" s="35" t="str">
        <f>Estimate!B105</f>
        <v>40-190</v>
      </c>
      <c r="C21" s="41" t="str">
        <f>Estimate!C105</f>
        <v>Manufacturing and supplying C.C. blocks in leanest mix. 1:3:6, with cement, sand (FM&gt;=1.5) and shingles (40mm down graded), to attain a minimum 28 days cylinder strength of 9.0 N/mm²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v>
      </c>
      <c r="D21" s="35"/>
      <c r="E21" s="35"/>
      <c r="F21" s="46"/>
      <c r="G21" s="244">
        <f t="shared" si="0"/>
        <v>0</v>
      </c>
    </row>
    <row r="22" spans="1:9" s="39" customFormat="1" ht="15.75" customHeight="1">
      <c r="A22" s="406"/>
      <c r="B22" s="35" t="str">
        <f>Estimate!B106</f>
        <v xml:space="preserve">40-190-35 </v>
      </c>
      <c r="C22" s="50" t="str">
        <f>Estimate!C106</f>
        <v>Block Size 40 cm x 40 cm x 40 cm</v>
      </c>
      <c r="D22" s="36" t="s">
        <v>12</v>
      </c>
      <c r="E22" s="36">
        <f>Estimate!AV124</f>
        <v>4125</v>
      </c>
      <c r="F22" s="46">
        <v>462</v>
      </c>
      <c r="G22" s="244">
        <f t="shared" si="0"/>
        <v>1905750</v>
      </c>
      <c r="H22" s="77">
        <f>4000/20000</f>
        <v>0.2</v>
      </c>
      <c r="I22" s="79">
        <f>6100000/G48</f>
        <v>0.56586433019936533</v>
      </c>
    </row>
    <row r="23" spans="1:9" s="39" customFormat="1" ht="13.5" customHeight="1">
      <c r="A23" s="406"/>
      <c r="B23" s="35" t="str">
        <f>Estimate!B125</f>
        <v xml:space="preserve">40-190-50  </v>
      </c>
      <c r="C23" s="50" t="str">
        <f>Estimate!C125</f>
        <v>Block Size 30 cm x 30 cm x 30 cm</v>
      </c>
      <c r="D23" s="36" t="s">
        <v>12</v>
      </c>
      <c r="E23" s="44">
        <f>Estimate!AV127</f>
        <v>7334</v>
      </c>
      <c r="F23" s="46">
        <v>242</v>
      </c>
      <c r="G23" s="244">
        <f t="shared" si="0"/>
        <v>1774828</v>
      </c>
      <c r="H23" s="79">
        <f>H22*0.57</f>
        <v>0.11399999999999999</v>
      </c>
    </row>
    <row r="24" spans="1:9" s="39" customFormat="1" ht="15" customHeight="1">
      <c r="A24" s="407"/>
      <c r="B24" s="35" t="str">
        <f>Estimate!B128</f>
        <v>40-190-40</v>
      </c>
      <c r="C24" s="50" t="str">
        <f>Estimate!C128</f>
        <v xml:space="preserve">Block size: 40cm x 40cm x 20cm </v>
      </c>
      <c r="D24" s="36" t="s">
        <v>12</v>
      </c>
      <c r="E24" s="44">
        <f>Estimate!AV161</f>
        <v>8425</v>
      </c>
      <c r="F24" s="46">
        <v>291</v>
      </c>
      <c r="G24" s="244">
        <f t="shared" si="0"/>
        <v>2451675</v>
      </c>
    </row>
    <row r="25" spans="1:9" s="39" customFormat="1" ht="53.25" customHeight="1">
      <c r="A25" s="36">
        <v>15</v>
      </c>
      <c r="B25" s="35" t="str">
        <f>Estimate!B162</f>
        <v>40-650-30</v>
      </c>
      <c r="C25" s="41" t="str">
        <f>Estimate!C162</f>
        <v>Supplying and laying sand as filter layers as per specific size ranges and gradation including preparation of surface, compacting in layer etc. complete with supply of all materials and as per direction of Engineer in charge.(FM = 1.00 to 1.50)</v>
      </c>
      <c r="D25" s="35" t="s">
        <v>24</v>
      </c>
      <c r="E25" s="35">
        <f>Estimate!AV192</f>
        <v>141.36733599999999</v>
      </c>
      <c r="F25" s="46">
        <v>823</v>
      </c>
      <c r="G25" s="244">
        <f t="shared" si="0"/>
        <v>116345.32</v>
      </c>
    </row>
    <row r="26" spans="1:9" s="39" customFormat="1" ht="54.75" customHeight="1">
      <c r="A26" s="405">
        <v>16</v>
      </c>
      <c r="B26" s="35" t="str">
        <f>Estimate!B193</f>
        <v>40-610</v>
      </c>
      <c r="C26" s="41" t="str">
        <f>Estimate!C193</f>
        <v>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v>
      </c>
      <c r="D26" s="35"/>
      <c r="E26" s="35"/>
      <c r="F26" s="46"/>
      <c r="G26" s="244">
        <f t="shared" si="0"/>
        <v>0</v>
      </c>
    </row>
    <row r="27" spans="1:9" s="39" customFormat="1" ht="13.5" customHeight="1">
      <c r="A27" s="406"/>
      <c r="B27" s="35" t="str">
        <f>Estimate!B194</f>
        <v>40-610-20</v>
      </c>
      <c r="C27" s="50" t="str">
        <f>Estimate!C194</f>
        <v>(A) 40-610-20 : Well graded between 40mm to 20mm size.</v>
      </c>
      <c r="D27" s="36" t="s">
        <v>12</v>
      </c>
      <c r="E27" s="45">
        <f>Estimate!AV194</f>
        <v>70.680000000000007</v>
      </c>
      <c r="F27" s="46">
        <v>3406</v>
      </c>
      <c r="G27" s="244">
        <f t="shared" si="0"/>
        <v>240736.08</v>
      </c>
    </row>
    <row r="28" spans="1:9" s="39" customFormat="1" ht="13.5" customHeight="1">
      <c r="A28" s="407"/>
      <c r="B28" s="35" t="str">
        <f>Estimate!B195</f>
        <v>40-610-30</v>
      </c>
      <c r="C28" s="50" t="str">
        <f>Estimate!C195</f>
        <v>(B) 40-610-30 : Well graded between 20mm to 5mm size.</v>
      </c>
      <c r="D28" s="36" t="s">
        <v>12</v>
      </c>
      <c r="E28" s="45">
        <f>Estimate!AV195</f>
        <v>70.680000000000007</v>
      </c>
      <c r="F28" s="46">
        <v>3702</v>
      </c>
      <c r="G28" s="244">
        <f t="shared" si="0"/>
        <v>261657.36</v>
      </c>
    </row>
    <row r="29" spans="1:9" s="39" customFormat="1" ht="142.5" customHeight="1">
      <c r="A29" s="405">
        <v>17</v>
      </c>
      <c r="B29" s="35" t="str">
        <f>Estimate!B196</f>
        <v>40-600</v>
      </c>
      <c r="C29" s="41" t="str">
        <f>Estimate!C196</f>
        <v xml:space="preserve">Supplying and placing non-woven needle punched type geotextile fabric as filter materials of  elongation &gt;=40%,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charge.(Geotextile delivered at site should be certified by ISO and clearly labelled with brand name and grade printed at regular intervals accross the body of the fabric). 40-600-40 </v>
      </c>
      <c r="D29" s="35"/>
      <c r="E29" s="35"/>
      <c r="F29" s="46"/>
      <c r="G29" s="244">
        <f t="shared" si="0"/>
        <v>0</v>
      </c>
    </row>
    <row r="30" spans="1:9" s="39" customFormat="1" ht="38.25" customHeight="1">
      <c r="A30" s="407"/>
      <c r="B30" s="36" t="str">
        <f>Estimate!B197</f>
        <v>40-600-40</v>
      </c>
      <c r="C30" s="41" t="str">
        <f>Estimate!C197</f>
        <v>Mass =&gt;350gm/m², thickness(Under 2 kpa pressure)  =&gt;3.00 mm, EoS&lt;=0.08mm, strip tensile strength =&gt;23 kn/m, grab strength =&gt;1500 N, CBR puncture resistance =&gt;3800 N.</v>
      </c>
      <c r="D30" s="35" t="s">
        <v>22</v>
      </c>
      <c r="E30" s="42">
        <f>Estimate!AV228</f>
        <v>1558.5413599999997</v>
      </c>
      <c r="F30" s="46">
        <v>243</v>
      </c>
      <c r="G30" s="244">
        <f t="shared" si="0"/>
        <v>378725.55</v>
      </c>
    </row>
    <row r="31" spans="1:9" s="39" customFormat="1" ht="39" customHeight="1">
      <c r="A31" s="405">
        <v>18</v>
      </c>
      <c r="B31" s="35" t="str">
        <f>Estimate!B229</f>
        <v>40-220</v>
      </c>
      <c r="C31" s="41" t="str">
        <f>Estimate!C229</f>
        <v>Labour charge for protective works in laying CC blocks of different sizes including preparation of base, watering and ramming of base etc. complete as per direction of Engineer in charge.</v>
      </c>
      <c r="D31" s="36"/>
      <c r="E31" s="45"/>
      <c r="F31" s="46"/>
      <c r="G31" s="244">
        <f t="shared" si="0"/>
        <v>0</v>
      </c>
      <c r="H31" s="39">
        <v>900.05</v>
      </c>
    </row>
    <row r="32" spans="1:9" s="39" customFormat="1" ht="13.5" customHeight="1">
      <c r="A32" s="406"/>
      <c r="B32" s="35" t="str">
        <f>Estimate!B230</f>
        <v>40-220-10</v>
      </c>
      <c r="C32" s="41" t="str">
        <f>Estimate!C230</f>
        <v xml:space="preserve"> (A) within 200 M</v>
      </c>
      <c r="D32" s="36" t="s">
        <v>24</v>
      </c>
      <c r="E32" s="45">
        <f>Estimate!AV235</f>
        <v>292.6472</v>
      </c>
      <c r="F32" s="46">
        <v>981</v>
      </c>
      <c r="G32" s="244">
        <f t="shared" si="0"/>
        <v>287086.90000000002</v>
      </c>
    </row>
    <row r="33" spans="1:8" s="39" customFormat="1" ht="14.25" customHeight="1">
      <c r="A33" s="407"/>
      <c r="B33" s="35" t="str">
        <f>Estimate!B236</f>
        <v>40-220-20</v>
      </c>
      <c r="C33" s="41" t="str">
        <f>Estimate!C236</f>
        <v xml:space="preserve"> (B)Beyond 200 M</v>
      </c>
      <c r="D33" s="36" t="s">
        <v>24</v>
      </c>
      <c r="E33" s="45">
        <f>Estimate!AV237</f>
        <v>438.97079999999994</v>
      </c>
      <c r="F33" s="46">
        <v>1757</v>
      </c>
      <c r="G33" s="244">
        <f t="shared" si="0"/>
        <v>771271.7</v>
      </c>
      <c r="H33" s="79">
        <f>E33+E32</f>
        <v>731.61799999999994</v>
      </c>
    </row>
    <row r="34" spans="1:8" s="39" customFormat="1" ht="77.25" customHeight="1">
      <c r="A34" s="36">
        <v>19</v>
      </c>
      <c r="B34" s="35" t="str">
        <f>Estimate!B238</f>
        <v>28-120-30</v>
      </c>
      <c r="C34" s="41" t="str">
        <f>Estimate!C238</f>
        <v>Cement concrete work in leanest mix (1:3:6) with sand of FM&gt;1.5, in foundation or floor including braking, screening, grading and washing aggregates with clear water, mixing, laying in position, consolidation to levels, curing, including supply of all materials, execuding the cost of formwork etc. complete as per direction of Engineer in charge, (with 25mm down graded stone shingles.)</v>
      </c>
      <c r="D34" s="35" t="s">
        <v>24</v>
      </c>
      <c r="E34" s="42">
        <f>Estimate!AV244</f>
        <v>4.8544800000000006</v>
      </c>
      <c r="F34" s="46">
        <v>8014</v>
      </c>
      <c r="G34" s="244">
        <f>ROUND(E34*F34,2)</f>
        <v>38903.800000000003</v>
      </c>
      <c r="H34" s="79">
        <f>H33*F33</f>
        <v>1285452.8259999999</v>
      </c>
    </row>
    <row r="35" spans="1:8" s="39" customFormat="1" ht="76.5" customHeight="1">
      <c r="A35" s="405">
        <v>20</v>
      </c>
      <c r="B35" s="35" t="str">
        <f>Estimate!B245</f>
        <v>36-100</v>
      </c>
      <c r="C35" s="41" t="str">
        <f>Estimate!C245</f>
        <v>Form work for centering and water tight shuttering as per drawing with minimum 25mm thick wooden plank and batten (minimum size 75mmx50mm), struts and props including covering the surface with 28 BWG plain GI sheet, fitting, fixing by nails, tie rods and nuts &amp; bolts to desired level and shape and removing the forms etc. after specified period including the cost of all materials as per direction of Engineer in charge.</v>
      </c>
      <c r="D35" s="35"/>
      <c r="E35" s="42"/>
      <c r="F35" s="46"/>
      <c r="G35" s="244">
        <f t="shared" ref="G35:G45" si="1">ROUND(E35*F35,2)</f>
        <v>0</v>
      </c>
    </row>
    <row r="36" spans="1:8" s="39" customFormat="1" ht="24" customHeight="1">
      <c r="A36" s="406"/>
      <c r="B36" s="35" t="str">
        <f>Estimate!B246</f>
        <v>36-100-10</v>
      </c>
      <c r="C36" s="41" t="str">
        <f>Estimate!C246</f>
        <v>Vertical and inclined walls, columns, piers with 60-80mm dia barrack bamboo props.</v>
      </c>
      <c r="D36" s="35" t="str">
        <f>Estimate!AW252</f>
        <v>sqm</v>
      </c>
      <c r="E36" s="42">
        <f>Estimate!AV250</f>
        <v>26.099999999999998</v>
      </c>
      <c r="F36" s="46">
        <v>695</v>
      </c>
      <c r="G36" s="244">
        <f t="shared" si="1"/>
        <v>18139.5</v>
      </c>
    </row>
    <row r="37" spans="1:8" s="39" customFormat="1" ht="24.75" customHeight="1">
      <c r="A37" s="407"/>
      <c r="B37" s="35" t="str">
        <f>Estimate!B251</f>
        <v>36-100-60</v>
      </c>
      <c r="C37" s="41" t="str">
        <f>Estimate!C251</f>
        <v>Footing, footing beams, girder beams, foundation slab with 60-80mm dia barrack bamboo props.</v>
      </c>
      <c r="D37" s="35" t="str">
        <f>Estimate!AW253</f>
        <v>sqm</v>
      </c>
      <c r="E37" s="42">
        <f>Estimate!AV254</f>
        <v>6.2000000000000011</v>
      </c>
      <c r="F37" s="46">
        <v>632</v>
      </c>
      <c r="G37" s="244">
        <f t="shared" si="1"/>
        <v>3918.4</v>
      </c>
    </row>
    <row r="38" spans="1:8" s="39" customFormat="1" ht="63.75" customHeight="1">
      <c r="A38" s="405">
        <v>21</v>
      </c>
      <c r="B38" s="35" t="str">
        <f>Estimate!B255</f>
        <v>76-110</v>
      </c>
      <c r="C38" s="41" t="str">
        <f>Estimate!C255</f>
        <v>M.S. Work for reinforcement with deformed M.S. bar, fy=276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v>
      </c>
      <c r="D38" s="35"/>
      <c r="E38" s="42"/>
      <c r="F38" s="46"/>
      <c r="G38" s="244">
        <f t="shared" si="1"/>
        <v>0</v>
      </c>
    </row>
    <row r="39" spans="1:8" s="39" customFormat="1" ht="15" customHeight="1">
      <c r="A39" s="407"/>
      <c r="B39" s="35" t="str">
        <f>Estimate!B256</f>
        <v>76-110-10</v>
      </c>
      <c r="C39" s="41" t="str">
        <f>Estimate!C256</f>
        <v>8mm dia to 30mm dia</v>
      </c>
      <c r="D39" s="35" t="s">
        <v>112</v>
      </c>
      <c r="E39" s="42">
        <f>Estimate!AV271</f>
        <v>832.95749999999998</v>
      </c>
      <c r="F39" s="46">
        <v>94</v>
      </c>
      <c r="G39" s="244">
        <f t="shared" si="1"/>
        <v>78298.009999999995</v>
      </c>
    </row>
    <row r="40" spans="1:8" s="39" customFormat="1" ht="93.75" customHeight="1">
      <c r="A40" s="405">
        <v>22</v>
      </c>
      <c r="B40" s="35" t="str">
        <f>Estimate!B272</f>
        <v>28-140</v>
      </c>
      <c r="C40" s="41" t="str">
        <f>Estimate!C272</f>
        <v>Reinforced Cement Concrete Works in leanest mix. 1:2:4 with 25mm down graded coarse aggregates and sand of FM&gt;1.5, to attain a minimum 28 days cylinder strength of 18.0 N/mm², including breaking, screening, grading, washing aggregates with clear water, mixing, laying in forms, consolidation to levels, curing, including supply of all materials, excluding the cost of M.S. work for reinforcements and formworks etc. complete and as per direction of Engineer in charge.</v>
      </c>
      <c r="D40" s="35"/>
      <c r="E40" s="42"/>
      <c r="F40" s="46"/>
      <c r="G40" s="244">
        <f t="shared" si="1"/>
        <v>0</v>
      </c>
    </row>
    <row r="41" spans="1:8" s="39" customFormat="1" ht="15" customHeight="1">
      <c r="A41" s="407"/>
      <c r="B41" s="35" t="str">
        <f>Estimate!B273</f>
        <v>28-140-20</v>
      </c>
      <c r="C41" s="41" t="str">
        <f>Estimate!C273</f>
        <v>With stone chips.</v>
      </c>
      <c r="D41" s="35" t="str">
        <f>Estimate!AW279</f>
        <v>cum</v>
      </c>
      <c r="E41" s="42">
        <f>Estimate!AV279</f>
        <v>9.42</v>
      </c>
      <c r="F41" s="46">
        <v>10178</v>
      </c>
      <c r="G41" s="244">
        <f t="shared" si="1"/>
        <v>95876.76</v>
      </c>
    </row>
    <row r="42" spans="1:8" s="39" customFormat="1" ht="54" customHeight="1">
      <c r="A42" s="405">
        <v>23</v>
      </c>
      <c r="B42" s="35" t="str">
        <f>Estimate!B280</f>
        <v>24-130</v>
      </c>
      <c r="C42" s="41" t="str">
        <f>Estimate!C280</f>
        <v>Minimum 12mm thick sand cement plaster, (sand of FM&gt;=1.30) in  ground floor, including scaffolding, raking out joints, making sharp edges and corners, cleaning the surface, curing for at least 7 days etc. complete including the cost of all materials  and as per direction of Engineer in charge.</v>
      </c>
      <c r="D42" s="35"/>
      <c r="E42" s="42"/>
      <c r="F42" s="46"/>
      <c r="G42" s="244">
        <f t="shared" si="1"/>
        <v>0</v>
      </c>
    </row>
    <row r="43" spans="1:8" s="39" customFormat="1" ht="14.25" customHeight="1">
      <c r="A43" s="407"/>
      <c r="B43" s="35" t="str">
        <f>Estimate!B281</f>
        <v>24-130-10</v>
      </c>
      <c r="C43" s="41" t="str">
        <f>Estimate!C281</f>
        <v>Proportion 1:4</v>
      </c>
      <c r="D43" s="35" t="str">
        <f>Estimate!AW293</f>
        <v>sqm</v>
      </c>
      <c r="E43" s="42">
        <f>Estimate!AV293</f>
        <v>350.2328</v>
      </c>
      <c r="F43" s="46">
        <v>229</v>
      </c>
      <c r="G43" s="244">
        <f t="shared" si="1"/>
        <v>80203.31</v>
      </c>
    </row>
    <row r="44" spans="1:8" s="39" customFormat="1" ht="78.75" customHeight="1">
      <c r="A44" s="36">
        <v>24</v>
      </c>
      <c r="B44" s="35" t="str">
        <f>Estimate!B294</f>
        <v>16-220</v>
      </c>
      <c r="C44" s="41" t="str">
        <f>Estimate!C294</f>
        <v>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v>
      </c>
      <c r="D44" s="35" t="str">
        <f>Estimate!AW304</f>
        <v>cum</v>
      </c>
      <c r="E44" s="42">
        <f>Estimate!AV304</f>
        <v>1802.5</v>
      </c>
      <c r="F44" s="46">
        <v>124</v>
      </c>
      <c r="G44" s="244">
        <f t="shared" si="1"/>
        <v>223510</v>
      </c>
    </row>
    <row r="45" spans="1:8" s="39" customFormat="1" ht="52.5" customHeight="1">
      <c r="A45" s="36">
        <v>25</v>
      </c>
      <c r="B45" s="35" t="str">
        <f>Estimate!B305</f>
        <v>16-240</v>
      </c>
      <c r="C45" s="41" t="str">
        <f>Estimate!C305</f>
        <v>Earth work by manual labour, in all kinds of soil in removing the cross bundh/ ring bundh, including all leads and lifts complete and placing the spoils to a safe distance, (minimun 15m apart from the bank) as per direction of Engineer in charge.</v>
      </c>
      <c r="D45" s="35" t="s">
        <v>24</v>
      </c>
      <c r="E45" s="42">
        <f>Estimate!AV307</f>
        <v>1802.5</v>
      </c>
      <c r="F45" s="46">
        <v>124</v>
      </c>
      <c r="G45" s="244">
        <f t="shared" si="1"/>
        <v>223510</v>
      </c>
    </row>
    <row r="46" spans="1:8" s="39" customFormat="1" ht="55.5" customHeight="1">
      <c r="A46" s="36">
        <v>26</v>
      </c>
      <c r="B46" s="35" t="str">
        <f>Estimate!B308</f>
        <v>16-530</v>
      </c>
      <c r="C46" s="41" t="str">
        <f>Estimate!C308</f>
        <v>Back filling in hydraulic structures and slope building in protective works including all leads and lifts with selected local soil in layer of 150mm including watering, ramming etc. complete compacted to 20% relative density by compactor or anyother suitable method as per direction of Engineer in charge.</v>
      </c>
      <c r="D46" s="35" t="s">
        <v>24</v>
      </c>
      <c r="E46" s="42">
        <f>Estimate!AV312</f>
        <v>91.566249999999997</v>
      </c>
      <c r="F46" s="46">
        <v>138</v>
      </c>
      <c r="G46" s="244">
        <f>ROUND(E46*F46,2)</f>
        <v>12636.14</v>
      </c>
    </row>
    <row r="47" spans="1:8" s="39" customFormat="1" ht="13.5" customHeight="1">
      <c r="A47" s="36">
        <v>27</v>
      </c>
      <c r="B47" s="35" t="str">
        <f>Estimate!B313</f>
        <v>20-250</v>
      </c>
      <c r="C47" s="50" t="str">
        <f>Estimate!C313</f>
        <v>Cole Tar: Epoxy</v>
      </c>
      <c r="D47" s="36" t="str">
        <f>Estimate!AW315</f>
        <v xml:space="preserve">ltr </v>
      </c>
      <c r="E47" s="46">
        <f>Estimate!AV315</f>
        <v>2</v>
      </c>
      <c r="F47" s="46">
        <v>8634</v>
      </c>
      <c r="G47" s="244">
        <f>ROUND(E47*F47,2)</f>
        <v>17268</v>
      </c>
    </row>
    <row r="48" spans="1:8" s="39" customFormat="1" ht="15.75">
      <c r="A48" s="411" t="s">
        <v>229</v>
      </c>
      <c r="B48" s="412"/>
      <c r="C48" s="412"/>
      <c r="D48" s="412"/>
      <c r="E48" s="412"/>
      <c r="F48" s="413"/>
      <c r="G48" s="246">
        <f>SUM(G4:G47)</f>
        <v>10779969.110000003</v>
      </c>
      <c r="H48" s="79">
        <f>107.8-G48/100000</f>
        <v>3.0889999996475126E-4</v>
      </c>
    </row>
    <row r="49" spans="1:9" ht="23.25" customHeight="1">
      <c r="A49" s="74"/>
      <c r="B49" s="74"/>
      <c r="C49" s="74"/>
      <c r="D49" s="74"/>
      <c r="E49" s="74"/>
      <c r="G49" s="247"/>
      <c r="H49" s="246">
        <v>9873853.6600000001</v>
      </c>
    </row>
    <row r="50" spans="1:9" ht="20.25" customHeight="1">
      <c r="A50" s="74"/>
      <c r="B50" s="74"/>
      <c r="C50" s="74"/>
      <c r="D50" s="74"/>
      <c r="E50" s="74"/>
      <c r="G50" s="247"/>
      <c r="H50" s="246">
        <v>292554.53000000003</v>
      </c>
    </row>
    <row r="51" spans="1:9" s="52" customFormat="1" ht="13.5" customHeight="1">
      <c r="A51" s="74"/>
      <c r="B51" s="74"/>
      <c r="C51" s="74" t="s">
        <v>207</v>
      </c>
      <c r="D51" s="74"/>
      <c r="E51" s="74"/>
      <c r="F51" s="152" t="s">
        <v>208</v>
      </c>
      <c r="G51" s="247"/>
      <c r="H51" s="51">
        <f>H49+H50</f>
        <v>10166408.189999999</v>
      </c>
      <c r="I51" s="51"/>
    </row>
    <row r="52" spans="1:9" s="52" customFormat="1" ht="12.75" customHeight="1">
      <c r="A52" s="74"/>
      <c r="B52" s="74"/>
      <c r="C52" s="74" t="s">
        <v>209</v>
      </c>
      <c r="D52" s="74"/>
      <c r="E52" s="74"/>
      <c r="F52" s="152" t="s">
        <v>210</v>
      </c>
      <c r="G52" s="247"/>
      <c r="H52" s="51">
        <f>G48-H51</f>
        <v>613560.92000000365</v>
      </c>
      <c r="I52" s="51"/>
    </row>
    <row r="53" spans="1:9" s="52" customFormat="1" ht="12.75" customHeight="1">
      <c r="A53" s="74"/>
      <c r="B53" s="74"/>
      <c r="C53" s="74" t="s">
        <v>215</v>
      </c>
      <c r="D53" s="74"/>
      <c r="E53" s="74"/>
      <c r="F53" s="152" t="s">
        <v>211</v>
      </c>
      <c r="G53" s="247"/>
      <c r="H53" s="313" t="s">
        <v>295</v>
      </c>
      <c r="I53" s="51"/>
    </row>
    <row r="54" spans="1:9" s="52" customFormat="1" ht="10.5" customHeight="1">
      <c r="A54" s="74"/>
      <c r="B54" s="74"/>
      <c r="C54" s="74" t="s">
        <v>216</v>
      </c>
      <c r="D54" s="74"/>
      <c r="E54" s="74"/>
      <c r="F54" s="152" t="s">
        <v>212</v>
      </c>
      <c r="G54" s="247"/>
      <c r="I54" s="51"/>
    </row>
    <row r="55" spans="1:9" s="52" customFormat="1" ht="15" customHeight="1">
      <c r="A55" s="414" t="s">
        <v>51</v>
      </c>
      <c r="B55" s="414"/>
      <c r="C55" s="414"/>
      <c r="D55" s="414"/>
      <c r="E55" s="414"/>
      <c r="F55" s="414"/>
      <c r="G55" s="414"/>
    </row>
    <row r="56" spans="1:9" s="52" customFormat="1" ht="53.25" customHeight="1">
      <c r="A56" s="410" t="s">
        <v>292</v>
      </c>
      <c r="B56" s="410"/>
      <c r="C56" s="410"/>
      <c r="D56" s="410"/>
      <c r="E56" s="410"/>
      <c r="F56" s="410"/>
      <c r="G56" s="410"/>
    </row>
    <row r="57" spans="1:9" s="52" customFormat="1" ht="27" customHeight="1">
      <c r="A57" s="153"/>
      <c r="B57" s="74"/>
      <c r="C57" s="53"/>
      <c r="D57" s="74"/>
      <c r="E57" s="74"/>
      <c r="F57" s="152"/>
      <c r="G57" s="247"/>
    </row>
    <row r="58" spans="1:9" s="52" customFormat="1" ht="11.25" customHeight="1">
      <c r="A58" s="153"/>
      <c r="B58" s="74"/>
      <c r="C58" s="53"/>
      <c r="D58" s="74"/>
      <c r="E58" s="74"/>
      <c r="F58" s="152" t="s">
        <v>52</v>
      </c>
      <c r="G58" s="247"/>
    </row>
    <row r="59" spans="1:9" s="52" customFormat="1" ht="11.25" customHeight="1">
      <c r="A59" s="153"/>
      <c r="B59" s="74"/>
      <c r="C59" s="53"/>
      <c r="D59" s="74"/>
      <c r="E59" s="74"/>
      <c r="F59" s="152" t="s">
        <v>213</v>
      </c>
      <c r="G59" s="247"/>
    </row>
    <row r="60" spans="1:9" s="52" customFormat="1" ht="11.25" customHeight="1">
      <c r="A60" s="153"/>
      <c r="B60" s="74"/>
      <c r="C60" s="53"/>
      <c r="D60" s="74"/>
      <c r="E60" s="74"/>
      <c r="F60" s="152" t="s">
        <v>214</v>
      </c>
      <c r="G60" s="247"/>
    </row>
    <row r="61" spans="1:9" ht="9.75" customHeight="1">
      <c r="A61" s="107"/>
      <c r="B61" s="107"/>
      <c r="C61" s="53"/>
      <c r="D61" s="74"/>
      <c r="E61" s="74"/>
      <c r="F61" s="152" t="s">
        <v>53</v>
      </c>
      <c r="G61" s="247"/>
    </row>
    <row r="62" spans="1:9">
      <c r="B62" s="138"/>
      <c r="C62" s="29"/>
      <c r="D62" s="47"/>
      <c r="E62" s="28"/>
      <c r="F62" s="138"/>
      <c r="G62" s="47"/>
    </row>
    <row r="63" spans="1:9">
      <c r="B63" s="138"/>
      <c r="C63" s="29"/>
      <c r="D63" s="47"/>
      <c r="E63" s="28"/>
      <c r="F63" s="138"/>
      <c r="G63" s="47"/>
    </row>
    <row r="64" spans="1:9">
      <c r="B64" s="138"/>
      <c r="C64" s="29"/>
      <c r="D64" s="47"/>
      <c r="E64" s="28"/>
      <c r="F64" s="138"/>
      <c r="G64" s="47"/>
    </row>
    <row r="65" spans="2:7">
      <c r="B65" s="138"/>
      <c r="C65" s="48"/>
      <c r="D65" s="47"/>
      <c r="E65" s="138"/>
      <c r="F65" s="138"/>
      <c r="G65" s="47"/>
    </row>
  </sheetData>
  <dataConsolidate/>
  <mergeCells count="17">
    <mergeCell ref="A56:G56"/>
    <mergeCell ref="A42:A43"/>
    <mergeCell ref="A48:F48"/>
    <mergeCell ref="A26:A28"/>
    <mergeCell ref="A35:A37"/>
    <mergeCell ref="A31:A33"/>
    <mergeCell ref="A38:A39"/>
    <mergeCell ref="A40:A41"/>
    <mergeCell ref="A55:G55"/>
    <mergeCell ref="A21:A24"/>
    <mergeCell ref="A29:A30"/>
    <mergeCell ref="A11:A12"/>
    <mergeCell ref="A1:G1"/>
    <mergeCell ref="A2:G2"/>
    <mergeCell ref="A19:A20"/>
    <mergeCell ref="A9:A10"/>
    <mergeCell ref="A16:A17"/>
  </mergeCells>
  <phoneticPr fontId="2" type="noConversion"/>
  <printOptions horizontalCentered="1"/>
  <pageMargins left="0.6" right="0.3" top="0.4" bottom="0.3" header="0.25" footer="0.2"/>
  <pageSetup paperSize="9" scale="90" orientation="portrait" r:id="rId1"/>
  <headerFooter alignWithMargins="0">
    <oddHeader>&amp;RPackage No.:GKIP/KUS/W-1/12-13</oddHeader>
    <oddFooter>Page &amp;P of &amp;N</oddFooter>
  </headerFooter>
  <rowBreaks count="1" manualBreakCount="1">
    <brk id="18" max="6" man="1"/>
  </rowBreaks>
  <drawing r:id="rId2"/>
</worksheet>
</file>

<file path=xl/worksheets/sheet4.xml><?xml version="1.0" encoding="utf-8"?>
<worksheet xmlns="http://schemas.openxmlformats.org/spreadsheetml/2006/main" xmlns:r="http://schemas.openxmlformats.org/officeDocument/2006/relationships">
  <dimension ref="A1:AC191"/>
  <sheetViews>
    <sheetView view="pageBreakPreview" topLeftCell="A4" zoomScaleSheetLayoutView="100" workbookViewId="0">
      <selection activeCell="F21" sqref="F21"/>
    </sheetView>
  </sheetViews>
  <sheetFormatPr defaultRowHeight="12.75"/>
  <cols>
    <col min="1" max="1" width="12" style="211" customWidth="1"/>
    <col min="2" max="2" width="11.140625" style="211" customWidth="1"/>
    <col min="3" max="3" width="11.7109375" style="211" customWidth="1"/>
    <col min="4" max="4" width="19" style="211" customWidth="1"/>
    <col min="5" max="5" width="16.42578125" style="211" customWidth="1"/>
    <col min="6" max="6" width="15.42578125" style="211" customWidth="1"/>
    <col min="7" max="7" width="7.5703125" style="219" customWidth="1"/>
    <col min="8" max="8" width="10.7109375" style="219" customWidth="1"/>
    <col min="9" max="9" width="10.5703125" style="211" customWidth="1"/>
    <col min="10" max="10" width="8" style="211" customWidth="1"/>
    <col min="11" max="11" width="8.140625" style="211" customWidth="1"/>
    <col min="12" max="12" width="8.42578125" style="211" customWidth="1"/>
    <col min="13" max="13" width="6.28515625" style="211" customWidth="1"/>
    <col min="14" max="14" width="7.7109375" style="211" customWidth="1"/>
    <col min="15" max="15" width="6.85546875" style="211" customWidth="1"/>
    <col min="16" max="16" width="7.140625" style="211" customWidth="1"/>
    <col min="17" max="17" width="5.85546875" style="211" customWidth="1"/>
    <col min="18" max="18" width="6.5703125" style="211" customWidth="1"/>
    <col min="19" max="19" width="3.5703125" style="211" customWidth="1"/>
    <col min="20" max="16384" width="9.140625" style="211"/>
  </cols>
  <sheetData>
    <row r="1" spans="1:29" s="198" customFormat="1" ht="21.75" customHeight="1">
      <c r="A1" s="415" t="s">
        <v>270</v>
      </c>
      <c r="B1" s="416"/>
      <c r="C1" s="416"/>
      <c r="D1" s="416"/>
      <c r="E1" s="416"/>
      <c r="F1" s="416"/>
      <c r="G1" s="417"/>
      <c r="H1" s="263"/>
      <c r="AC1" s="198">
        <v>10.199999999999999</v>
      </c>
    </row>
    <row r="2" spans="1:29" s="198" customFormat="1" ht="51" customHeight="1">
      <c r="A2" s="418" t="str">
        <f>'Cover Page'!A23:AK23</f>
        <v>Repair &amp; Rehabilitation of Head Regulator of Kushtia (HRK) at Km 10.60 of Kushtia Main Canal (KMC) in c/w Rehabilitation of the Ganges-Kobadak Irrigation Project under Kushtia O &amp; M Division, BWDB, Kushtia.</v>
      </c>
      <c r="B2" s="419"/>
      <c r="C2" s="419"/>
      <c r="D2" s="419"/>
      <c r="E2" s="419"/>
      <c r="F2" s="419"/>
      <c r="G2" s="420"/>
      <c r="H2" s="250"/>
      <c r="I2" s="197"/>
      <c r="J2" s="197"/>
      <c r="K2" s="197"/>
      <c r="L2" s="197"/>
      <c r="M2" s="197"/>
      <c r="N2" s="197"/>
      <c r="O2" s="197"/>
      <c r="P2" s="197"/>
      <c r="Q2" s="197"/>
      <c r="R2" s="197"/>
      <c r="S2" s="197"/>
      <c r="T2" s="197"/>
      <c r="U2" s="197"/>
      <c r="V2" s="197"/>
    </row>
    <row r="3" spans="1:29" ht="16.5" customHeight="1">
      <c r="A3" s="424" t="s">
        <v>257</v>
      </c>
      <c r="B3" s="425"/>
      <c r="C3" s="425"/>
      <c r="D3" s="425"/>
      <c r="E3" s="425"/>
      <c r="F3" s="425"/>
      <c r="G3" s="426"/>
      <c r="H3" s="248"/>
    </row>
    <row r="4" spans="1:29" s="212" customFormat="1" ht="13.5" customHeight="1">
      <c r="A4" s="251" t="s">
        <v>44</v>
      </c>
      <c r="B4" s="199" t="s">
        <v>45</v>
      </c>
      <c r="C4" s="199" t="s">
        <v>233</v>
      </c>
      <c r="D4" s="199" t="s">
        <v>44</v>
      </c>
      <c r="E4" s="199" t="s">
        <v>45</v>
      </c>
      <c r="F4" s="199" t="s">
        <v>234</v>
      </c>
      <c r="G4" s="252"/>
      <c r="H4" s="216"/>
      <c r="L4" s="199"/>
      <c r="M4" s="199"/>
      <c r="N4" s="199"/>
      <c r="O4" s="199"/>
      <c r="P4" s="199"/>
      <c r="Q4" s="199"/>
      <c r="R4" s="199"/>
      <c r="S4" s="199"/>
      <c r="T4" s="199"/>
      <c r="U4" s="199"/>
    </row>
    <row r="5" spans="1:29" s="212" customFormat="1" ht="15" customHeight="1">
      <c r="A5" s="253">
        <v>0</v>
      </c>
      <c r="B5" s="200">
        <v>16.63</v>
      </c>
      <c r="C5" s="200"/>
      <c r="D5" s="200">
        <v>0</v>
      </c>
      <c r="E5" s="200">
        <f>B5</f>
        <v>16.63</v>
      </c>
      <c r="F5" s="200"/>
      <c r="G5" s="252"/>
      <c r="H5" s="216"/>
      <c r="L5" s="199"/>
      <c r="M5" s="200"/>
      <c r="N5" s="200"/>
      <c r="O5" s="200"/>
      <c r="P5" s="200"/>
      <c r="Q5" s="200"/>
      <c r="R5" s="200"/>
      <c r="S5" s="199"/>
      <c r="T5" s="199"/>
      <c r="U5" s="199"/>
    </row>
    <row r="6" spans="1:29" s="212" customFormat="1" ht="15" customHeight="1">
      <c r="A6" s="253">
        <v>5</v>
      </c>
      <c r="B6" s="200">
        <v>16.68</v>
      </c>
      <c r="C6" s="200">
        <f t="shared" ref="C6:C11" si="0">(((B5+B6)/2)*(A6-A5))</f>
        <v>83.275000000000006</v>
      </c>
      <c r="D6" s="200">
        <f>5-0.6</f>
        <v>4.4000000000000004</v>
      </c>
      <c r="E6" s="200">
        <f>B6-0.2</f>
        <v>16.48</v>
      </c>
      <c r="F6" s="200">
        <f>(((E5+E6)/2)*(D6-D5))</f>
        <v>72.841999999999999</v>
      </c>
      <c r="G6" s="252"/>
      <c r="H6" s="216"/>
      <c r="L6" s="199"/>
      <c r="M6" s="201"/>
      <c r="N6" s="201"/>
      <c r="O6" s="200"/>
      <c r="P6" s="200"/>
      <c r="Q6" s="200"/>
      <c r="R6" s="200"/>
      <c r="S6" s="199"/>
      <c r="T6" s="199"/>
      <c r="U6" s="199"/>
    </row>
    <row r="7" spans="1:29" s="212" customFormat="1" ht="15" customHeight="1">
      <c r="A7" s="253">
        <v>7</v>
      </c>
      <c r="B7" s="200">
        <v>13.675000000000001</v>
      </c>
      <c r="C7" s="200">
        <f t="shared" si="0"/>
        <v>30.355</v>
      </c>
      <c r="D7" s="200">
        <v>5</v>
      </c>
      <c r="E7" s="200">
        <f>B6-0.2</f>
        <v>16.48</v>
      </c>
      <c r="F7" s="200">
        <f>(((E6+E7)/2)*(D7-D6))</f>
        <v>9.8879999999999946</v>
      </c>
      <c r="G7" s="252"/>
      <c r="H7" s="277"/>
      <c r="L7" s="199"/>
      <c r="M7" s="200"/>
      <c r="N7" s="200"/>
      <c r="O7" s="200"/>
      <c r="P7" s="200"/>
      <c r="Q7" s="200"/>
      <c r="R7" s="200"/>
      <c r="S7" s="199"/>
      <c r="T7" s="199"/>
      <c r="U7" s="199"/>
    </row>
    <row r="8" spans="1:29" s="212" customFormat="1" ht="15" customHeight="1">
      <c r="A8" s="265">
        <v>10</v>
      </c>
      <c r="B8" s="202">
        <v>12.5</v>
      </c>
      <c r="C8" s="202">
        <f t="shared" si="0"/>
        <v>39.262500000000003</v>
      </c>
      <c r="D8" s="202">
        <f>D7+(E7-E8)*2</f>
        <v>19.96</v>
      </c>
      <c r="E8" s="202">
        <f>9.7-0.7</f>
        <v>9</v>
      </c>
      <c r="F8" s="202">
        <f>(((E7+E8)/2)*(D8-D7))</f>
        <v>190.59040000000002</v>
      </c>
      <c r="G8" s="266"/>
      <c r="H8" s="216"/>
      <c r="L8" s="199"/>
      <c r="M8" s="202"/>
      <c r="N8" s="202"/>
      <c r="O8" s="200"/>
      <c r="P8" s="202"/>
      <c r="Q8" s="202"/>
      <c r="R8" s="200"/>
      <c r="S8" s="199"/>
      <c r="T8" s="199"/>
      <c r="U8" s="199"/>
    </row>
    <row r="9" spans="1:29" s="212" customFormat="1" ht="15" customHeight="1">
      <c r="A9" s="265">
        <v>12</v>
      </c>
      <c r="B9" s="202">
        <v>11.205</v>
      </c>
      <c r="C9" s="202">
        <f t="shared" si="0"/>
        <v>23.704999999999998</v>
      </c>
      <c r="D9" s="428" t="s">
        <v>235</v>
      </c>
      <c r="E9" s="428"/>
      <c r="F9" s="202">
        <f>SUM(F6:F8)</f>
        <v>273.32040000000001</v>
      </c>
      <c r="G9" s="266"/>
      <c r="H9" s="216"/>
      <c r="L9" s="199"/>
      <c r="M9" s="202"/>
      <c r="N9" s="202"/>
      <c r="O9" s="200"/>
      <c r="P9" s="200"/>
      <c r="Q9" s="200"/>
      <c r="R9" s="200"/>
      <c r="S9" s="199"/>
      <c r="T9" s="199"/>
      <c r="U9" s="199"/>
    </row>
    <row r="10" spans="1:29" s="212" customFormat="1" ht="15" customHeight="1">
      <c r="A10" s="265">
        <v>15</v>
      </c>
      <c r="B10" s="202">
        <v>10.105</v>
      </c>
      <c r="C10" s="202">
        <f t="shared" si="0"/>
        <v>31.965000000000003</v>
      </c>
      <c r="D10" s="428" t="s">
        <v>236</v>
      </c>
      <c r="E10" s="428"/>
      <c r="F10" s="202">
        <f>F9-C12</f>
        <v>17.117099999999994</v>
      </c>
      <c r="G10" s="266" t="s">
        <v>22</v>
      </c>
      <c r="H10" s="216"/>
      <c r="L10" s="199"/>
      <c r="M10" s="202"/>
      <c r="N10" s="202"/>
      <c r="O10" s="200"/>
      <c r="P10" s="200"/>
      <c r="Q10" s="200"/>
      <c r="R10" s="200"/>
      <c r="S10" s="199"/>
      <c r="T10" s="199"/>
      <c r="U10" s="199"/>
    </row>
    <row r="11" spans="1:29" s="212" customFormat="1" ht="15" customHeight="1">
      <c r="A11" s="265">
        <f>D8</f>
        <v>19.96</v>
      </c>
      <c r="B11" s="202">
        <v>9.1050000000000004</v>
      </c>
      <c r="C11" s="202">
        <f t="shared" si="0"/>
        <v>47.640800000000013</v>
      </c>
      <c r="D11" s="202" t="s">
        <v>19</v>
      </c>
      <c r="E11" s="202">
        <v>8</v>
      </c>
      <c r="F11" s="202">
        <v>20</v>
      </c>
      <c r="G11" s="266" t="s">
        <v>230</v>
      </c>
      <c r="H11" s="216"/>
      <c r="L11" s="199"/>
      <c r="M11" s="199"/>
      <c r="N11" s="199"/>
      <c r="O11" s="200"/>
      <c r="P11" s="200"/>
      <c r="Q11" s="200"/>
      <c r="R11" s="200"/>
      <c r="S11" s="199"/>
      <c r="T11" s="199"/>
      <c r="U11" s="199"/>
    </row>
    <row r="12" spans="1:29" s="212" customFormat="1" ht="15" customHeight="1">
      <c r="A12" s="427" t="s">
        <v>235</v>
      </c>
      <c r="B12" s="428"/>
      <c r="C12" s="202">
        <f>SUM(C6:C11)</f>
        <v>256.20330000000001</v>
      </c>
      <c r="D12" s="202"/>
      <c r="E12" s="202" t="s">
        <v>237</v>
      </c>
      <c r="F12" s="202">
        <f>F10*(F11-E11)</f>
        <v>205.40519999999992</v>
      </c>
      <c r="G12" s="266" t="s">
        <v>24</v>
      </c>
      <c r="H12" s="216"/>
      <c r="L12" s="199"/>
      <c r="M12" s="199"/>
      <c r="N12" s="199"/>
      <c r="O12" s="199"/>
      <c r="P12" s="200"/>
      <c r="Q12" s="200"/>
      <c r="R12" s="200"/>
      <c r="S12" s="199"/>
      <c r="T12" s="199"/>
      <c r="U12" s="199"/>
    </row>
    <row r="13" spans="1:29" ht="17.25" customHeight="1">
      <c r="A13" s="424" t="s">
        <v>256</v>
      </c>
      <c r="B13" s="425"/>
      <c r="C13" s="425"/>
      <c r="D13" s="425"/>
      <c r="E13" s="425"/>
      <c r="F13" s="425"/>
      <c r="G13" s="426"/>
      <c r="H13" s="248"/>
      <c r="L13" s="207"/>
      <c r="M13" s="207"/>
      <c r="N13" s="207"/>
      <c r="O13" s="207"/>
      <c r="P13" s="207"/>
      <c r="Q13" s="207"/>
      <c r="R13" s="207"/>
      <c r="S13" s="207"/>
      <c r="T13" s="207"/>
      <c r="U13" s="207"/>
    </row>
    <row r="14" spans="1:29" s="212" customFormat="1" ht="23.25" customHeight="1">
      <c r="A14" s="267" t="s">
        <v>44</v>
      </c>
      <c r="B14" s="213" t="s">
        <v>45</v>
      </c>
      <c r="C14" s="213" t="s">
        <v>233</v>
      </c>
      <c r="D14" s="213" t="s">
        <v>44</v>
      </c>
      <c r="E14" s="213" t="s">
        <v>45</v>
      </c>
      <c r="F14" s="213" t="s">
        <v>234</v>
      </c>
      <c r="G14" s="266"/>
      <c r="H14" s="216"/>
      <c r="L14" s="199"/>
      <c r="M14" s="199"/>
      <c r="N14" s="199"/>
      <c r="O14" s="199"/>
      <c r="P14" s="199"/>
      <c r="Q14" s="199"/>
      <c r="R14" s="199"/>
      <c r="S14" s="199"/>
      <c r="T14" s="199"/>
      <c r="U14" s="199"/>
    </row>
    <row r="15" spans="1:29" s="212" customFormat="1" ht="15" customHeight="1">
      <c r="A15" s="265">
        <v>0</v>
      </c>
      <c r="B15" s="202">
        <v>16.63</v>
      </c>
      <c r="C15" s="202"/>
      <c r="D15" s="202">
        <v>0</v>
      </c>
      <c r="E15" s="202">
        <f>B15</f>
        <v>16.63</v>
      </c>
      <c r="F15" s="202"/>
      <c r="G15" s="266"/>
      <c r="H15" s="216"/>
      <c r="L15" s="199"/>
      <c r="M15" s="200"/>
      <c r="N15" s="200"/>
      <c r="O15" s="200"/>
      <c r="P15" s="200"/>
      <c r="Q15" s="200"/>
      <c r="R15" s="200"/>
    </row>
    <row r="16" spans="1:29" s="212" customFormat="1" ht="15" customHeight="1">
      <c r="A16" s="265">
        <v>5</v>
      </c>
      <c r="B16" s="202">
        <v>16.68</v>
      </c>
      <c r="C16" s="202">
        <f t="shared" ref="C16:C21" si="1">(((B15+B16)/2)*(A16-A15))</f>
        <v>83.275000000000006</v>
      </c>
      <c r="D16" s="202">
        <f>5-0.6</f>
        <v>4.4000000000000004</v>
      </c>
      <c r="E16" s="202">
        <f>B16-0.2</f>
        <v>16.48</v>
      </c>
      <c r="F16" s="202">
        <f>(((E15+E16)/2)*(D16-D15))</f>
        <v>72.841999999999999</v>
      </c>
      <c r="G16" s="266"/>
      <c r="H16" s="216"/>
      <c r="L16" s="199"/>
      <c r="M16" s="201"/>
      <c r="N16" s="201"/>
      <c r="O16" s="200"/>
      <c r="P16" s="200"/>
      <c r="Q16" s="200"/>
      <c r="R16" s="200"/>
    </row>
    <row r="17" spans="1:23" s="212" customFormat="1" ht="15" customHeight="1">
      <c r="A17" s="265">
        <v>7</v>
      </c>
      <c r="B17" s="202">
        <v>13.675000000000001</v>
      </c>
      <c r="C17" s="202">
        <f t="shared" si="1"/>
        <v>30.355</v>
      </c>
      <c r="D17" s="202">
        <v>5</v>
      </c>
      <c r="E17" s="202">
        <f>B16-0.2</f>
        <v>16.48</v>
      </c>
      <c r="F17" s="202">
        <f>(((E16+E17)/2)*(D17-D16))</f>
        <v>9.8879999999999946</v>
      </c>
      <c r="G17" s="266"/>
      <c r="H17" s="216"/>
      <c r="L17" s="199"/>
      <c r="M17" s="200"/>
      <c r="N17" s="200"/>
      <c r="O17" s="200"/>
      <c r="P17" s="200"/>
      <c r="Q17" s="200"/>
      <c r="R17" s="200"/>
    </row>
    <row r="18" spans="1:23" s="212" customFormat="1" ht="15" customHeight="1">
      <c r="A18" s="265">
        <v>10</v>
      </c>
      <c r="B18" s="202">
        <v>10.9</v>
      </c>
      <c r="C18" s="202">
        <f t="shared" si="1"/>
        <v>36.862500000000004</v>
      </c>
      <c r="D18" s="202">
        <f>D17+(E17-E18)*2</f>
        <v>19.96</v>
      </c>
      <c r="E18" s="202">
        <f>9.7-0.7</f>
        <v>9</v>
      </c>
      <c r="F18" s="202">
        <f>(((E17+E18)/2)*(D18-D17))</f>
        <v>190.59040000000002</v>
      </c>
      <c r="G18" s="266"/>
      <c r="H18" s="216"/>
      <c r="L18" s="199"/>
      <c r="M18" s="202"/>
      <c r="N18" s="202"/>
      <c r="O18" s="200"/>
      <c r="P18" s="202"/>
      <c r="Q18" s="202"/>
      <c r="R18" s="200"/>
    </row>
    <row r="19" spans="1:23" s="212" customFormat="1" ht="15" customHeight="1">
      <c r="A19" s="265">
        <v>12</v>
      </c>
      <c r="B19" s="202">
        <v>10.6</v>
      </c>
      <c r="C19" s="202">
        <f t="shared" si="1"/>
        <v>21.5</v>
      </c>
      <c r="D19" s="428" t="s">
        <v>235</v>
      </c>
      <c r="E19" s="428"/>
      <c r="F19" s="202">
        <f>SUM(F16:F18)</f>
        <v>273.32040000000001</v>
      </c>
      <c r="G19" s="266"/>
      <c r="H19" s="216"/>
      <c r="L19" s="199"/>
      <c r="M19" s="202"/>
      <c r="N19" s="202"/>
      <c r="O19" s="200"/>
      <c r="P19" s="202"/>
      <c r="Q19" s="202"/>
      <c r="R19" s="200"/>
    </row>
    <row r="20" spans="1:23" s="212" customFormat="1" ht="15" customHeight="1">
      <c r="A20" s="253">
        <v>15</v>
      </c>
      <c r="B20" s="200">
        <v>10.105</v>
      </c>
      <c r="C20" s="200">
        <f t="shared" si="1"/>
        <v>31.057499999999997</v>
      </c>
      <c r="D20" s="421" t="s">
        <v>236</v>
      </c>
      <c r="E20" s="421"/>
      <c r="F20" s="200">
        <f>F19-C22</f>
        <v>22.269999999999982</v>
      </c>
      <c r="G20" s="252" t="s">
        <v>22</v>
      </c>
      <c r="H20" s="216"/>
      <c r="L20" s="199"/>
      <c r="M20" s="202"/>
      <c r="N20" s="202"/>
      <c r="O20" s="200"/>
      <c r="P20" s="200"/>
      <c r="Q20" s="200"/>
      <c r="R20" s="200"/>
    </row>
    <row r="21" spans="1:23" s="212" customFormat="1" ht="15" customHeight="1">
      <c r="A21" s="265">
        <f>D18</f>
        <v>19.96</v>
      </c>
      <c r="B21" s="200">
        <v>9.25</v>
      </c>
      <c r="C21" s="200">
        <f t="shared" si="1"/>
        <v>48.000400000000006</v>
      </c>
      <c r="D21" s="200" t="s">
        <v>19</v>
      </c>
      <c r="E21" s="200">
        <v>20</v>
      </c>
      <c r="F21" s="200">
        <v>38</v>
      </c>
      <c r="G21" s="252" t="s">
        <v>230</v>
      </c>
      <c r="H21" s="216"/>
      <c r="L21" s="199"/>
      <c r="M21" s="202"/>
      <c r="N21" s="202"/>
      <c r="O21" s="200"/>
      <c r="P21" s="200"/>
      <c r="Q21" s="200"/>
      <c r="R21" s="200"/>
    </row>
    <row r="22" spans="1:23" s="212" customFormat="1" ht="15" customHeight="1">
      <c r="A22" s="436" t="s">
        <v>235</v>
      </c>
      <c r="B22" s="421"/>
      <c r="C22" s="200">
        <f>SUM(C16:C21)</f>
        <v>251.05040000000002</v>
      </c>
      <c r="D22" s="200"/>
      <c r="E22" s="200" t="s">
        <v>237</v>
      </c>
      <c r="F22" s="200">
        <f>F20*(F21-E21)</f>
        <v>400.85999999999967</v>
      </c>
      <c r="G22" s="252" t="s">
        <v>24</v>
      </c>
      <c r="H22" s="216"/>
      <c r="L22" s="199"/>
      <c r="M22" s="199"/>
      <c r="N22" s="199"/>
      <c r="O22" s="200"/>
      <c r="P22" s="200"/>
      <c r="Q22" s="200"/>
      <c r="R22" s="200"/>
    </row>
    <row r="23" spans="1:23" ht="23.25" customHeight="1">
      <c r="A23" s="430" t="s">
        <v>149</v>
      </c>
      <c r="B23" s="431"/>
      <c r="C23" s="431"/>
      <c r="D23" s="431"/>
      <c r="E23" s="431"/>
      <c r="F23" s="431"/>
      <c r="G23" s="432"/>
      <c r="H23" s="249"/>
      <c r="I23" s="213"/>
      <c r="J23" s="213"/>
      <c r="K23" s="213"/>
      <c r="L23" s="213"/>
      <c r="M23" s="213"/>
      <c r="N23" s="213"/>
      <c r="O23" s="213"/>
      <c r="P23" s="213"/>
      <c r="Q23" s="213"/>
      <c r="R23" s="213"/>
      <c r="S23" s="213"/>
      <c r="T23" s="213"/>
      <c r="U23" s="213"/>
      <c r="V23" s="213"/>
      <c r="W23" s="213"/>
    </row>
    <row r="24" spans="1:23" s="207" customFormat="1" ht="23.25" customHeight="1">
      <c r="A24" s="254" t="s">
        <v>44</v>
      </c>
      <c r="B24" s="203" t="s">
        <v>45</v>
      </c>
      <c r="C24" s="203" t="s">
        <v>46</v>
      </c>
      <c r="D24" s="203" t="s">
        <v>44</v>
      </c>
      <c r="E24" s="203" t="s">
        <v>45</v>
      </c>
      <c r="F24" s="203" t="s">
        <v>23</v>
      </c>
      <c r="G24" s="255"/>
      <c r="H24" s="215"/>
      <c r="L24" s="203"/>
      <c r="M24" s="203"/>
      <c r="N24" s="203"/>
      <c r="O24" s="203"/>
      <c r="P24" s="203"/>
      <c r="Q24" s="203"/>
      <c r="R24" s="203"/>
    </row>
    <row r="25" spans="1:23" s="207" customFormat="1" ht="15" customHeight="1">
      <c r="A25" s="256">
        <v>0</v>
      </c>
      <c r="B25" s="204">
        <v>16.63</v>
      </c>
      <c r="C25" s="204"/>
      <c r="D25" s="204"/>
      <c r="E25" s="204"/>
      <c r="F25" s="204"/>
      <c r="G25" s="255"/>
      <c r="H25" s="215"/>
      <c r="M25" s="204"/>
      <c r="N25" s="204"/>
      <c r="O25" s="204"/>
      <c r="P25" s="204"/>
      <c r="Q25" s="204"/>
      <c r="R25" s="204"/>
    </row>
    <row r="26" spans="1:23" s="207" customFormat="1" ht="15" customHeight="1">
      <c r="A26" s="256">
        <v>5</v>
      </c>
      <c r="B26" s="204">
        <v>16.68</v>
      </c>
      <c r="C26" s="204"/>
      <c r="D26" s="204">
        <v>0</v>
      </c>
      <c r="E26" s="204">
        <f>16.6</f>
        <v>16.600000000000001</v>
      </c>
      <c r="F26" s="204"/>
      <c r="G26" s="255"/>
      <c r="H26" s="215"/>
      <c r="M26" s="205"/>
      <c r="N26" s="205"/>
      <c r="O26" s="204"/>
      <c r="P26" s="204"/>
      <c r="Q26" s="204"/>
      <c r="R26" s="204"/>
    </row>
    <row r="27" spans="1:23" s="207" customFormat="1" ht="15" customHeight="1">
      <c r="A27" s="256">
        <v>7</v>
      </c>
      <c r="B27" s="204">
        <v>13.675000000000001</v>
      </c>
      <c r="C27" s="204"/>
      <c r="D27" s="204">
        <v>5</v>
      </c>
      <c r="E27" s="204">
        <f>16.6-0.4</f>
        <v>16.200000000000003</v>
      </c>
      <c r="F27" s="204"/>
      <c r="G27" s="255"/>
      <c r="H27" s="215"/>
      <c r="M27" s="204"/>
      <c r="N27" s="204"/>
      <c r="O27" s="204"/>
      <c r="P27" s="204"/>
      <c r="Q27" s="204"/>
      <c r="R27" s="204"/>
    </row>
    <row r="28" spans="1:23" s="207" customFormat="1" ht="15" customHeight="1">
      <c r="A28" s="256">
        <v>10</v>
      </c>
      <c r="B28" s="204">
        <v>12</v>
      </c>
      <c r="C28" s="204"/>
      <c r="D28" s="204">
        <f>D27+(E27-E28)*2</f>
        <v>19.400000000000006</v>
      </c>
      <c r="E28" s="204">
        <f>9.7-0.7</f>
        <v>9</v>
      </c>
      <c r="F28" s="204"/>
      <c r="G28" s="255"/>
      <c r="H28" s="215"/>
      <c r="M28" s="206"/>
      <c r="N28" s="206"/>
      <c r="O28" s="204"/>
      <c r="P28" s="206"/>
      <c r="Q28" s="206"/>
      <c r="R28" s="204"/>
    </row>
    <row r="29" spans="1:23" s="207" customFormat="1" ht="15" customHeight="1">
      <c r="A29" s="256">
        <v>12</v>
      </c>
      <c r="B29" s="204">
        <v>11.205</v>
      </c>
      <c r="C29" s="204"/>
      <c r="D29" s="204">
        <f>D28+18</f>
        <v>37.400000000000006</v>
      </c>
      <c r="E29" s="204">
        <f>9.7-0.7</f>
        <v>9</v>
      </c>
      <c r="F29" s="204"/>
      <c r="G29" s="255"/>
      <c r="H29" s="215"/>
      <c r="M29" s="206"/>
      <c r="N29" s="206"/>
      <c r="O29" s="204"/>
      <c r="P29" s="204"/>
      <c r="Q29" s="204"/>
      <c r="R29" s="204"/>
    </row>
    <row r="30" spans="1:23" s="207" customFormat="1" ht="15" customHeight="1">
      <c r="A30" s="256">
        <v>15</v>
      </c>
      <c r="B30" s="204">
        <v>10.105</v>
      </c>
      <c r="C30" s="204"/>
      <c r="D30" s="204">
        <f>E29+(D29-E30)*2</f>
        <v>51.400000000000006</v>
      </c>
      <c r="E30" s="204">
        <f>16.6-0.4</f>
        <v>16.200000000000003</v>
      </c>
      <c r="F30" s="204"/>
      <c r="G30" s="255"/>
      <c r="H30" s="215"/>
      <c r="M30" s="206"/>
      <c r="N30" s="206"/>
      <c r="O30" s="204"/>
      <c r="P30" s="204"/>
      <c r="Q30" s="204"/>
      <c r="R30" s="204"/>
    </row>
    <row r="31" spans="1:23" s="207" customFormat="1" ht="15" customHeight="1">
      <c r="A31" s="256">
        <v>20</v>
      </c>
      <c r="B31" s="204">
        <v>9.1050000000000004</v>
      </c>
      <c r="C31" s="204"/>
      <c r="D31" s="205">
        <v>52</v>
      </c>
      <c r="E31" s="204">
        <f>16.6-0.4</f>
        <v>16.200000000000003</v>
      </c>
      <c r="F31" s="204"/>
      <c r="G31" s="255"/>
      <c r="H31" s="215"/>
      <c r="O31" s="204"/>
      <c r="P31" s="204"/>
      <c r="Q31" s="204"/>
      <c r="R31" s="204"/>
    </row>
    <row r="32" spans="1:23" s="207" customFormat="1" ht="15" customHeight="1">
      <c r="A32" s="256">
        <v>25</v>
      </c>
      <c r="B32" s="204">
        <v>9</v>
      </c>
      <c r="C32" s="204"/>
      <c r="D32" s="204">
        <v>54</v>
      </c>
      <c r="E32" s="204">
        <f>16.6-0.4</f>
        <v>16.200000000000003</v>
      </c>
      <c r="F32" s="204">
        <f>(((E31+E32)/2)*(D32-D31))</f>
        <v>32.400000000000006</v>
      </c>
      <c r="G32" s="255"/>
      <c r="H32" s="215"/>
      <c r="P32" s="204"/>
      <c r="Q32" s="204"/>
      <c r="R32" s="204"/>
    </row>
    <row r="33" spans="1:22" s="207" customFormat="1" ht="15" customHeight="1">
      <c r="A33" s="256">
        <v>30</v>
      </c>
      <c r="B33" s="204">
        <v>9.2550000000000008</v>
      </c>
      <c r="C33" s="204"/>
      <c r="D33" s="206">
        <v>56</v>
      </c>
      <c r="E33" s="206">
        <f>E32-(D33-D32)/2</f>
        <v>15.200000000000003</v>
      </c>
      <c r="F33" s="204">
        <f>(((E32+E33)/2)*(D33-D32))</f>
        <v>31.400000000000006</v>
      </c>
      <c r="G33" s="255"/>
      <c r="H33" s="215"/>
      <c r="O33" s="204"/>
      <c r="P33" s="206"/>
      <c r="Q33" s="206"/>
      <c r="R33" s="204"/>
    </row>
    <row r="34" spans="1:22" s="207" customFormat="1" ht="15" customHeight="1">
      <c r="A34" s="256">
        <v>35</v>
      </c>
      <c r="B34" s="204">
        <v>8.7449999999999992</v>
      </c>
      <c r="C34" s="204"/>
      <c r="D34" s="206">
        <v>60</v>
      </c>
      <c r="E34" s="206">
        <f>E33-(D34-D33)/2</f>
        <v>13.200000000000003</v>
      </c>
      <c r="F34" s="204">
        <f>(((E33+E34)/2)*(D34-D33))</f>
        <v>56.800000000000011</v>
      </c>
      <c r="G34" s="255"/>
      <c r="H34" s="215"/>
      <c r="O34" s="205"/>
      <c r="P34" s="204"/>
      <c r="Q34" s="204"/>
      <c r="R34" s="204"/>
    </row>
    <row r="35" spans="1:22" s="207" customFormat="1" ht="15" customHeight="1">
      <c r="A35" s="256">
        <v>40.799999999999997</v>
      </c>
      <c r="B35" s="204">
        <v>10.7</v>
      </c>
      <c r="C35" s="204"/>
      <c r="D35" s="206">
        <v>65</v>
      </c>
      <c r="E35" s="206">
        <f>E34-(D35-D34)/2</f>
        <v>10.700000000000003</v>
      </c>
      <c r="F35" s="204">
        <f>(((E34+E35)/2)*(D35-D34))</f>
        <v>59.750000000000014</v>
      </c>
      <c r="G35" s="255"/>
      <c r="H35" s="215"/>
      <c r="O35" s="204"/>
      <c r="P35" s="204"/>
      <c r="Q35" s="204"/>
      <c r="R35" s="204"/>
    </row>
    <row r="36" spans="1:22" s="207" customFormat="1" ht="15" customHeight="1">
      <c r="A36" s="256">
        <v>44</v>
      </c>
      <c r="B36" s="204">
        <v>12.38</v>
      </c>
      <c r="C36" s="204"/>
      <c r="D36" s="200" t="s">
        <v>235</v>
      </c>
      <c r="E36" s="200"/>
      <c r="F36" s="200">
        <f>SUM(F32:F35)</f>
        <v>180.35000000000002</v>
      </c>
      <c r="G36" s="252"/>
      <c r="H36" s="216"/>
      <c r="O36" s="203"/>
      <c r="P36" s="204"/>
      <c r="Q36" s="204"/>
      <c r="R36" s="205"/>
    </row>
    <row r="37" spans="1:22" s="207" customFormat="1" ht="15" customHeight="1">
      <c r="A37" s="256">
        <v>46</v>
      </c>
      <c r="B37" s="204">
        <v>13.5</v>
      </c>
      <c r="C37" s="204"/>
      <c r="D37" s="200" t="s">
        <v>236</v>
      </c>
      <c r="E37" s="200"/>
      <c r="F37" s="200">
        <f>F36-C45</f>
        <v>18.050000000000011</v>
      </c>
      <c r="G37" s="252"/>
      <c r="H37" s="216"/>
      <c r="J37" s="206"/>
      <c r="K37" s="204"/>
      <c r="L37" s="204"/>
      <c r="M37" s="204"/>
      <c r="N37" s="204"/>
      <c r="O37" s="203"/>
      <c r="P37" s="204"/>
      <c r="Q37" s="204"/>
      <c r="R37" s="204"/>
    </row>
    <row r="38" spans="1:22" s="207" customFormat="1" ht="15" customHeight="1">
      <c r="A38" s="256">
        <v>48</v>
      </c>
      <c r="B38" s="204">
        <v>16</v>
      </c>
      <c r="C38" s="204"/>
      <c r="D38" s="200" t="s">
        <v>19</v>
      </c>
      <c r="E38" s="200">
        <v>0</v>
      </c>
      <c r="F38" s="200">
        <f>Estimate!AJ53</f>
        <v>175</v>
      </c>
      <c r="G38" s="252"/>
      <c r="H38" s="216"/>
      <c r="K38" s="204"/>
      <c r="L38" s="204"/>
      <c r="M38" s="204"/>
      <c r="N38" s="204"/>
      <c r="O38" s="204"/>
      <c r="P38" s="204"/>
      <c r="Q38" s="204"/>
      <c r="R38" s="204"/>
    </row>
    <row r="39" spans="1:22" s="207" customFormat="1" ht="15" customHeight="1">
      <c r="A39" s="256">
        <v>50</v>
      </c>
      <c r="B39" s="204">
        <v>16</v>
      </c>
      <c r="C39" s="204"/>
      <c r="D39" s="200"/>
      <c r="E39" s="200" t="s">
        <v>237</v>
      </c>
      <c r="F39" s="200">
        <f>F37*(F38-E38)</f>
        <v>3158.7500000000018</v>
      </c>
      <c r="G39" s="252" t="s">
        <v>24</v>
      </c>
      <c r="H39" s="216"/>
      <c r="L39" s="204"/>
      <c r="M39" s="204"/>
      <c r="N39" s="204"/>
      <c r="O39" s="204"/>
      <c r="P39" s="204"/>
      <c r="Q39" s="204"/>
      <c r="R39" s="204"/>
    </row>
    <row r="40" spans="1:22" s="207" customFormat="1" ht="15" customHeight="1">
      <c r="A40" s="257">
        <v>52</v>
      </c>
      <c r="B40" s="205">
        <v>16</v>
      </c>
      <c r="G40" s="255"/>
      <c r="H40" s="215"/>
      <c r="L40" s="205"/>
      <c r="M40" s="205"/>
      <c r="N40" s="204"/>
      <c r="O40" s="204"/>
      <c r="P40" s="205"/>
      <c r="Q40" s="205"/>
      <c r="R40" s="204"/>
    </row>
    <row r="41" spans="1:22" s="207" customFormat="1">
      <c r="A41" s="256">
        <v>54</v>
      </c>
      <c r="B41" s="204">
        <v>15</v>
      </c>
      <c r="C41" s="204">
        <f>(((B40+B41)/2)*(A41-A40))</f>
        <v>31</v>
      </c>
      <c r="G41" s="255"/>
      <c r="H41" s="215"/>
    </row>
    <row r="42" spans="1:22" s="207" customFormat="1">
      <c r="A42" s="258">
        <v>56</v>
      </c>
      <c r="B42" s="204">
        <v>12.9</v>
      </c>
      <c r="C42" s="204">
        <f>(((B41+B42)/2)*(A42-A41))</f>
        <v>27.9</v>
      </c>
      <c r="G42" s="255"/>
      <c r="H42" s="215"/>
    </row>
    <row r="43" spans="1:22" s="207" customFormat="1" ht="15">
      <c r="A43" s="258">
        <v>60</v>
      </c>
      <c r="B43" s="204">
        <v>11.3</v>
      </c>
      <c r="C43" s="204">
        <f>(((B42+B43)/2)*(A43-A42))</f>
        <v>48.400000000000006</v>
      </c>
      <c r="D43" s="268"/>
      <c r="G43" s="255"/>
      <c r="H43" s="215"/>
      <c r="N43" s="204"/>
      <c r="O43" s="204"/>
      <c r="R43" s="204"/>
    </row>
    <row r="44" spans="1:22" s="207" customFormat="1" ht="15.75">
      <c r="A44" s="258">
        <v>65</v>
      </c>
      <c r="B44" s="204">
        <f>E35</f>
        <v>10.700000000000003</v>
      </c>
      <c r="C44" s="204">
        <f>(((B43+B44)/2)*(A44-A43))</f>
        <v>55.000000000000007</v>
      </c>
      <c r="G44" s="255"/>
      <c r="H44" s="215"/>
      <c r="L44" s="437"/>
      <c r="M44" s="437"/>
      <c r="N44" s="204"/>
      <c r="O44" s="269"/>
      <c r="P44" s="204"/>
    </row>
    <row r="45" spans="1:22" s="207" customFormat="1" ht="15.75">
      <c r="A45" s="422" t="s">
        <v>235</v>
      </c>
      <c r="B45" s="423"/>
      <c r="C45" s="259">
        <f>SUM(C41:C44)</f>
        <v>162.30000000000001</v>
      </c>
      <c r="D45" s="264"/>
      <c r="E45" s="264"/>
      <c r="F45" s="264"/>
      <c r="G45" s="262"/>
      <c r="H45" s="215"/>
    </row>
    <row r="46" spans="1:22" s="207" customFormat="1" ht="20.25" customHeight="1">
      <c r="A46" s="433" t="s">
        <v>255</v>
      </c>
      <c r="B46" s="434"/>
      <c r="C46" s="434"/>
      <c r="D46" s="434"/>
      <c r="E46" s="434"/>
      <c r="F46" s="434"/>
      <c r="G46" s="435"/>
      <c r="H46" s="249"/>
      <c r="N46" s="203"/>
      <c r="O46" s="203"/>
      <c r="P46" s="203"/>
      <c r="Q46" s="203"/>
      <c r="R46" s="203"/>
      <c r="S46" s="203"/>
      <c r="T46" s="203"/>
      <c r="U46" s="203"/>
      <c r="V46" s="203"/>
    </row>
    <row r="47" spans="1:22" s="207" customFormat="1" ht="23.25" customHeight="1">
      <c r="A47" s="254" t="s">
        <v>44</v>
      </c>
      <c r="B47" s="203" t="s">
        <v>45</v>
      </c>
      <c r="C47" s="203" t="s">
        <v>46</v>
      </c>
      <c r="D47" s="203" t="s">
        <v>44</v>
      </c>
      <c r="E47" s="203" t="s">
        <v>45</v>
      </c>
      <c r="F47" s="203" t="s">
        <v>23</v>
      </c>
      <c r="G47" s="270"/>
      <c r="H47" s="271"/>
      <c r="N47" s="203"/>
      <c r="O47" s="203"/>
      <c r="P47" s="203"/>
      <c r="Q47" s="203"/>
      <c r="R47" s="203"/>
      <c r="S47" s="203"/>
      <c r="T47" s="203"/>
      <c r="U47" s="203"/>
      <c r="V47" s="203"/>
    </row>
    <row r="48" spans="1:22" s="207" customFormat="1" ht="15" customHeight="1">
      <c r="A48" s="256">
        <v>0</v>
      </c>
      <c r="B48" s="204">
        <v>16.625</v>
      </c>
      <c r="C48" s="204"/>
      <c r="D48" s="204">
        <v>0</v>
      </c>
      <c r="E48" s="204">
        <v>16.625</v>
      </c>
      <c r="F48" s="204"/>
      <c r="G48" s="255"/>
      <c r="H48" s="215"/>
      <c r="N48" s="203"/>
      <c r="O48" s="203"/>
      <c r="P48" s="203"/>
      <c r="Q48" s="203"/>
      <c r="R48" s="203"/>
      <c r="S48" s="203"/>
      <c r="T48" s="203"/>
      <c r="U48" s="203"/>
      <c r="V48" s="203"/>
    </row>
    <row r="49" spans="1:22" s="207" customFormat="1" ht="15" customHeight="1">
      <c r="A49" s="256">
        <v>3.5</v>
      </c>
      <c r="B49" s="204">
        <v>16.625</v>
      </c>
      <c r="C49" s="204">
        <f t="shared" ref="C49:C66" si="2">(((B48+B49)/2)*(A49-A48))</f>
        <v>58.1875</v>
      </c>
      <c r="D49" s="204">
        <v>3.5</v>
      </c>
      <c r="E49" s="204">
        <v>16.625</v>
      </c>
      <c r="F49" s="204">
        <f t="shared" ref="F49:F54" si="3">(((E48+E49)/2)*(D49-D48))</f>
        <v>58.1875</v>
      </c>
      <c r="G49" s="255"/>
      <c r="H49" s="215"/>
      <c r="N49" s="203"/>
      <c r="O49" s="203"/>
      <c r="P49" s="203"/>
      <c r="Q49" s="203"/>
      <c r="R49" s="203"/>
      <c r="S49" s="203"/>
      <c r="T49" s="203"/>
      <c r="U49" s="203"/>
      <c r="V49" s="203"/>
    </row>
    <row r="50" spans="1:22" s="207" customFormat="1" ht="15" customHeight="1">
      <c r="A50" s="256">
        <v>6.5</v>
      </c>
      <c r="B50" s="204">
        <v>16.454999999999998</v>
      </c>
      <c r="C50" s="204">
        <f t="shared" si="2"/>
        <v>49.62</v>
      </c>
      <c r="D50" s="204">
        <v>6.5</v>
      </c>
      <c r="E50" s="204">
        <f>16.455-0.4</f>
        <v>16.055</v>
      </c>
      <c r="F50" s="204">
        <f t="shared" si="3"/>
        <v>49.019999999999996</v>
      </c>
      <c r="G50" s="255"/>
      <c r="H50" s="215"/>
      <c r="N50" s="203"/>
      <c r="O50" s="203"/>
      <c r="P50" s="203"/>
      <c r="Q50" s="203"/>
      <c r="R50" s="203"/>
      <c r="S50" s="203"/>
      <c r="T50" s="203"/>
      <c r="U50" s="203"/>
      <c r="V50" s="203"/>
    </row>
    <row r="51" spans="1:22" s="207" customFormat="1" ht="15" customHeight="1">
      <c r="A51" s="256">
        <v>8.5</v>
      </c>
      <c r="B51" s="204">
        <v>16.274999999999999</v>
      </c>
      <c r="C51" s="204">
        <f t="shared" si="2"/>
        <v>32.729999999999997</v>
      </c>
      <c r="D51" s="204">
        <f>D50</f>
        <v>6.5</v>
      </c>
      <c r="E51" s="204">
        <f>16.455-0.4</f>
        <v>16.055</v>
      </c>
      <c r="F51" s="204">
        <f t="shared" si="3"/>
        <v>0</v>
      </c>
      <c r="G51" s="255"/>
      <c r="H51" s="215"/>
      <c r="N51" s="203"/>
      <c r="O51" s="203"/>
      <c r="P51" s="203"/>
      <c r="Q51" s="203"/>
      <c r="R51" s="203"/>
      <c r="S51" s="203"/>
      <c r="T51" s="203"/>
      <c r="U51" s="203"/>
      <c r="V51" s="203"/>
    </row>
    <row r="52" spans="1:22" s="207" customFormat="1" ht="15" customHeight="1">
      <c r="A52" s="256">
        <v>12.5</v>
      </c>
      <c r="B52" s="204">
        <v>13.835000000000001</v>
      </c>
      <c r="C52" s="204">
        <f t="shared" si="2"/>
        <v>60.22</v>
      </c>
      <c r="D52" s="204">
        <f>D51+(E51-E52)*2</f>
        <v>18.97</v>
      </c>
      <c r="E52" s="207">
        <f>10.52-0.7</f>
        <v>9.82</v>
      </c>
      <c r="F52" s="204">
        <f t="shared" si="3"/>
        <v>161.330625</v>
      </c>
      <c r="G52" s="255"/>
      <c r="H52" s="215"/>
      <c r="N52" s="203"/>
      <c r="O52" s="203"/>
      <c r="P52" s="203"/>
      <c r="Q52" s="203"/>
      <c r="R52" s="203"/>
      <c r="S52" s="203"/>
      <c r="T52" s="203"/>
      <c r="U52" s="203"/>
      <c r="V52" s="203"/>
    </row>
    <row r="53" spans="1:22" s="207" customFormat="1" ht="15" customHeight="1">
      <c r="A53" s="256">
        <v>15.5</v>
      </c>
      <c r="B53" s="204">
        <v>11.984999999999999</v>
      </c>
      <c r="C53" s="204">
        <f t="shared" si="2"/>
        <v>38.730000000000004</v>
      </c>
      <c r="D53" s="204">
        <f>D52+17.35</f>
        <v>36.32</v>
      </c>
      <c r="E53" s="207">
        <f>10.52-0.7</f>
        <v>9.82</v>
      </c>
      <c r="F53" s="204">
        <f t="shared" si="3"/>
        <v>170.37700000000001</v>
      </c>
      <c r="G53" s="255"/>
      <c r="H53" s="215"/>
      <c r="N53" s="203"/>
      <c r="O53" s="203"/>
      <c r="P53" s="203"/>
      <c r="Q53" s="203"/>
      <c r="R53" s="203"/>
      <c r="S53" s="203"/>
      <c r="T53" s="203"/>
      <c r="U53" s="203"/>
      <c r="V53" s="203"/>
    </row>
    <row r="54" spans="1:22" s="207" customFormat="1" ht="15" customHeight="1">
      <c r="A54" s="256">
        <v>16.5</v>
      </c>
      <c r="B54" s="204">
        <v>11.225</v>
      </c>
      <c r="C54" s="204">
        <f t="shared" si="2"/>
        <v>11.605</v>
      </c>
      <c r="D54" s="207">
        <f>D53+(E54-E53)*2</f>
        <v>48.78</v>
      </c>
      <c r="E54" s="207">
        <f>16.45-0.4</f>
        <v>16.05</v>
      </c>
      <c r="F54" s="204">
        <f t="shared" si="3"/>
        <v>161.17010000000002</v>
      </c>
      <c r="G54" s="255"/>
      <c r="H54" s="215"/>
      <c r="N54" s="203"/>
      <c r="O54" s="203"/>
      <c r="P54" s="203"/>
      <c r="Q54" s="203"/>
      <c r="R54" s="203"/>
      <c r="S54" s="203"/>
      <c r="T54" s="203"/>
      <c r="U54" s="203"/>
      <c r="V54" s="203"/>
    </row>
    <row r="55" spans="1:22" s="207" customFormat="1" ht="15" customHeight="1">
      <c r="A55" s="256">
        <v>17.600000000000001</v>
      </c>
      <c r="B55" s="204">
        <v>11.25</v>
      </c>
      <c r="C55" s="204">
        <f t="shared" si="2"/>
        <v>12.361250000000016</v>
      </c>
      <c r="E55" s="200" t="s">
        <v>235</v>
      </c>
      <c r="F55" s="204">
        <f>SUM(F49:F54)</f>
        <v>600.08522500000004</v>
      </c>
      <c r="G55" s="255"/>
      <c r="H55" s="215"/>
      <c r="N55" s="203"/>
      <c r="O55" s="203"/>
      <c r="P55" s="203"/>
      <c r="Q55" s="203"/>
      <c r="R55" s="203"/>
      <c r="S55" s="203"/>
      <c r="T55" s="203"/>
      <c r="U55" s="203"/>
      <c r="V55" s="203"/>
    </row>
    <row r="56" spans="1:22" s="207" customFormat="1" ht="15" customHeight="1">
      <c r="A56" s="256">
        <v>20.5</v>
      </c>
      <c r="B56" s="204">
        <v>10.5</v>
      </c>
      <c r="C56" s="204">
        <f t="shared" si="2"/>
        <v>31.537499999999984</v>
      </c>
      <c r="E56" s="207" t="s">
        <v>236</v>
      </c>
      <c r="F56" s="204">
        <f>C67-F55</f>
        <v>37.927275000000009</v>
      </c>
      <c r="G56" s="255" t="s">
        <v>22</v>
      </c>
      <c r="H56" s="215"/>
      <c r="N56" s="203"/>
      <c r="O56" s="203"/>
      <c r="P56" s="203"/>
      <c r="Q56" s="203"/>
      <c r="R56" s="203"/>
      <c r="S56" s="203"/>
      <c r="T56" s="203"/>
      <c r="U56" s="203"/>
      <c r="V56" s="203"/>
    </row>
    <row r="57" spans="1:22" s="207" customFormat="1" ht="15" customHeight="1">
      <c r="A57" s="256">
        <v>25.5</v>
      </c>
      <c r="B57" s="204">
        <v>9.5</v>
      </c>
      <c r="C57" s="204">
        <f t="shared" si="2"/>
        <v>50</v>
      </c>
      <c r="D57" s="207" t="s">
        <v>19</v>
      </c>
      <c r="E57" s="204">
        <v>0</v>
      </c>
      <c r="F57" s="204">
        <v>8</v>
      </c>
      <c r="G57" s="255" t="s">
        <v>230</v>
      </c>
      <c r="H57" s="215"/>
      <c r="N57" s="203"/>
      <c r="O57" s="203"/>
      <c r="P57" s="203"/>
      <c r="Q57" s="203"/>
      <c r="R57" s="203"/>
      <c r="S57" s="203"/>
      <c r="T57" s="203"/>
      <c r="U57" s="203"/>
      <c r="V57" s="203"/>
    </row>
    <row r="58" spans="1:22" s="207" customFormat="1" ht="21" customHeight="1">
      <c r="A58" s="256">
        <v>30.5</v>
      </c>
      <c r="B58" s="204">
        <v>10.5</v>
      </c>
      <c r="C58" s="204">
        <f t="shared" si="2"/>
        <v>50</v>
      </c>
      <c r="E58" s="200" t="s">
        <v>272</v>
      </c>
      <c r="F58" s="204">
        <f>F56*(F57-E57)</f>
        <v>303.41820000000007</v>
      </c>
      <c r="G58" s="255" t="s">
        <v>24</v>
      </c>
      <c r="H58" s="215"/>
      <c r="N58" s="203"/>
      <c r="O58" s="203"/>
      <c r="P58" s="203"/>
      <c r="Q58" s="203"/>
      <c r="R58" s="203"/>
      <c r="S58" s="203"/>
      <c r="T58" s="203"/>
      <c r="U58" s="203"/>
      <c r="V58" s="203"/>
    </row>
    <row r="59" spans="1:22" s="207" customFormat="1" ht="15" customHeight="1">
      <c r="A59" s="256">
        <v>35.5</v>
      </c>
      <c r="B59" s="204">
        <v>10.725</v>
      </c>
      <c r="C59" s="204">
        <f t="shared" si="2"/>
        <v>53.0625</v>
      </c>
      <c r="G59" s="255"/>
      <c r="H59" s="215"/>
      <c r="N59" s="203"/>
      <c r="O59" s="203"/>
      <c r="P59" s="203"/>
      <c r="Q59" s="203"/>
      <c r="R59" s="203"/>
      <c r="S59" s="203"/>
      <c r="T59" s="203"/>
      <c r="U59" s="203"/>
      <c r="V59" s="203"/>
    </row>
    <row r="60" spans="1:22" s="207" customFormat="1" ht="15" customHeight="1">
      <c r="A60" s="256">
        <v>37.5</v>
      </c>
      <c r="B60" s="204">
        <v>11.705</v>
      </c>
      <c r="C60" s="204">
        <f t="shared" si="2"/>
        <v>22.43</v>
      </c>
      <c r="D60" s="208"/>
      <c r="E60" s="208"/>
      <c r="G60" s="255"/>
      <c r="H60" s="215"/>
      <c r="M60" s="204"/>
      <c r="N60" s="203"/>
      <c r="O60" s="203"/>
      <c r="P60" s="203"/>
      <c r="Q60" s="203"/>
      <c r="R60" s="203"/>
      <c r="S60" s="203"/>
      <c r="T60" s="203"/>
      <c r="U60" s="203"/>
      <c r="V60" s="203"/>
    </row>
    <row r="61" spans="1:22" s="207" customFormat="1" ht="15" customHeight="1">
      <c r="A61" s="256">
        <v>38</v>
      </c>
      <c r="B61" s="204">
        <v>12.305</v>
      </c>
      <c r="C61" s="204">
        <f t="shared" si="2"/>
        <v>6.0024999999999995</v>
      </c>
      <c r="D61" s="208"/>
      <c r="E61" s="208"/>
      <c r="G61" s="255"/>
      <c r="H61" s="215"/>
      <c r="M61" s="204"/>
      <c r="N61" s="203"/>
      <c r="O61" s="203"/>
      <c r="P61" s="203"/>
      <c r="Q61" s="203"/>
      <c r="R61" s="203"/>
      <c r="S61" s="203"/>
      <c r="T61" s="203"/>
      <c r="U61" s="203"/>
      <c r="V61" s="203"/>
    </row>
    <row r="62" spans="1:22" s="207" customFormat="1" ht="15" customHeight="1">
      <c r="A62" s="257">
        <v>38.5</v>
      </c>
      <c r="B62" s="205">
        <v>12.8</v>
      </c>
      <c r="C62" s="204">
        <f t="shared" si="2"/>
        <v>6.2762500000000001</v>
      </c>
      <c r="D62" s="208"/>
      <c r="E62" s="208"/>
      <c r="G62" s="255"/>
      <c r="H62" s="215"/>
      <c r="M62" s="205"/>
      <c r="N62" s="203"/>
      <c r="O62" s="203"/>
      <c r="P62" s="203"/>
      <c r="Q62" s="203"/>
      <c r="R62" s="203"/>
      <c r="S62" s="203"/>
      <c r="T62" s="203"/>
      <c r="U62" s="203"/>
      <c r="V62" s="203"/>
    </row>
    <row r="63" spans="1:22" s="207" customFormat="1" ht="15" customHeight="1">
      <c r="A63" s="256">
        <v>40.5</v>
      </c>
      <c r="B63" s="204">
        <v>13.99</v>
      </c>
      <c r="C63" s="204">
        <f t="shared" si="2"/>
        <v>26.79</v>
      </c>
      <c r="D63" s="208"/>
      <c r="E63" s="208"/>
      <c r="G63" s="255"/>
      <c r="H63" s="215"/>
      <c r="M63" s="204"/>
      <c r="N63" s="203"/>
      <c r="O63" s="203"/>
      <c r="P63" s="203"/>
      <c r="Q63" s="203"/>
      <c r="R63" s="203"/>
      <c r="S63" s="203"/>
      <c r="T63" s="203"/>
      <c r="U63" s="203"/>
      <c r="V63" s="203"/>
    </row>
    <row r="64" spans="1:22" s="207" customFormat="1" ht="15" customHeight="1">
      <c r="A64" s="258">
        <v>44.5</v>
      </c>
      <c r="B64" s="206">
        <v>16</v>
      </c>
      <c r="C64" s="204">
        <f t="shared" si="2"/>
        <v>59.980000000000004</v>
      </c>
      <c r="D64" s="208"/>
      <c r="E64" s="209"/>
      <c r="G64" s="255"/>
      <c r="H64" s="215"/>
      <c r="M64" s="206"/>
      <c r="N64" s="203"/>
      <c r="O64" s="203"/>
      <c r="P64" s="203"/>
      <c r="Q64" s="203"/>
      <c r="R64" s="203"/>
      <c r="S64" s="203"/>
      <c r="T64" s="203"/>
      <c r="U64" s="203"/>
      <c r="V64" s="203"/>
    </row>
    <row r="65" spans="1:20" s="207" customFormat="1" ht="15" customHeight="1">
      <c r="A65" s="258">
        <v>46</v>
      </c>
      <c r="B65" s="206">
        <v>16</v>
      </c>
      <c r="C65" s="204">
        <f t="shared" si="2"/>
        <v>24</v>
      </c>
      <c r="D65" s="208"/>
      <c r="E65" s="209"/>
      <c r="G65" s="255"/>
      <c r="H65" s="215"/>
      <c r="M65" s="206"/>
      <c r="N65" s="204"/>
      <c r="O65" s="206"/>
      <c r="P65" s="204"/>
      <c r="Q65" s="206"/>
      <c r="R65" s="206"/>
      <c r="S65" s="204"/>
    </row>
    <row r="66" spans="1:20" s="207" customFormat="1" ht="15" customHeight="1">
      <c r="A66" s="258">
        <f>D54</f>
        <v>48.78</v>
      </c>
      <c r="B66" s="206">
        <v>16</v>
      </c>
      <c r="C66" s="204">
        <f t="shared" si="2"/>
        <v>44.480000000000018</v>
      </c>
      <c r="D66" s="208"/>
      <c r="E66" s="208"/>
      <c r="G66" s="255"/>
      <c r="H66" s="215"/>
      <c r="M66" s="206"/>
      <c r="O66" s="204"/>
      <c r="P66" s="204"/>
      <c r="Q66" s="206"/>
      <c r="R66" s="206"/>
      <c r="S66" s="204"/>
    </row>
    <row r="67" spans="1:20" s="207" customFormat="1" ht="15" customHeight="1">
      <c r="A67" s="422" t="s">
        <v>235</v>
      </c>
      <c r="B67" s="423"/>
      <c r="C67" s="259">
        <f>SUM(C49:C66)</f>
        <v>638.01250000000005</v>
      </c>
      <c r="D67" s="260"/>
      <c r="E67" s="261"/>
      <c r="F67" s="261"/>
      <c r="G67" s="262"/>
      <c r="H67" s="215"/>
      <c r="M67" s="206"/>
      <c r="O67" s="204"/>
      <c r="P67" s="204"/>
      <c r="Q67" s="206"/>
      <c r="R67" s="206"/>
      <c r="S67" s="204"/>
    </row>
    <row r="68" spans="1:20" s="207" customFormat="1" ht="15" customHeight="1">
      <c r="A68" s="206"/>
      <c r="B68" s="206"/>
      <c r="C68" s="204"/>
      <c r="D68" s="208"/>
      <c r="E68" s="206"/>
      <c r="F68" s="206"/>
      <c r="G68" s="218"/>
      <c r="H68" s="218"/>
      <c r="M68" s="206"/>
      <c r="O68" s="204"/>
      <c r="P68" s="205"/>
      <c r="Q68" s="206"/>
      <c r="R68" s="206"/>
      <c r="S68" s="204"/>
    </row>
    <row r="69" spans="1:20" s="207" customFormat="1" ht="15" customHeight="1">
      <c r="A69" s="206"/>
      <c r="B69" s="206"/>
      <c r="C69" s="204"/>
      <c r="D69" s="208"/>
      <c r="E69" s="206"/>
      <c r="F69" s="206"/>
      <c r="G69" s="218"/>
      <c r="H69" s="218"/>
      <c r="K69" s="210"/>
      <c r="M69" s="206"/>
      <c r="O69" s="204"/>
      <c r="P69" s="205"/>
      <c r="Q69" s="206"/>
      <c r="R69" s="204"/>
      <c r="S69" s="204"/>
    </row>
    <row r="70" spans="1:20" s="207" customFormat="1" ht="15" customHeight="1">
      <c r="A70" s="206"/>
      <c r="B70" s="206"/>
      <c r="C70" s="204"/>
      <c r="D70" s="208"/>
      <c r="E70" s="206"/>
      <c r="F70" s="206"/>
      <c r="G70" s="218"/>
      <c r="H70" s="218"/>
      <c r="K70" s="210"/>
      <c r="M70" s="206"/>
      <c r="O70" s="204"/>
      <c r="P70" s="205"/>
      <c r="Q70" s="206"/>
      <c r="R70" s="204"/>
      <c r="S70" s="204"/>
    </row>
    <row r="71" spans="1:20" s="207" customFormat="1" ht="15" customHeight="1">
      <c r="A71" s="206"/>
      <c r="B71" s="206"/>
      <c r="C71" s="204"/>
      <c r="D71" s="208"/>
      <c r="E71" s="206"/>
      <c r="F71" s="206"/>
      <c r="G71" s="218"/>
      <c r="H71" s="218"/>
      <c r="K71" s="210"/>
      <c r="M71" s="206"/>
      <c r="N71" s="206"/>
      <c r="O71" s="204"/>
      <c r="P71" s="204"/>
      <c r="Q71" s="206"/>
      <c r="R71" s="206"/>
      <c r="S71" s="204"/>
    </row>
    <row r="72" spans="1:20" s="207" customFormat="1" ht="18" customHeight="1">
      <c r="A72" s="206"/>
      <c r="B72" s="206"/>
      <c r="D72" s="208"/>
      <c r="E72" s="208"/>
      <c r="G72" s="217"/>
      <c r="H72" s="217"/>
      <c r="I72" s="214"/>
      <c r="Q72" s="429"/>
      <c r="R72" s="429"/>
      <c r="S72" s="204"/>
    </row>
    <row r="73" spans="1:20" s="207" customFormat="1" ht="15" customHeight="1">
      <c r="A73" s="206"/>
      <c r="B73" s="206"/>
      <c r="C73" s="204"/>
      <c r="D73" s="272"/>
      <c r="E73" s="268"/>
      <c r="G73" s="218"/>
      <c r="H73" s="218"/>
      <c r="P73" s="204"/>
    </row>
    <row r="74" spans="1:20" s="207" customFormat="1" ht="15.95" customHeight="1">
      <c r="G74" s="215"/>
      <c r="H74" s="215"/>
    </row>
    <row r="75" spans="1:20" s="207" customFormat="1" ht="15.95" customHeight="1">
      <c r="C75" s="421"/>
      <c r="D75" s="421"/>
      <c r="E75" s="200"/>
      <c r="G75" s="215"/>
      <c r="H75" s="215"/>
    </row>
    <row r="76" spans="1:20" ht="15.95" customHeight="1">
      <c r="C76" s="421"/>
      <c r="D76" s="421"/>
      <c r="E76" s="200"/>
      <c r="L76" s="207"/>
      <c r="M76" s="207"/>
      <c r="N76" s="207"/>
      <c r="O76" s="207"/>
      <c r="P76" s="207"/>
      <c r="Q76" s="207"/>
      <c r="R76" s="207"/>
      <c r="S76" s="207"/>
      <c r="T76" s="207"/>
    </row>
    <row r="77" spans="1:20" ht="15.95" customHeight="1">
      <c r="C77" s="200"/>
      <c r="D77" s="200"/>
      <c r="E77" s="200"/>
      <c r="L77" s="207"/>
      <c r="M77" s="207"/>
      <c r="N77" s="207"/>
      <c r="O77" s="207"/>
      <c r="P77" s="207"/>
      <c r="Q77" s="207"/>
      <c r="R77" s="207"/>
      <c r="S77" s="207"/>
      <c r="T77" s="207"/>
    </row>
    <row r="78" spans="1:20" ht="15.95" customHeight="1">
      <c r="L78" s="207"/>
      <c r="M78" s="207"/>
      <c r="N78" s="207"/>
      <c r="O78" s="207"/>
      <c r="P78" s="207"/>
      <c r="Q78" s="207"/>
      <c r="R78" s="207"/>
      <c r="S78" s="207"/>
      <c r="T78" s="207"/>
    </row>
    <row r="79" spans="1:20" ht="15.95" customHeight="1">
      <c r="L79" s="207"/>
      <c r="M79" s="207"/>
      <c r="N79" s="207"/>
      <c r="O79" s="207"/>
      <c r="P79" s="207"/>
      <c r="Q79" s="207"/>
      <c r="R79" s="207"/>
      <c r="S79" s="207"/>
      <c r="T79" s="207"/>
    </row>
    <row r="80" spans="1:20" ht="15.95" customHeight="1">
      <c r="L80" s="207"/>
      <c r="M80" s="207"/>
      <c r="N80" s="207"/>
      <c r="O80" s="207"/>
      <c r="P80" s="207"/>
      <c r="Q80" s="207"/>
      <c r="R80" s="207"/>
      <c r="S80" s="207"/>
      <c r="T80" s="207"/>
    </row>
    <row r="81" spans="12:20" ht="15.95" customHeight="1">
      <c r="L81" s="207"/>
      <c r="M81" s="207"/>
      <c r="N81" s="207"/>
      <c r="O81" s="207"/>
      <c r="P81" s="207"/>
      <c r="Q81" s="207"/>
      <c r="R81" s="207"/>
      <c r="S81" s="207"/>
      <c r="T81" s="207"/>
    </row>
    <row r="82" spans="12:20" ht="15.95" customHeight="1"/>
    <row r="83" spans="12:20" ht="15.95" customHeight="1"/>
    <row r="84" spans="12:20" ht="15.95" customHeight="1"/>
    <row r="85" spans="12:20" ht="15.95" customHeight="1"/>
    <row r="86" spans="12:20" ht="15.95" customHeight="1"/>
    <row r="87" spans="12:20" ht="15.95" customHeight="1"/>
    <row r="88" spans="12:20" ht="15.95" customHeight="1"/>
    <row r="89" spans="12:20" ht="15.95" customHeight="1"/>
    <row r="90" spans="12:20" ht="15.95" customHeight="1"/>
    <row r="91" spans="12:20" ht="15.95" customHeight="1"/>
    <row r="92" spans="12:20" ht="15.95" customHeight="1"/>
    <row r="93" spans="12:20" ht="15.95" customHeight="1"/>
    <row r="94" spans="12:20" ht="15.95" customHeight="1"/>
    <row r="95" spans="12:20" ht="15.95" customHeight="1"/>
    <row r="96" spans="12:20"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sheetData>
  <mergeCells count="18">
    <mergeCell ref="Q72:R72"/>
    <mergeCell ref="A23:G23"/>
    <mergeCell ref="A46:G46"/>
    <mergeCell ref="A22:B22"/>
    <mergeCell ref="D19:E19"/>
    <mergeCell ref="L44:M44"/>
    <mergeCell ref="D20:E20"/>
    <mergeCell ref="A67:B67"/>
    <mergeCell ref="A1:G1"/>
    <mergeCell ref="A2:G2"/>
    <mergeCell ref="C75:D75"/>
    <mergeCell ref="C76:D76"/>
    <mergeCell ref="A45:B45"/>
    <mergeCell ref="A3:G3"/>
    <mergeCell ref="A13:G13"/>
    <mergeCell ref="A12:B12"/>
    <mergeCell ref="D9:E9"/>
    <mergeCell ref="D10:E10"/>
  </mergeCells>
  <phoneticPr fontId="0" type="noConversion"/>
  <printOptions horizontalCentered="1"/>
  <pageMargins left="0.7" right="0.25" top="0.75" bottom="0.5" header="0.25" footer="0.25"/>
  <pageSetup paperSize="9" orientation="portrait" r:id="rId1"/>
  <headerFooter alignWithMargins="0"/>
  <rowBreaks count="1" manualBreakCount="1">
    <brk id="45" max="6" man="1"/>
  </rowBreaks>
  <drawing r:id="rId2"/>
</worksheet>
</file>

<file path=xl/worksheets/sheet5.xml><?xml version="1.0" encoding="utf-8"?>
<worksheet xmlns="http://schemas.openxmlformats.org/spreadsheetml/2006/main" xmlns:r="http://schemas.openxmlformats.org/officeDocument/2006/relationships">
  <dimension ref="A1:P96"/>
  <sheetViews>
    <sheetView view="pageBreakPreview" zoomScaleSheetLayoutView="100" workbookViewId="0">
      <selection activeCell="C5" sqref="C5"/>
    </sheetView>
  </sheetViews>
  <sheetFormatPr defaultRowHeight="12.75"/>
  <cols>
    <col min="1" max="1" width="4.5703125" style="176" customWidth="1"/>
    <col min="2" max="2" width="7.7109375" style="166" customWidth="1"/>
    <col min="3" max="3" width="90.85546875" style="171" customWidth="1"/>
    <col min="4" max="4" width="6" style="166" customWidth="1"/>
    <col min="5" max="5" width="8.42578125" style="309" customWidth="1"/>
    <col min="6" max="6" width="8.140625" style="179" hidden="1" customWidth="1"/>
    <col min="7" max="7" width="9.42578125" style="179" hidden="1" customWidth="1"/>
    <col min="8" max="8" width="15.85546875" style="172" customWidth="1"/>
    <col min="9" max="9" width="15.85546875" style="169" customWidth="1"/>
    <col min="10" max="10" width="9.85546875" style="169" bestFit="1" customWidth="1"/>
    <col min="11" max="12" width="9.140625" style="169"/>
    <col min="13" max="13" width="9.42578125" style="169" customWidth="1"/>
    <col min="14" max="14" width="15.42578125" style="169" customWidth="1"/>
    <col min="15" max="15" width="13.5703125" style="169" customWidth="1"/>
    <col min="16" max="16384" width="9.140625" style="169"/>
  </cols>
  <sheetData>
    <row r="1" spans="1:9" s="163" customFormat="1" ht="20.25" customHeight="1">
      <c r="A1" s="441" t="s">
        <v>258</v>
      </c>
      <c r="B1" s="441"/>
      <c r="C1" s="441"/>
      <c r="D1" s="441"/>
      <c r="E1" s="441"/>
      <c r="F1" s="441"/>
      <c r="G1" s="441"/>
      <c r="H1" s="441"/>
      <c r="I1" s="441"/>
    </row>
    <row r="2" spans="1:9" s="163" customFormat="1" ht="42.75" customHeight="1">
      <c r="A2" s="442" t="str">
        <f>Abstract!A2</f>
        <v>Repair &amp; Rehabilitation of Head Regulator of Kushtia (HRK) at Km 10.60 of Kushtia Main Canal (KMC) in c/w Rehabilitation of the Ganges-Kobadak Irrigation Project under Kushtia O &amp; M Division, BWDB, Kushtia.</v>
      </c>
      <c r="B2" s="442"/>
      <c r="C2" s="442"/>
      <c r="D2" s="442"/>
      <c r="E2" s="442"/>
      <c r="F2" s="442"/>
      <c r="G2" s="442"/>
      <c r="H2" s="442"/>
      <c r="I2" s="442"/>
    </row>
    <row r="3" spans="1:9" s="166" customFormat="1" ht="25.5" customHeight="1">
      <c r="A3" s="164" t="s">
        <v>259</v>
      </c>
      <c r="B3" s="165" t="s">
        <v>55</v>
      </c>
      <c r="C3" s="165" t="s">
        <v>1</v>
      </c>
      <c r="D3" s="165" t="s">
        <v>35</v>
      </c>
      <c r="E3" s="303" t="s">
        <v>36</v>
      </c>
      <c r="F3" s="177"/>
      <c r="G3" s="177"/>
      <c r="H3" s="165" t="s">
        <v>294</v>
      </c>
      <c r="I3" s="165" t="s">
        <v>38</v>
      </c>
    </row>
    <row r="4" spans="1:9" ht="12.75" customHeight="1">
      <c r="A4" s="175"/>
      <c r="B4" s="174"/>
      <c r="D4" s="167"/>
      <c r="E4" s="304"/>
      <c r="F4" s="178"/>
      <c r="G4" s="178"/>
      <c r="H4" s="168" t="s">
        <v>260</v>
      </c>
      <c r="I4" s="168" t="s">
        <v>260</v>
      </c>
    </row>
    <row r="5" spans="1:9" ht="48.75" customHeight="1">
      <c r="A5" s="170">
        <f>Abstract!A4</f>
        <v>1</v>
      </c>
      <c r="B5" s="170" t="str">
        <f>Abstract!B4</f>
        <v>04-120</v>
      </c>
      <c r="C5" s="171" t="str">
        <f>Abstract!C4</f>
        <v>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v>
      </c>
      <c r="D5" s="167" t="str">
        <f>Abstract!D4</f>
        <v>nos</v>
      </c>
      <c r="E5" s="314">
        <f>Abstract!E4</f>
        <v>1</v>
      </c>
      <c r="F5" s="318">
        <v>1116</v>
      </c>
      <c r="G5" s="314">
        <f>F5*E5</f>
        <v>1116</v>
      </c>
      <c r="H5" s="319">
        <v>1116</v>
      </c>
      <c r="I5" s="315">
        <f>H5*E5</f>
        <v>1116</v>
      </c>
    </row>
    <row r="6" spans="1:9" ht="30.75" customHeight="1">
      <c r="A6" s="170">
        <f>Abstract!A5</f>
        <v>2</v>
      </c>
      <c r="B6" s="170" t="str">
        <f>Abstract!B5</f>
        <v>04-180</v>
      </c>
      <c r="C6" s="171" t="str">
        <f>Abstract!C5</f>
        <v>Site preparation by manually removing all miscellaneous objectional materials from entire site and removing soil upto 15cm depth including uprooting stumps, jungle clearing, levelling dressing etc. complete as per direction of Engineer in charge.</v>
      </c>
      <c r="D6" s="167" t="str">
        <f>Abstract!D5</f>
        <v>Sqm</v>
      </c>
      <c r="E6" s="314">
        <f>Abstract!E5</f>
        <v>328</v>
      </c>
      <c r="F6" s="318">
        <v>24</v>
      </c>
      <c r="G6" s="314">
        <f t="shared" ref="G6:G48" si="0">F6*E6</f>
        <v>7872</v>
      </c>
      <c r="H6" s="319">
        <v>24</v>
      </c>
      <c r="I6" s="315">
        <f t="shared" ref="I6:I47" si="1">H6*E6</f>
        <v>7872</v>
      </c>
    </row>
    <row r="7" spans="1:9" ht="27.75" customHeight="1">
      <c r="A7" s="170">
        <f>Abstract!A6</f>
        <v>3</v>
      </c>
      <c r="B7" s="170" t="str">
        <f>Abstract!B6</f>
        <v>04-320</v>
      </c>
      <c r="C7" s="171" t="str">
        <f>Abstract!C6</f>
        <v>Supplying bamboo pegs 0.45 m to 0.75 m long and average dia 6 cm, with saw cut top as per direction of Engineer in charge.</v>
      </c>
      <c r="D7" s="167" t="str">
        <f>Abstract!D6</f>
        <v>nos</v>
      </c>
      <c r="E7" s="314">
        <f>Abstract!E6</f>
        <v>88</v>
      </c>
      <c r="F7" s="318">
        <v>26</v>
      </c>
      <c r="G7" s="314">
        <f t="shared" si="0"/>
        <v>2288</v>
      </c>
      <c r="H7" s="319">
        <v>26</v>
      </c>
      <c r="I7" s="315">
        <f t="shared" si="1"/>
        <v>2288</v>
      </c>
    </row>
    <row r="8" spans="1:9" ht="27.75" customHeight="1">
      <c r="A8" s="170">
        <f>Abstract!A7</f>
        <v>4</v>
      </c>
      <c r="B8" s="170" t="str">
        <f>Abstract!B7</f>
        <v>04-330</v>
      </c>
      <c r="C8" s="171" t="str">
        <f>Abstract!C7</f>
        <v>Labour charge for fixing the bamboo pegs 0.45m to 0.75m long and average dia 6cm, as per direction of Engineer in charge</v>
      </c>
      <c r="D8" s="167" t="str">
        <f>Abstract!D7</f>
        <v>nos</v>
      </c>
      <c r="E8" s="314">
        <f>Abstract!E7</f>
        <v>88</v>
      </c>
      <c r="F8" s="318">
        <v>2</v>
      </c>
      <c r="G8" s="314">
        <f t="shared" si="0"/>
        <v>176</v>
      </c>
      <c r="H8" s="319">
        <v>2</v>
      </c>
      <c r="I8" s="315">
        <f t="shared" si="1"/>
        <v>176</v>
      </c>
    </row>
    <row r="9" spans="1:9" ht="27" customHeight="1">
      <c r="A9" s="170">
        <f>Abstract!A8</f>
        <v>5</v>
      </c>
      <c r="B9" s="297" t="str">
        <f>Abstract!B8</f>
        <v>04-280-10</v>
      </c>
      <c r="C9" s="298" t="str">
        <f>Abstract!C8</f>
        <v>Constructing at site, cement mortar gauge on masonry wall, including engraving in meter, decimeter &amp; centimeter, painting and figuring with black and red water proof paint, etc. complete as per direction of Engineer in charge.</v>
      </c>
      <c r="D9" s="299" t="str">
        <f>Abstract!D8</f>
        <v>M</v>
      </c>
      <c r="E9" s="316">
        <f>Abstract!E8</f>
        <v>15</v>
      </c>
      <c r="F9" s="318">
        <v>71</v>
      </c>
      <c r="G9" s="314">
        <f t="shared" si="0"/>
        <v>1065</v>
      </c>
      <c r="H9" s="319">
        <v>71</v>
      </c>
      <c r="I9" s="315">
        <f t="shared" si="1"/>
        <v>1065</v>
      </c>
    </row>
    <row r="10" spans="1:9" ht="16.5" customHeight="1">
      <c r="A10" s="443">
        <f>Abstract!A9</f>
        <v>6</v>
      </c>
      <c r="B10" s="170" t="str">
        <f>Abstract!B9</f>
        <v>52-110</v>
      </c>
      <c r="C10" s="171" t="str">
        <f>Abstract!C9</f>
        <v>Dismantling of construction works, including removing debris within 60m as per direction of Engineer in charge.</v>
      </c>
      <c r="D10" s="167"/>
      <c r="E10" s="314"/>
      <c r="F10" s="318"/>
      <c r="G10" s="314">
        <f t="shared" si="0"/>
        <v>0</v>
      </c>
      <c r="H10" s="319"/>
      <c r="I10" s="315">
        <f t="shared" si="1"/>
        <v>0</v>
      </c>
    </row>
    <row r="11" spans="1:9" ht="20.25" customHeight="1">
      <c r="A11" s="443"/>
      <c r="B11" s="170" t="str">
        <f>Abstract!B10</f>
        <v>52-110-30</v>
      </c>
      <c r="C11" s="171" t="str">
        <f>Abstract!C10</f>
        <v>brick masonry in cement</v>
      </c>
      <c r="D11" s="167" t="str">
        <f>Abstract!D10</f>
        <v>cum</v>
      </c>
      <c r="E11" s="314">
        <f>Abstract!E10</f>
        <v>341.07499999999993</v>
      </c>
      <c r="F11" s="320">
        <v>418</v>
      </c>
      <c r="G11" s="314">
        <f t="shared" si="0"/>
        <v>142569.34999999998</v>
      </c>
      <c r="H11" s="321">
        <v>418</v>
      </c>
      <c r="I11" s="315">
        <f t="shared" si="1"/>
        <v>142569.34999999998</v>
      </c>
    </row>
    <row r="12" spans="1:9" ht="26.25" customHeight="1">
      <c r="A12" s="439">
        <f>Abstract!A11</f>
        <v>7</v>
      </c>
      <c r="B12" s="300" t="str">
        <f>Abstract!B11</f>
        <v>40-440</v>
      </c>
      <c r="C12" s="301" t="str">
        <f>Abstract!C11</f>
        <v>Supplying and filling empty gunny/synthetic bags as approved in design &amp; drawing with sand/ earth available at site sewing the end with sutly, including carrying and placing in position within the site with supply of all materials as per direction of Engineer in charge.</v>
      </c>
      <c r="D12" s="302"/>
      <c r="E12" s="317"/>
      <c r="F12" s="320"/>
      <c r="G12" s="314">
        <f t="shared" si="0"/>
        <v>0</v>
      </c>
      <c r="H12" s="321"/>
      <c r="I12" s="315">
        <f t="shared" si="1"/>
        <v>0</v>
      </c>
    </row>
    <row r="13" spans="1:9" ht="23.25" customHeight="1">
      <c r="A13" s="440"/>
      <c r="B13" s="170" t="str">
        <f>Abstract!B12</f>
        <v>40-440-30</v>
      </c>
      <c r="C13" s="220" t="str">
        <f>Abstract!C12</f>
        <v>Capacity : 50 kg. (Synthetic bag)</v>
      </c>
      <c r="D13" s="167" t="str">
        <f>Abstract!D12</f>
        <v>nos</v>
      </c>
      <c r="E13" s="314">
        <f>Abstract!E12</f>
        <v>20208.839999999986</v>
      </c>
      <c r="F13" s="320">
        <v>19</v>
      </c>
      <c r="G13" s="314">
        <f t="shared" si="0"/>
        <v>383967.95999999973</v>
      </c>
      <c r="H13" s="321">
        <v>19</v>
      </c>
      <c r="I13" s="315">
        <f t="shared" si="1"/>
        <v>383967.95999999973</v>
      </c>
    </row>
    <row r="14" spans="1:9" ht="70.5" customHeight="1">
      <c r="A14" s="170">
        <f>Abstract!A13</f>
        <v>8</v>
      </c>
      <c r="B14" s="170" t="str">
        <f>Abstract!B13</f>
        <v>16-360-10</v>
      </c>
      <c r="C14" s="322" t="str">
        <f>Abstract!C13</f>
        <v xml:space="preserve">Earth work by carried earth by truck/boat or any other means supplied at contractor's own cost (including royalty) in constructing/ resectioning of the embankment/ canal bank/ road etc. in clayey soil (minimum 30% clay, 0-40% silt and 0-30% sand) beyond the initial lead of 300m including throwing the spoils to a profile in layers not exceeding 150mm in thickness, breaking clods, benching the side slopes, stripping the base of embankment and borrow pit area, dug bailing, cutting trees upto 200mm girth with uprooting stumps, clearing jungles, bail out of water, rough dressing and 150mm cambering at the centre of the crest etc. complete as per design, specification and direction of Engineer in charge.
16-360-10: 300 m to 1.00 km
</v>
      </c>
      <c r="D14" s="167" t="str">
        <f>Abstract!D13</f>
        <v>cum</v>
      </c>
      <c r="E14" s="314">
        <f>Abstract!E13</f>
        <v>2978.9318000000017</v>
      </c>
      <c r="F14" s="318">
        <v>260</v>
      </c>
      <c r="G14" s="314">
        <f t="shared" si="0"/>
        <v>774522.26800000039</v>
      </c>
      <c r="H14" s="319">
        <v>260</v>
      </c>
      <c r="I14" s="315">
        <f t="shared" si="1"/>
        <v>774522.26800000039</v>
      </c>
    </row>
    <row r="15" spans="1:9" ht="33" customHeight="1">
      <c r="A15" s="170">
        <f>Abstract!A14</f>
        <v>9</v>
      </c>
      <c r="B15" s="170" t="str">
        <f>Abstract!B14</f>
        <v>40-900</v>
      </c>
      <c r="C15" s="171" t="str">
        <f>Abstract!C14</f>
        <v xml:space="preserve">Earth work in cutting and filling of eroded bank of river, channel etc. to design slope, including levelling, dressing and compacting the earth in 150mm layers and preparation of the base for bank protection work as per direction of Engineer in charge. </v>
      </c>
      <c r="D15" s="167" t="str">
        <f>Abstract!D14</f>
        <v>cum</v>
      </c>
      <c r="E15" s="314">
        <f>Abstract!E14</f>
        <v>761.01819999999998</v>
      </c>
      <c r="F15" s="318">
        <v>124</v>
      </c>
      <c r="G15" s="314">
        <f t="shared" si="0"/>
        <v>94366.256800000003</v>
      </c>
      <c r="H15" s="319">
        <v>124</v>
      </c>
      <c r="I15" s="315">
        <f t="shared" si="1"/>
        <v>94366.256800000003</v>
      </c>
    </row>
    <row r="16" spans="1:9" ht="35.25" customHeight="1">
      <c r="A16" s="170">
        <f>Abstract!A15</f>
        <v>10</v>
      </c>
      <c r="B16" s="170" t="str">
        <f>Abstract!B15</f>
        <v>16-310-10</v>
      </c>
      <c r="C16" s="171" t="str">
        <f>Abstract!C15</f>
        <v>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v>
      </c>
      <c r="D16" s="167" t="str">
        <f>Abstract!D15</f>
        <v>cum</v>
      </c>
      <c r="E16" s="314">
        <f>Abstract!E15</f>
        <v>101.64375000000001</v>
      </c>
      <c r="F16" s="318">
        <v>214</v>
      </c>
      <c r="G16" s="314">
        <f t="shared" si="0"/>
        <v>21751.762500000001</v>
      </c>
      <c r="H16" s="319">
        <v>214</v>
      </c>
      <c r="I16" s="315">
        <f t="shared" si="1"/>
        <v>21751.762500000001</v>
      </c>
    </row>
    <row r="17" spans="1:9" ht="24.75" customHeight="1">
      <c r="A17" s="438">
        <f>Abstract!A16</f>
        <v>11</v>
      </c>
      <c r="B17" s="170" t="str">
        <f>Abstract!B16</f>
        <v>16-230</v>
      </c>
      <c r="C17" s="171" t="str">
        <f>Abstract!C16</f>
        <v>Compaction of earth in resectioning of embankment/ canal bank/ road/ river bank slopes/ compounds etc as per design to profile in layers not exceeding 150mm in thickness in all kinds of soils etc. complete as per direction of Engineer in charge.</v>
      </c>
      <c r="D17" s="167"/>
      <c r="E17" s="314"/>
      <c r="F17" s="318"/>
      <c r="G17" s="314">
        <f t="shared" si="0"/>
        <v>0</v>
      </c>
      <c r="H17" s="319"/>
      <c r="I17" s="315">
        <f t="shared" si="1"/>
        <v>0</v>
      </c>
    </row>
    <row r="18" spans="1:9" ht="18" customHeight="1">
      <c r="A18" s="438"/>
      <c r="B18" s="170" t="str">
        <f>Abstract!B17</f>
        <v>16-230-20</v>
      </c>
      <c r="C18" s="171" t="str">
        <f>Abstract!C17</f>
        <v>By 7.00 kg. iron rammer to remove all voids from soil.</v>
      </c>
      <c r="D18" s="167" t="str">
        <f>Abstract!D17</f>
        <v>cum</v>
      </c>
      <c r="E18" s="314">
        <f>Abstract!E17</f>
        <v>3739.9500000000016</v>
      </c>
      <c r="F18" s="318">
        <v>30</v>
      </c>
      <c r="G18" s="314">
        <f t="shared" si="0"/>
        <v>112198.50000000004</v>
      </c>
      <c r="H18" s="319">
        <v>30</v>
      </c>
      <c r="I18" s="315">
        <f t="shared" si="1"/>
        <v>112198.50000000004</v>
      </c>
    </row>
    <row r="19" spans="1:9" ht="24" customHeight="1">
      <c r="A19" s="170">
        <f>Abstract!A18</f>
        <v>12</v>
      </c>
      <c r="B19" s="170" t="str">
        <f>Abstract!B18</f>
        <v>44-220-10</v>
      </c>
      <c r="C19" s="171" t="str">
        <f>Abstract!C18</f>
        <v>Supplying and laying single layer polythene sheet in floor below cement concrete, RCC slab, on walls etc. complete in all respect as per direction of Engineer in charge.</v>
      </c>
      <c r="D19" s="167" t="str">
        <f>Abstract!D18</f>
        <v>Sqm</v>
      </c>
      <c r="E19" s="314">
        <f>Abstract!E18</f>
        <v>24.599999999999998</v>
      </c>
      <c r="F19" s="318">
        <v>33</v>
      </c>
      <c r="G19" s="314">
        <f t="shared" si="0"/>
        <v>811.8</v>
      </c>
      <c r="H19" s="319">
        <v>33</v>
      </c>
      <c r="I19" s="315">
        <f t="shared" si="1"/>
        <v>811.8</v>
      </c>
    </row>
    <row r="20" spans="1:9" ht="41.25" customHeight="1">
      <c r="A20" s="438">
        <f>Abstract!A19</f>
        <v>13</v>
      </c>
      <c r="B20" s="170" t="str">
        <f>Abstract!B19</f>
        <v>12-310</v>
      </c>
      <c r="C20" s="171" t="str">
        <f>Abstract!C19</f>
        <v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v>
      </c>
      <c r="D20" s="167"/>
      <c r="E20" s="314"/>
      <c r="F20" s="320"/>
      <c r="G20" s="314">
        <f t="shared" si="0"/>
        <v>0</v>
      </c>
      <c r="H20" s="321"/>
      <c r="I20" s="315">
        <f t="shared" si="1"/>
        <v>0</v>
      </c>
    </row>
    <row r="21" spans="1:9" ht="19.5" customHeight="1">
      <c r="A21" s="438"/>
      <c r="B21" s="170" t="str">
        <f>Abstract!B20</f>
        <v>12-310-20</v>
      </c>
      <c r="C21" s="171" t="str">
        <f>Abstract!C20</f>
        <v>by pump.</v>
      </c>
      <c r="D21" s="167" t="str">
        <f>Abstract!D20</f>
        <v>cum</v>
      </c>
      <c r="E21" s="314">
        <f>Abstract!E20</f>
        <v>42820.730671197962</v>
      </c>
      <c r="F21" s="320">
        <v>6</v>
      </c>
      <c r="G21" s="314">
        <f t="shared" si="0"/>
        <v>256924.38402718777</v>
      </c>
      <c r="H21" s="321">
        <v>6</v>
      </c>
      <c r="I21" s="315">
        <f t="shared" si="1"/>
        <v>256924.38402718777</v>
      </c>
    </row>
    <row r="22" spans="1:9" ht="51.75" customHeight="1">
      <c r="A22" s="438">
        <f>Abstract!A21</f>
        <v>14</v>
      </c>
      <c r="B22" s="170" t="str">
        <f>Abstract!B21</f>
        <v>40-190</v>
      </c>
      <c r="C22" s="171" t="str">
        <f>Abstract!C21</f>
        <v>Manufacturing and supplying C.C. blocks in leanest mix. 1:3:6, with cement, sand (FM&gt;=1.5) and shingles (40mm down graded), to attain a minimum 28 days cylinder strength of 9.0 N/mm²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v>
      </c>
      <c r="D22" s="167"/>
      <c r="E22" s="314"/>
      <c r="F22" s="318"/>
      <c r="G22" s="314">
        <f t="shared" si="0"/>
        <v>0</v>
      </c>
      <c r="H22" s="319"/>
      <c r="I22" s="315">
        <f t="shared" si="1"/>
        <v>0</v>
      </c>
    </row>
    <row r="23" spans="1:9" ht="21" customHeight="1">
      <c r="A23" s="438"/>
      <c r="B23" s="170" t="str">
        <f>Abstract!B22</f>
        <v xml:space="preserve">40-190-35 </v>
      </c>
      <c r="C23" s="171" t="str">
        <f>Abstract!C22</f>
        <v>Block Size 40 cm x 40 cm x 40 cm</v>
      </c>
      <c r="D23" s="167" t="str">
        <f>Abstract!D22</f>
        <v>nos</v>
      </c>
      <c r="E23" s="314">
        <f>Abstract!E22</f>
        <v>4125</v>
      </c>
      <c r="F23" s="318">
        <v>462</v>
      </c>
      <c r="G23" s="314">
        <f t="shared" si="0"/>
        <v>1905750</v>
      </c>
      <c r="H23" s="319">
        <v>462</v>
      </c>
      <c r="I23" s="315">
        <f t="shared" si="1"/>
        <v>1905750</v>
      </c>
    </row>
    <row r="24" spans="1:9" ht="21" customHeight="1">
      <c r="A24" s="438"/>
      <c r="B24" s="170" t="str">
        <f>Abstract!B23</f>
        <v xml:space="preserve">40-190-50  </v>
      </c>
      <c r="C24" s="171" t="str">
        <f>Abstract!C23</f>
        <v>Block Size 30 cm x 30 cm x 30 cm</v>
      </c>
      <c r="D24" s="167" t="str">
        <f>Abstract!D23</f>
        <v>nos</v>
      </c>
      <c r="E24" s="314">
        <f>Abstract!E23</f>
        <v>7334</v>
      </c>
      <c r="F24" s="318">
        <v>242</v>
      </c>
      <c r="G24" s="314">
        <f t="shared" si="0"/>
        <v>1774828</v>
      </c>
      <c r="H24" s="319">
        <v>242</v>
      </c>
      <c r="I24" s="315">
        <f t="shared" si="1"/>
        <v>1774828</v>
      </c>
    </row>
    <row r="25" spans="1:9" ht="18.75" customHeight="1">
      <c r="A25" s="438"/>
      <c r="B25" s="170" t="str">
        <f>Abstract!B24</f>
        <v>40-190-40</v>
      </c>
      <c r="C25" s="171" t="str">
        <f>Abstract!C24</f>
        <v xml:space="preserve">Block size: 40cm x 40cm x 20cm </v>
      </c>
      <c r="D25" s="167" t="str">
        <f>Abstract!D24</f>
        <v>nos</v>
      </c>
      <c r="E25" s="314">
        <f>Abstract!E24</f>
        <v>8425</v>
      </c>
      <c r="F25" s="318">
        <v>291</v>
      </c>
      <c r="G25" s="314">
        <f t="shared" si="0"/>
        <v>2451675</v>
      </c>
      <c r="H25" s="319">
        <v>291</v>
      </c>
      <c r="I25" s="315">
        <f t="shared" si="1"/>
        <v>2451675</v>
      </c>
    </row>
    <row r="26" spans="1:9" ht="28.5" customHeight="1">
      <c r="A26" s="170">
        <f>Abstract!A25</f>
        <v>15</v>
      </c>
      <c r="B26" s="170" t="str">
        <f>Abstract!B25</f>
        <v>40-650-30</v>
      </c>
      <c r="C26" s="171" t="str">
        <f>Abstract!C25</f>
        <v>Supplying and laying sand as filter layers as per specific size ranges and gradation including preparation of surface, compacting in layer etc. complete with supply of all materials and as per direction of Engineer in charge.(FM = 1.00 to 1.50)</v>
      </c>
      <c r="D26" s="167" t="str">
        <f>Abstract!D25</f>
        <v>cum</v>
      </c>
      <c r="E26" s="314">
        <f>Abstract!E25</f>
        <v>141.36733599999999</v>
      </c>
      <c r="F26" s="318">
        <v>823</v>
      </c>
      <c r="G26" s="314">
        <f t="shared" si="0"/>
        <v>116345.317528</v>
      </c>
      <c r="H26" s="319">
        <v>823</v>
      </c>
      <c r="I26" s="315">
        <f t="shared" si="1"/>
        <v>116345.317528</v>
      </c>
    </row>
    <row r="27" spans="1:9" ht="36.75" customHeight="1">
      <c r="A27" s="438">
        <f>Abstract!A26</f>
        <v>16</v>
      </c>
      <c r="B27" s="170" t="str">
        <f>Abstract!B26</f>
        <v>40-610</v>
      </c>
      <c r="C27" s="171" t="str">
        <f>Abstract!C26</f>
        <v>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v>
      </c>
      <c r="D27" s="167"/>
      <c r="E27" s="314"/>
      <c r="F27" s="318"/>
      <c r="G27" s="314">
        <f t="shared" si="0"/>
        <v>0</v>
      </c>
      <c r="H27" s="319"/>
      <c r="I27" s="315">
        <f t="shared" si="1"/>
        <v>0</v>
      </c>
    </row>
    <row r="28" spans="1:9" ht="18.75" customHeight="1">
      <c r="A28" s="438"/>
      <c r="B28" s="170" t="str">
        <f>Abstract!B27</f>
        <v>40-610-20</v>
      </c>
      <c r="C28" s="171" t="str">
        <f>Abstract!C27</f>
        <v>(A) 40-610-20 : Well graded between 40mm to 20mm size.</v>
      </c>
      <c r="D28" s="167" t="str">
        <f>Abstract!D27</f>
        <v>nos</v>
      </c>
      <c r="E28" s="314">
        <f>Abstract!E27</f>
        <v>70.680000000000007</v>
      </c>
      <c r="F28" s="318">
        <v>3406</v>
      </c>
      <c r="G28" s="314">
        <f t="shared" si="0"/>
        <v>240736.08000000002</v>
      </c>
      <c r="H28" s="319">
        <v>3406</v>
      </c>
      <c r="I28" s="315">
        <f t="shared" si="1"/>
        <v>240736.08000000002</v>
      </c>
    </row>
    <row r="29" spans="1:9" ht="18" customHeight="1">
      <c r="A29" s="438"/>
      <c r="B29" s="170" t="str">
        <f>Abstract!B28</f>
        <v>40-610-30</v>
      </c>
      <c r="C29" s="171" t="str">
        <f>Abstract!C28</f>
        <v>(B) 40-610-30 : Well graded between 20mm to 5mm size.</v>
      </c>
      <c r="D29" s="167" t="str">
        <f>Abstract!D28</f>
        <v>nos</v>
      </c>
      <c r="E29" s="314">
        <f>Abstract!E28</f>
        <v>70.680000000000007</v>
      </c>
      <c r="F29" s="318">
        <v>3702</v>
      </c>
      <c r="G29" s="314">
        <f t="shared" si="0"/>
        <v>261657.36000000002</v>
      </c>
      <c r="H29" s="319">
        <v>3702</v>
      </c>
      <c r="I29" s="315">
        <f t="shared" si="1"/>
        <v>261657.36000000002</v>
      </c>
    </row>
    <row r="30" spans="1:9" ht="77.25" customHeight="1">
      <c r="A30" s="438">
        <f>Abstract!A29</f>
        <v>17</v>
      </c>
      <c r="B30" s="170" t="str">
        <f>Abstract!B29</f>
        <v>40-600</v>
      </c>
      <c r="C30" s="171" t="str">
        <f>Abstract!C29</f>
        <v xml:space="preserve">Supplying and placing non-woven needle punched type geotextile fabric as filter materials of  elongation &gt;=40%,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charge.(Geotextile delivered at site should be certified by ISO and clearly labelled with brand name and grade printed at regular intervals accross the body of the fabric). 40-600-40 </v>
      </c>
      <c r="D30" s="167"/>
      <c r="E30" s="314"/>
      <c r="F30" s="318"/>
      <c r="G30" s="314">
        <f t="shared" si="0"/>
        <v>0</v>
      </c>
      <c r="H30" s="319"/>
      <c r="I30" s="315">
        <f t="shared" si="1"/>
        <v>0</v>
      </c>
    </row>
    <row r="31" spans="1:9" ht="26.25" customHeight="1">
      <c r="A31" s="438"/>
      <c r="B31" s="170" t="str">
        <f>Abstract!B30</f>
        <v>40-600-40</v>
      </c>
      <c r="C31" s="171" t="str">
        <f>Abstract!C30</f>
        <v>Mass =&gt;350gm/m², thickness(Under 2 kpa pressure)  =&gt;3.00 mm, EoS&lt;=0.08mm, strip tensile strength =&gt;23 kn/m, grab strength =&gt;1500 N, CBR puncture resistance =&gt;3800 N.</v>
      </c>
      <c r="D31" s="167" t="str">
        <f>Abstract!D30</f>
        <v>sqm</v>
      </c>
      <c r="E31" s="314">
        <f>Abstract!E30</f>
        <v>1558.5413599999997</v>
      </c>
      <c r="F31" s="318">
        <v>243</v>
      </c>
      <c r="G31" s="314">
        <f t="shared" si="0"/>
        <v>378725.55047999992</v>
      </c>
      <c r="H31" s="319">
        <v>243</v>
      </c>
      <c r="I31" s="315">
        <f t="shared" si="1"/>
        <v>378725.55047999992</v>
      </c>
    </row>
    <row r="32" spans="1:9" ht="25.5" customHeight="1">
      <c r="A32" s="170">
        <f>Abstract!A31</f>
        <v>18</v>
      </c>
      <c r="B32" s="170" t="str">
        <f>Abstract!B31</f>
        <v>40-220</v>
      </c>
      <c r="C32" s="171" t="str">
        <f>Abstract!C31</f>
        <v>Labour charge for protective works in laying CC blocks of different sizes including preparation of base, watering and ramming of base etc. complete as per direction of Engineer in charge.</v>
      </c>
      <c r="D32" s="167"/>
      <c r="E32" s="314"/>
      <c r="F32" s="318"/>
      <c r="G32" s="314">
        <f t="shared" si="0"/>
        <v>0</v>
      </c>
      <c r="H32" s="319"/>
      <c r="I32" s="315">
        <f t="shared" si="1"/>
        <v>0</v>
      </c>
    </row>
    <row r="33" spans="1:9" ht="16.5" customHeight="1">
      <c r="A33" s="170"/>
      <c r="B33" s="170" t="str">
        <f>Abstract!B32</f>
        <v>40-220-10</v>
      </c>
      <c r="C33" s="220" t="str">
        <f>Abstract!C32</f>
        <v xml:space="preserve"> (A) within 200 M</v>
      </c>
      <c r="D33" s="167" t="str">
        <f>Abstract!D32</f>
        <v>cum</v>
      </c>
      <c r="E33" s="314">
        <f>Abstract!E32</f>
        <v>292.6472</v>
      </c>
      <c r="F33" s="318">
        <v>981</v>
      </c>
      <c r="G33" s="314">
        <f t="shared" si="0"/>
        <v>287086.9032</v>
      </c>
      <c r="H33" s="319">
        <v>981</v>
      </c>
      <c r="I33" s="315">
        <f t="shared" si="1"/>
        <v>287086.9032</v>
      </c>
    </row>
    <row r="34" spans="1:9" ht="18" customHeight="1">
      <c r="A34" s="170"/>
      <c r="B34" s="170" t="str">
        <f>Abstract!B33</f>
        <v>40-220-20</v>
      </c>
      <c r="C34" s="220" t="str">
        <f>Abstract!C33</f>
        <v xml:space="preserve"> (B)Beyond 200 M</v>
      </c>
      <c r="D34" s="167" t="str">
        <f>Abstract!D33</f>
        <v>cum</v>
      </c>
      <c r="E34" s="314">
        <f>Abstract!E33</f>
        <v>438.97079999999994</v>
      </c>
      <c r="F34" s="318">
        <v>1757</v>
      </c>
      <c r="G34" s="314">
        <f t="shared" si="0"/>
        <v>771271.69559999986</v>
      </c>
      <c r="H34" s="319">
        <v>1757</v>
      </c>
      <c r="I34" s="315">
        <f t="shared" si="1"/>
        <v>771271.69559999986</v>
      </c>
    </row>
    <row r="35" spans="1:9" ht="40.5" customHeight="1">
      <c r="A35" s="170">
        <f>Abstract!A34</f>
        <v>19</v>
      </c>
      <c r="B35" s="170" t="str">
        <f>Abstract!B34</f>
        <v>28-120-30</v>
      </c>
      <c r="C35" s="171" t="str">
        <f>Abstract!C34</f>
        <v>Cement concrete work in leanest mix (1:3:6) with sand of FM&gt;1.5, in foundation or floor including braking, screening, grading and washing aggregates with clear water, mixing, laying in position, consolidation to levels, curing, including supply of all materials, execuding the cost of formwork etc. complete as per direction of Engineer in charge, (with 25mm down graded stone shingles.)</v>
      </c>
      <c r="D35" s="167" t="str">
        <f>Abstract!D34</f>
        <v>cum</v>
      </c>
      <c r="E35" s="314">
        <f>Abstract!E34</f>
        <v>4.8544800000000006</v>
      </c>
      <c r="F35" s="318">
        <v>8014</v>
      </c>
      <c r="G35" s="314">
        <f t="shared" si="0"/>
        <v>38903.802720000007</v>
      </c>
      <c r="H35" s="319">
        <v>8014</v>
      </c>
      <c r="I35" s="315">
        <f t="shared" si="1"/>
        <v>38903.802720000007</v>
      </c>
    </row>
    <row r="36" spans="1:9" ht="45" customHeight="1">
      <c r="A36" s="438">
        <f>Abstract!A35</f>
        <v>20</v>
      </c>
      <c r="B36" s="170" t="str">
        <f>Abstract!B35</f>
        <v>36-100</v>
      </c>
      <c r="C36" s="171" t="str">
        <f>Abstract!C35</f>
        <v>Form work for centering and water tight shuttering as per drawing with minimum 25mm thick wooden plank and batten (minimum size 75mmx50mm), struts and props including covering the surface with 28 BWG plain GI sheet, fitting, fixing by nails, tie rods and nuts &amp; bolts to desired level and shape and removing the forms etc. after specified period including the cost of all materials as per direction of Engineer in charge.</v>
      </c>
      <c r="D36" s="167"/>
      <c r="E36" s="314"/>
      <c r="F36" s="318"/>
      <c r="G36" s="314">
        <f t="shared" si="0"/>
        <v>0</v>
      </c>
      <c r="H36" s="319"/>
      <c r="I36" s="315">
        <f t="shared" si="1"/>
        <v>0</v>
      </c>
    </row>
    <row r="37" spans="1:9" ht="21.75" customHeight="1">
      <c r="A37" s="438"/>
      <c r="B37" s="170" t="str">
        <f>Abstract!B36</f>
        <v>36-100-10</v>
      </c>
      <c r="C37" s="171" t="str">
        <f>Abstract!C36</f>
        <v>Vertical and inclined walls, columns, piers with 60-80mm dia barrack bamboo props.</v>
      </c>
      <c r="D37" s="167" t="str">
        <f>Abstract!D36</f>
        <v>sqm</v>
      </c>
      <c r="E37" s="314">
        <f>Abstract!E36</f>
        <v>26.099999999999998</v>
      </c>
      <c r="F37" s="318">
        <v>695</v>
      </c>
      <c r="G37" s="314">
        <f t="shared" si="0"/>
        <v>18139.5</v>
      </c>
      <c r="H37" s="319">
        <v>695</v>
      </c>
      <c r="I37" s="315">
        <f t="shared" si="1"/>
        <v>18139.5</v>
      </c>
    </row>
    <row r="38" spans="1:9" ht="21" customHeight="1">
      <c r="A38" s="438"/>
      <c r="B38" s="170" t="str">
        <f>Abstract!B37</f>
        <v>36-100-60</v>
      </c>
      <c r="C38" s="171" t="str">
        <f>Abstract!C37</f>
        <v>Footing, footing beams, girder beams, foundation slab with 60-80mm dia barrack bamboo props.</v>
      </c>
      <c r="D38" s="167" t="str">
        <f>Abstract!D37</f>
        <v>sqm</v>
      </c>
      <c r="E38" s="314">
        <f>Abstract!E37</f>
        <v>6.2000000000000011</v>
      </c>
      <c r="F38" s="318">
        <v>632</v>
      </c>
      <c r="G38" s="314">
        <f t="shared" si="0"/>
        <v>3918.4000000000005</v>
      </c>
      <c r="H38" s="319">
        <v>632</v>
      </c>
      <c r="I38" s="315">
        <f t="shared" si="1"/>
        <v>3918.4000000000005</v>
      </c>
    </row>
    <row r="39" spans="1:9" ht="38.25" customHeight="1">
      <c r="A39" s="438">
        <f>Abstract!A38</f>
        <v>21</v>
      </c>
      <c r="B39" s="170" t="str">
        <f>Abstract!B38</f>
        <v>76-110</v>
      </c>
      <c r="C39" s="171" t="str">
        <f>Abstract!C38</f>
        <v>M.S. Work for reinforcement with deformed M.S. bar, fy=276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v>
      </c>
      <c r="D39" s="167"/>
      <c r="E39" s="314"/>
      <c r="F39" s="318"/>
      <c r="G39" s="314">
        <f t="shared" si="0"/>
        <v>0</v>
      </c>
      <c r="H39" s="319"/>
      <c r="I39" s="315">
        <f t="shared" si="1"/>
        <v>0</v>
      </c>
    </row>
    <row r="40" spans="1:9" ht="18" customHeight="1">
      <c r="A40" s="438"/>
      <c r="B40" s="170" t="str">
        <f>Abstract!B39</f>
        <v>76-110-10</v>
      </c>
      <c r="C40" s="171" t="str">
        <f>Abstract!C39</f>
        <v>8mm dia to 30mm dia</v>
      </c>
      <c r="D40" s="167" t="str">
        <f>Abstract!D39</f>
        <v>Kg</v>
      </c>
      <c r="E40" s="314">
        <f>Abstract!E39</f>
        <v>832.95749999999998</v>
      </c>
      <c r="F40" s="318">
        <v>94</v>
      </c>
      <c r="G40" s="314">
        <f t="shared" si="0"/>
        <v>78298.005000000005</v>
      </c>
      <c r="H40" s="319">
        <v>94</v>
      </c>
      <c r="I40" s="315">
        <f t="shared" si="1"/>
        <v>78298.005000000005</v>
      </c>
    </row>
    <row r="41" spans="1:9" ht="48.75" customHeight="1">
      <c r="A41" s="438">
        <f>Abstract!A40</f>
        <v>22</v>
      </c>
      <c r="B41" s="170" t="str">
        <f>Abstract!B40</f>
        <v>28-140</v>
      </c>
      <c r="C41" s="171" t="str">
        <f>Abstract!C40</f>
        <v>Reinforced Cement Concrete Works in leanest mix. 1:2:4 with 25mm down graded coarse aggregates and sand of FM&gt;1.5, to attain a minimum 28 days cylinder strength of 18.0 N/mm², including breaking, screening, grading, washing aggregates with clear water, mixing, laying in forms, consolidation to levels, curing, including supply of all materials, excluding the cost of M.S. work for reinforcements and formworks etc. complete and as per direction of Engineer in charge.</v>
      </c>
      <c r="D41" s="167"/>
      <c r="E41" s="314"/>
      <c r="F41" s="318"/>
      <c r="G41" s="314">
        <f t="shared" si="0"/>
        <v>0</v>
      </c>
      <c r="H41" s="319"/>
      <c r="I41" s="315">
        <f t="shared" si="1"/>
        <v>0</v>
      </c>
    </row>
    <row r="42" spans="1:9" ht="21" customHeight="1">
      <c r="A42" s="438"/>
      <c r="B42" s="170" t="str">
        <f>Abstract!B41</f>
        <v>28-140-20</v>
      </c>
      <c r="C42" s="171" t="str">
        <f>Abstract!C41</f>
        <v>With stone chips.</v>
      </c>
      <c r="D42" s="167" t="str">
        <f>Abstract!D41</f>
        <v>cum</v>
      </c>
      <c r="E42" s="314">
        <f>Abstract!E41</f>
        <v>9.42</v>
      </c>
      <c r="F42" s="318">
        <v>10178</v>
      </c>
      <c r="G42" s="314">
        <f t="shared" si="0"/>
        <v>95876.76</v>
      </c>
      <c r="H42" s="319">
        <v>10178</v>
      </c>
      <c r="I42" s="315">
        <f t="shared" si="1"/>
        <v>95876.76</v>
      </c>
    </row>
    <row r="43" spans="1:9" ht="36" customHeight="1">
      <c r="A43" s="438">
        <f>Abstract!A42</f>
        <v>23</v>
      </c>
      <c r="B43" s="170" t="str">
        <f>Abstract!B42</f>
        <v>24-130</v>
      </c>
      <c r="C43" s="171" t="str">
        <f>Abstract!C42</f>
        <v>Minimum 12mm thick sand cement plaster, (sand of FM&gt;=1.30) in  ground floor, including scaffolding, raking out joints, making sharp edges and corners, cleaning the surface, curing for at least 7 days etc. complete including the cost of all materials  and as per direction of Engineer in charge.</v>
      </c>
      <c r="D43" s="167"/>
      <c r="E43" s="314"/>
      <c r="F43" s="318"/>
      <c r="G43" s="314">
        <f t="shared" si="0"/>
        <v>0</v>
      </c>
      <c r="H43" s="319"/>
      <c r="I43" s="315">
        <f t="shared" si="1"/>
        <v>0</v>
      </c>
    </row>
    <row r="44" spans="1:9" ht="19.5" customHeight="1">
      <c r="A44" s="438"/>
      <c r="B44" s="170" t="str">
        <f>Abstract!B43</f>
        <v>24-130-10</v>
      </c>
      <c r="C44" s="171" t="str">
        <f>Abstract!C43</f>
        <v>Proportion 1:4</v>
      </c>
      <c r="D44" s="167" t="str">
        <f>Abstract!D43</f>
        <v>sqm</v>
      </c>
      <c r="E44" s="314">
        <f>Abstract!E43</f>
        <v>350.2328</v>
      </c>
      <c r="F44" s="318">
        <v>229</v>
      </c>
      <c r="G44" s="314">
        <f t="shared" si="0"/>
        <v>80203.311199999996</v>
      </c>
      <c r="H44" s="319">
        <v>229</v>
      </c>
      <c r="I44" s="315">
        <f t="shared" si="1"/>
        <v>80203.311199999996</v>
      </c>
    </row>
    <row r="45" spans="1:9" ht="47.25" customHeight="1">
      <c r="A45" s="170">
        <f>Abstract!A44</f>
        <v>24</v>
      </c>
      <c r="B45" s="170" t="str">
        <f>Abstract!B44</f>
        <v>16-220</v>
      </c>
      <c r="C45" s="171" t="str">
        <f>Abstract!C44</f>
        <v>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v>
      </c>
      <c r="D45" s="167" t="str">
        <f>Abstract!D44</f>
        <v>cum</v>
      </c>
      <c r="E45" s="314">
        <f>Abstract!E44</f>
        <v>1802.5</v>
      </c>
      <c r="F45" s="318">
        <v>124</v>
      </c>
      <c r="G45" s="314">
        <f t="shared" si="0"/>
        <v>223510</v>
      </c>
      <c r="H45" s="319">
        <v>124</v>
      </c>
      <c r="I45" s="315">
        <f t="shared" si="1"/>
        <v>223510</v>
      </c>
    </row>
    <row r="46" spans="1:9" ht="31.5" customHeight="1">
      <c r="A46" s="170">
        <f>Abstract!A45</f>
        <v>25</v>
      </c>
      <c r="B46" s="170" t="str">
        <f>Abstract!B45</f>
        <v>16-240</v>
      </c>
      <c r="C46" s="171" t="str">
        <f>Abstract!C45</f>
        <v>Earth work by manual labour, in all kinds of soil in removing the cross bundh/ ring bundh, including all leads and lifts complete and placing the spoils to a safe distance, (minimun 15m apart from the bank) as per direction of Engineer in charge.</v>
      </c>
      <c r="D46" s="167" t="str">
        <f>Abstract!D45</f>
        <v>cum</v>
      </c>
      <c r="E46" s="314">
        <f>Abstract!E45</f>
        <v>1802.5</v>
      </c>
      <c r="F46" s="318">
        <v>124</v>
      </c>
      <c r="G46" s="314">
        <f t="shared" si="0"/>
        <v>223510</v>
      </c>
      <c r="H46" s="319">
        <v>124</v>
      </c>
      <c r="I46" s="315">
        <f t="shared" si="1"/>
        <v>223510</v>
      </c>
    </row>
    <row r="47" spans="1:9" ht="37.5" customHeight="1">
      <c r="A47" s="170">
        <f>Abstract!A46</f>
        <v>26</v>
      </c>
      <c r="B47" s="170" t="str">
        <f>Abstract!B46</f>
        <v>16-530</v>
      </c>
      <c r="C47" s="171" t="str">
        <f>Abstract!C46</f>
        <v>Back filling in hydraulic structures and slope building in protective works including all leads and lifts with selected local soil in layer of 150mm including watering, ramming etc. complete compacted to 20% relative density by compactor or anyother suitable method as per direction of Engineer in charge.</v>
      </c>
      <c r="D47" s="167" t="str">
        <f>Abstract!D46</f>
        <v>cum</v>
      </c>
      <c r="E47" s="314">
        <f>Abstract!E46</f>
        <v>91.566249999999997</v>
      </c>
      <c r="F47" s="318">
        <v>138</v>
      </c>
      <c r="G47" s="314">
        <f t="shared" si="0"/>
        <v>12636.1425</v>
      </c>
      <c r="H47" s="319">
        <v>138</v>
      </c>
      <c r="I47" s="315">
        <f t="shared" si="1"/>
        <v>12636.1425</v>
      </c>
    </row>
    <row r="48" spans="1:9" ht="23.25" customHeight="1">
      <c r="A48" s="170">
        <f>Abstract!A47</f>
        <v>27</v>
      </c>
      <c r="B48" s="170" t="str">
        <f>Abstract!B47</f>
        <v>20-250</v>
      </c>
      <c r="C48" s="171" t="str">
        <f>Abstract!C47</f>
        <v>Cole Tar: Epoxy</v>
      </c>
      <c r="D48" s="167" t="str">
        <f>Abstract!D47</f>
        <v xml:space="preserve">ltr </v>
      </c>
      <c r="E48" s="314">
        <f>Abstract!E47</f>
        <v>2</v>
      </c>
      <c r="F48" s="318">
        <v>8634</v>
      </c>
      <c r="G48" s="314">
        <f t="shared" si="0"/>
        <v>17268</v>
      </c>
      <c r="H48" s="319">
        <v>8634</v>
      </c>
      <c r="I48" s="315">
        <f>H48*E48</f>
        <v>17268</v>
      </c>
    </row>
    <row r="49" spans="1:15" ht="15" customHeight="1">
      <c r="A49" s="238"/>
      <c r="B49" s="239"/>
      <c r="C49" s="240"/>
      <c r="D49" s="239"/>
      <c r="E49" s="310"/>
      <c r="F49" s="241"/>
      <c r="G49" s="241">
        <f>SUM(G5:G48)</f>
        <v>10779969.109555189</v>
      </c>
      <c r="H49" s="311" t="s">
        <v>293</v>
      </c>
      <c r="I49" s="312">
        <f>SUM(I5:I48)</f>
        <v>10779969.109555189</v>
      </c>
    </row>
    <row r="50" spans="1:15" s="276" customFormat="1">
      <c r="E50" s="305"/>
    </row>
    <row r="51" spans="1:15" s="276" customFormat="1">
      <c r="E51" s="305"/>
    </row>
    <row r="52" spans="1:15" s="276" customFormat="1">
      <c r="E52" s="305"/>
    </row>
    <row r="53" spans="1:15" s="276" customFormat="1">
      <c r="E53" s="305"/>
      <c r="I53" s="74"/>
    </row>
    <row r="54" spans="1:15" s="276" customFormat="1">
      <c r="E54" s="305"/>
      <c r="H54" s="74" t="s">
        <v>52</v>
      </c>
      <c r="I54" s="74"/>
    </row>
    <row r="55" spans="1:15" s="276" customFormat="1">
      <c r="E55" s="305"/>
      <c r="H55" s="74" t="s">
        <v>213</v>
      </c>
      <c r="I55" s="74"/>
    </row>
    <row r="56" spans="1:15" s="276" customFormat="1">
      <c r="E56" s="305"/>
      <c r="H56" s="74" t="s">
        <v>214</v>
      </c>
      <c r="I56" s="74"/>
    </row>
    <row r="57" spans="1:15" s="276" customFormat="1">
      <c r="E57" s="305"/>
      <c r="H57" s="74" t="s">
        <v>53</v>
      </c>
      <c r="I57" s="74"/>
    </row>
    <row r="58" spans="1:15" s="223" customFormat="1" ht="13.5">
      <c r="A58" s="180"/>
      <c r="B58" s="181"/>
      <c r="C58" s="182"/>
      <c r="D58" s="181"/>
      <c r="E58" s="306"/>
      <c r="F58" s="221"/>
      <c r="G58" s="221"/>
      <c r="H58" s="222"/>
    </row>
    <row r="59" spans="1:15" s="223" customFormat="1" ht="13.5">
      <c r="A59" s="180"/>
      <c r="B59" s="224"/>
      <c r="C59" s="182"/>
      <c r="D59" s="225"/>
      <c r="E59" s="307"/>
      <c r="F59" s="226"/>
      <c r="G59" s="226"/>
      <c r="H59" s="227"/>
    </row>
    <row r="60" spans="1:15" s="223" customFormat="1" ht="13.5">
      <c r="A60" s="180"/>
      <c r="B60" s="224"/>
      <c r="C60" s="182"/>
      <c r="D60" s="225"/>
      <c r="E60" s="307"/>
      <c r="F60" s="226"/>
      <c r="G60" s="226"/>
      <c r="H60" s="227"/>
      <c r="I60" s="228"/>
      <c r="M60" s="229"/>
      <c r="N60" s="230"/>
      <c r="O60" s="231"/>
    </row>
    <row r="61" spans="1:15" s="223" customFormat="1" ht="13.5">
      <c r="A61" s="180"/>
      <c r="B61" s="224"/>
      <c r="C61" s="182"/>
      <c r="D61" s="225"/>
      <c r="E61" s="307"/>
      <c r="F61" s="226"/>
      <c r="G61" s="226"/>
      <c r="H61" s="227"/>
      <c r="I61" s="232"/>
      <c r="M61" s="229"/>
      <c r="N61" s="230"/>
      <c r="O61" s="231"/>
    </row>
    <row r="62" spans="1:15" s="223" customFormat="1" ht="13.5">
      <c r="A62" s="180"/>
      <c r="B62" s="224"/>
      <c r="C62" s="182"/>
      <c r="D62" s="225"/>
      <c r="E62" s="307"/>
      <c r="F62" s="226"/>
      <c r="G62" s="226"/>
      <c r="H62" s="227"/>
      <c r="M62" s="229"/>
      <c r="N62" s="230"/>
      <c r="O62" s="231"/>
    </row>
    <row r="63" spans="1:15" s="223" customFormat="1" ht="13.5">
      <c r="A63" s="180"/>
      <c r="B63" s="224"/>
      <c r="C63" s="182"/>
      <c r="D63" s="225"/>
      <c r="E63" s="307"/>
      <c r="F63" s="226"/>
      <c r="G63" s="226"/>
      <c r="H63" s="227"/>
      <c r="M63" s="229"/>
      <c r="N63" s="230"/>
      <c r="O63" s="231"/>
    </row>
    <row r="64" spans="1:15" s="223" customFormat="1" ht="13.5">
      <c r="A64" s="180"/>
      <c r="B64" s="224"/>
      <c r="C64" s="182"/>
      <c r="D64" s="225"/>
      <c r="E64" s="307"/>
      <c r="F64" s="226"/>
      <c r="G64" s="226"/>
      <c r="H64" s="227"/>
      <c r="M64" s="229"/>
      <c r="N64" s="230"/>
    </row>
    <row r="65" spans="1:16" s="223" customFormat="1" ht="13.5">
      <c r="A65" s="180"/>
      <c r="B65" s="224"/>
      <c r="C65" s="182"/>
      <c r="D65" s="225"/>
      <c r="E65" s="307"/>
      <c r="F65" s="226"/>
      <c r="G65" s="226"/>
      <c r="H65" s="227"/>
      <c r="M65" s="229"/>
      <c r="N65" s="230"/>
      <c r="O65" s="233"/>
      <c r="P65" s="234"/>
    </row>
    <row r="66" spans="1:16" s="223" customFormat="1" ht="13.5">
      <c r="A66" s="180"/>
      <c r="B66" s="224"/>
      <c r="C66" s="182"/>
      <c r="D66" s="225"/>
      <c r="E66" s="307"/>
      <c r="F66" s="226"/>
      <c r="G66" s="226"/>
      <c r="H66" s="227"/>
      <c r="J66" s="233"/>
    </row>
    <row r="67" spans="1:16" s="223" customFormat="1" ht="13.5">
      <c r="A67" s="180"/>
      <c r="B67" s="224"/>
      <c r="C67" s="182"/>
      <c r="D67" s="225"/>
      <c r="E67" s="307"/>
      <c r="F67" s="226"/>
      <c r="G67" s="226"/>
      <c r="H67" s="227"/>
      <c r="I67" s="173"/>
    </row>
    <row r="68" spans="1:16" s="223" customFormat="1" ht="13.5">
      <c r="A68" s="180"/>
      <c r="B68" s="224"/>
      <c r="C68" s="182"/>
      <c r="D68" s="225"/>
      <c r="E68" s="307"/>
      <c r="F68" s="226"/>
      <c r="G68" s="226"/>
      <c r="H68" s="227"/>
      <c r="I68" s="173"/>
    </row>
    <row r="69" spans="1:16" s="223" customFormat="1" ht="13.5">
      <c r="A69" s="180"/>
      <c r="B69" s="224"/>
      <c r="C69" s="182"/>
      <c r="D69" s="225"/>
      <c r="E69" s="307"/>
      <c r="F69" s="226"/>
      <c r="G69" s="226"/>
      <c r="H69" s="235"/>
      <c r="I69" s="173"/>
    </row>
    <row r="70" spans="1:16" s="223" customFormat="1" ht="13.5">
      <c r="A70" s="180"/>
      <c r="B70" s="224"/>
      <c r="C70" s="182"/>
      <c r="D70" s="225"/>
      <c r="E70" s="307"/>
      <c r="F70" s="226"/>
      <c r="G70" s="226"/>
      <c r="H70" s="235"/>
      <c r="I70" s="173"/>
    </row>
    <row r="71" spans="1:16" s="223" customFormat="1" ht="13.5">
      <c r="A71" s="180"/>
      <c r="B71" s="224"/>
      <c r="C71" s="182"/>
      <c r="D71" s="225"/>
      <c r="E71" s="307"/>
      <c r="F71" s="226"/>
      <c r="G71" s="226"/>
      <c r="H71" s="235"/>
      <c r="I71" s="173"/>
    </row>
    <row r="72" spans="1:16" s="223" customFormat="1" ht="13.5">
      <c r="A72" s="180"/>
      <c r="B72" s="224"/>
      <c r="C72" s="182"/>
      <c r="D72" s="225"/>
      <c r="E72" s="307"/>
      <c r="F72" s="226"/>
      <c r="G72" s="226"/>
      <c r="H72" s="235"/>
      <c r="I72" s="173"/>
    </row>
    <row r="73" spans="1:16" s="223" customFormat="1" ht="13.5">
      <c r="A73" s="180"/>
      <c r="B73" s="224"/>
      <c r="C73" s="182"/>
      <c r="D73" s="225"/>
      <c r="E73" s="307"/>
      <c r="F73" s="226"/>
      <c r="G73" s="226"/>
      <c r="H73" s="235"/>
      <c r="I73" s="173"/>
    </row>
    <row r="74" spans="1:16" s="223" customFormat="1" ht="13.5">
      <c r="A74" s="180"/>
      <c r="B74" s="224"/>
      <c r="C74" s="182"/>
      <c r="D74" s="224"/>
      <c r="E74" s="308"/>
      <c r="F74" s="236"/>
      <c r="G74" s="236"/>
      <c r="H74" s="235"/>
      <c r="I74" s="173"/>
    </row>
    <row r="75" spans="1:16" s="223" customFormat="1" ht="13.5">
      <c r="A75" s="180"/>
      <c r="B75" s="224"/>
      <c r="C75" s="182"/>
      <c r="D75" s="224"/>
      <c r="E75" s="308"/>
      <c r="F75" s="236"/>
      <c r="G75" s="236"/>
      <c r="H75" s="235"/>
      <c r="I75" s="173"/>
    </row>
    <row r="76" spans="1:16" s="223" customFormat="1" ht="13.5">
      <c r="A76" s="180"/>
      <c r="B76" s="224"/>
      <c r="C76" s="182"/>
      <c r="D76" s="224"/>
      <c r="E76" s="308"/>
      <c r="F76" s="236"/>
      <c r="G76" s="236"/>
      <c r="H76" s="235"/>
      <c r="I76" s="173"/>
    </row>
    <row r="77" spans="1:16" s="223" customFormat="1" ht="13.5">
      <c r="A77" s="180"/>
      <c r="B77" s="224"/>
      <c r="C77" s="182"/>
      <c r="D77" s="224"/>
      <c r="E77" s="308"/>
      <c r="F77" s="236"/>
      <c r="G77" s="236"/>
      <c r="H77" s="235"/>
      <c r="I77" s="173"/>
    </row>
    <row r="78" spans="1:16" s="223" customFormat="1" ht="13.5">
      <c r="A78" s="180"/>
      <c r="B78" s="224"/>
      <c r="C78" s="182"/>
      <c r="D78" s="224"/>
      <c r="E78" s="308"/>
      <c r="F78" s="236"/>
      <c r="G78" s="236"/>
      <c r="H78" s="235"/>
      <c r="I78" s="173"/>
    </row>
    <row r="79" spans="1:16" s="223" customFormat="1" ht="13.5">
      <c r="A79" s="180"/>
      <c r="B79" s="224"/>
      <c r="C79" s="182"/>
      <c r="D79" s="224"/>
      <c r="E79" s="308"/>
      <c r="F79" s="236"/>
      <c r="G79" s="236"/>
      <c r="H79" s="235"/>
      <c r="I79" s="173"/>
      <c r="J79" s="234"/>
    </row>
    <row r="80" spans="1:16" s="223" customFormat="1">
      <c r="A80" s="180"/>
      <c r="B80" s="224"/>
      <c r="C80" s="182"/>
      <c r="D80" s="224"/>
      <c r="E80" s="308"/>
      <c r="F80" s="236"/>
      <c r="G80" s="236"/>
      <c r="H80" s="227"/>
    </row>
    <row r="81" spans="1:9" s="223" customFormat="1" ht="13.5">
      <c r="A81" s="180"/>
      <c r="B81" s="224"/>
      <c r="C81" s="182"/>
      <c r="D81" s="224"/>
      <c r="E81" s="308"/>
      <c r="F81" s="236"/>
      <c r="G81" s="236"/>
      <c r="H81" s="227"/>
      <c r="I81" s="237"/>
    </row>
    <row r="82" spans="1:9" s="223" customFormat="1">
      <c r="A82" s="180"/>
      <c r="B82" s="224"/>
      <c r="C82" s="182"/>
      <c r="D82" s="224"/>
      <c r="E82" s="308"/>
      <c r="F82" s="236"/>
      <c r="G82" s="236"/>
      <c r="H82" s="227"/>
    </row>
    <row r="83" spans="1:9" s="223" customFormat="1">
      <c r="A83" s="180"/>
      <c r="B83" s="224"/>
      <c r="C83" s="182"/>
      <c r="D83" s="224"/>
      <c r="E83" s="308"/>
      <c r="F83" s="236"/>
      <c r="G83" s="236"/>
      <c r="H83" s="227"/>
    </row>
    <row r="84" spans="1:9" s="223" customFormat="1">
      <c r="A84" s="180"/>
      <c r="B84" s="224"/>
      <c r="C84" s="182"/>
      <c r="D84" s="224"/>
      <c r="E84" s="308"/>
      <c r="F84" s="236"/>
      <c r="G84" s="236"/>
      <c r="H84" s="227"/>
    </row>
    <row r="85" spans="1:9" s="223" customFormat="1">
      <c r="A85" s="180"/>
      <c r="B85" s="224"/>
      <c r="C85" s="182"/>
      <c r="D85" s="224"/>
      <c r="E85" s="308"/>
      <c r="F85" s="236"/>
      <c r="G85" s="236"/>
      <c r="H85" s="227"/>
    </row>
    <row r="86" spans="1:9" s="223" customFormat="1">
      <c r="A86" s="180"/>
      <c r="B86" s="224"/>
      <c r="C86" s="182"/>
      <c r="D86" s="224"/>
      <c r="E86" s="308"/>
      <c r="F86" s="236"/>
      <c r="G86" s="236"/>
      <c r="H86" s="227"/>
    </row>
    <row r="87" spans="1:9" s="223" customFormat="1">
      <c r="A87" s="180"/>
      <c r="B87" s="224"/>
      <c r="C87" s="182"/>
      <c r="D87" s="224"/>
      <c r="E87" s="308"/>
      <c r="F87" s="236"/>
      <c r="G87" s="236"/>
      <c r="H87" s="227"/>
    </row>
    <row r="88" spans="1:9" s="223" customFormat="1">
      <c r="A88" s="180"/>
      <c r="B88" s="224"/>
      <c r="C88" s="182"/>
      <c r="D88" s="224"/>
      <c r="E88" s="308"/>
      <c r="F88" s="236"/>
      <c r="G88" s="236"/>
      <c r="H88" s="227"/>
    </row>
    <row r="89" spans="1:9" s="223" customFormat="1">
      <c r="A89" s="180"/>
      <c r="B89" s="224"/>
      <c r="C89" s="182"/>
      <c r="D89" s="224"/>
      <c r="E89" s="308"/>
      <c r="F89" s="236"/>
      <c r="G89" s="236"/>
      <c r="H89" s="227"/>
    </row>
    <row r="90" spans="1:9" s="223" customFormat="1">
      <c r="A90" s="180"/>
      <c r="B90" s="224"/>
      <c r="C90" s="182"/>
      <c r="D90" s="224"/>
      <c r="E90" s="308"/>
      <c r="F90" s="236"/>
      <c r="G90" s="236"/>
      <c r="H90" s="227"/>
    </row>
    <row r="91" spans="1:9" s="223" customFormat="1">
      <c r="A91" s="180"/>
      <c r="B91" s="224"/>
      <c r="C91" s="182"/>
      <c r="D91" s="224"/>
      <c r="E91" s="308"/>
      <c r="F91" s="236"/>
      <c r="G91" s="236"/>
      <c r="H91" s="227"/>
    </row>
    <row r="92" spans="1:9" s="223" customFormat="1">
      <c r="A92" s="180"/>
      <c r="B92" s="224"/>
      <c r="C92" s="182"/>
      <c r="D92" s="224"/>
      <c r="E92" s="308"/>
      <c r="F92" s="236"/>
      <c r="G92" s="236"/>
      <c r="H92" s="227"/>
    </row>
    <row r="93" spans="1:9" s="223" customFormat="1">
      <c r="A93" s="180"/>
      <c r="B93" s="224"/>
      <c r="C93" s="182"/>
      <c r="D93" s="224"/>
      <c r="E93" s="308"/>
      <c r="F93" s="236"/>
      <c r="G93" s="236"/>
      <c r="H93" s="227"/>
    </row>
    <row r="94" spans="1:9" s="223" customFormat="1">
      <c r="A94" s="180"/>
      <c r="B94" s="224"/>
      <c r="C94" s="182"/>
      <c r="D94" s="224"/>
      <c r="E94" s="308"/>
      <c r="F94" s="236"/>
      <c r="G94" s="236"/>
      <c r="H94" s="227"/>
    </row>
    <row r="95" spans="1:9" s="223" customFormat="1">
      <c r="A95" s="180"/>
      <c r="B95" s="224"/>
      <c r="C95" s="182"/>
      <c r="D95" s="224"/>
      <c r="E95" s="308"/>
      <c r="F95" s="236"/>
      <c r="G95" s="236"/>
      <c r="H95" s="227"/>
    </row>
    <row r="96" spans="1:9" s="223" customFormat="1">
      <c r="A96" s="180"/>
      <c r="B96" s="224"/>
      <c r="C96" s="182"/>
      <c r="D96" s="224"/>
      <c r="E96" s="308"/>
      <c r="F96" s="236"/>
      <c r="G96" s="236"/>
      <c r="H96" s="227"/>
    </row>
  </sheetData>
  <dataConsolidate/>
  <mergeCells count="13">
    <mergeCell ref="A1:I1"/>
    <mergeCell ref="A2:I2"/>
    <mergeCell ref="A10:A11"/>
    <mergeCell ref="A41:A42"/>
    <mergeCell ref="A17:A18"/>
    <mergeCell ref="A43:A44"/>
    <mergeCell ref="A12:A13"/>
    <mergeCell ref="A39:A40"/>
    <mergeCell ref="A20:A21"/>
    <mergeCell ref="A22:A25"/>
    <mergeCell ref="A27:A29"/>
    <mergeCell ref="A30:A31"/>
    <mergeCell ref="A36:A38"/>
  </mergeCells>
  <phoneticPr fontId="39" type="noConversion"/>
  <printOptions horizontalCentered="1"/>
  <pageMargins left="0.45" right="0.25" top="0.6" bottom="0.4" header="0.34" footer="0.2"/>
  <pageSetup paperSize="9" scale="95" orientation="landscape" r:id="rId1"/>
  <headerFooter alignWithMargins="0">
    <oddHeader>&amp;RTender No.:02/2012-13
Package No.:GKIP/KUS/W-1/12-13</oddHeader>
  </headerFooter>
  <rowBreaks count="1" manualBreakCount="1">
    <brk id="35"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Cover Page</vt:lpstr>
      <vt:lpstr>Estimate</vt:lpstr>
      <vt:lpstr>Abstract</vt:lpstr>
      <vt:lpstr>E Work</vt:lpstr>
      <vt:lpstr>Schedule</vt:lpstr>
      <vt:lpstr>Abstract!Print_Area</vt:lpstr>
      <vt:lpstr>'Cover Page'!Print_Area</vt:lpstr>
      <vt:lpstr>'E Work'!Print_Area</vt:lpstr>
      <vt:lpstr>Estimate!Print_Area</vt:lpstr>
      <vt:lpstr>Schedule!Print_Area</vt:lpstr>
      <vt:lpstr>Abstract!Print_Titles</vt:lpstr>
      <vt:lpstr>Estimate!Print_Titles</vt:lpstr>
      <vt:lpstr>Schedule!Print_Titles</vt:lpstr>
    </vt:vector>
  </TitlesOfParts>
  <Company>HOUSEHOLD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GAFUR</dc:creator>
  <cp:lastModifiedBy>HM CV</cp:lastModifiedBy>
  <cp:lastPrinted>2018-07-14T01:09:23Z</cp:lastPrinted>
  <dcterms:created xsi:type="dcterms:W3CDTF">2005-09-08T15:35:31Z</dcterms:created>
  <dcterms:modified xsi:type="dcterms:W3CDTF">2020-03-02T06:12:48Z</dcterms:modified>
</cp:coreProperties>
</file>