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Office Work\IMED\DPP_Revised\"/>
    </mc:Choice>
  </mc:AlternateContent>
  <bookViews>
    <workbookView xWindow="-105" yWindow="-105" windowWidth="19425" windowHeight="10425" firstSheet="14" activeTab="16"/>
  </bookViews>
  <sheets>
    <sheet name="Revised_2nd" sheetId="1" r:id="rId1"/>
    <sheet name="Sheet1" sheetId="2" r:id="rId2"/>
    <sheet name="9.Detil Phasing" sheetId="3" r:id="rId3"/>
    <sheet name="9.Detil Phasing_2" sheetId="4" r:id="rId4"/>
    <sheet name="Sheet3" sheetId="5" r:id="rId5"/>
    <sheet name="Annex-II" sheetId="6" r:id="rId6"/>
    <sheet name="Inves._Cost" sheetId="7" r:id="rId7"/>
    <sheet name="Crop. Pattern" sheetId="8" r:id="rId8"/>
    <sheet name="FIRR" sheetId="9" r:id="rId9"/>
    <sheet name="Sheet2" sheetId="10" r:id="rId10"/>
    <sheet name="EIRR" sheetId="11" r:id="rId11"/>
    <sheet name="Annex-IV" sheetId="12" r:id="rId12"/>
    <sheet name="FIRR_Backup" sheetId="13" r:id="rId13"/>
    <sheet name="Package_wise_quantity" sheetId="14" r:id="rId14"/>
    <sheet name="Package_wise_cost" sheetId="15" r:id="rId15"/>
    <sheet name="Haor_wise_quantity" sheetId="16" r:id="rId16"/>
    <sheet name="distribution_of_cost" sheetId="17" r:id="rId17"/>
    <sheet name="Sheet4" sheetId="18" r:id="rId18"/>
  </sheets>
  <definedNames>
    <definedName name="_xlnm.Print_Area" localSheetId="2">'9.Detil Phasing'!$A$1:$AQ$100</definedName>
    <definedName name="_xlnm.Print_Area" localSheetId="3">'9.Detil Phasing_2'!$A$1:$AG$100</definedName>
    <definedName name="_xlnm.Print_Area" localSheetId="5">'Annex-II'!$A$1:$AF$99</definedName>
    <definedName name="_xlnm.Print_Area" localSheetId="16">distribution_of_cost!$A$1:$F$11</definedName>
    <definedName name="_xlnm.Print_Area" localSheetId="15">Haor_wise_quantity!$A$1:$U$33</definedName>
    <definedName name="_xlnm.Print_Area" localSheetId="6">Inves._Cost!$A$1:$U$98</definedName>
    <definedName name="_xlnm.Print_Area" localSheetId="14">Package_wise_cost!$A$1:$T$57</definedName>
    <definedName name="_xlnm.Print_Area" localSheetId="0">Revised_2nd!$A$1:$AD$110</definedName>
    <definedName name="_xlnm.Print_Titles" localSheetId="2">'9.Detil Phasing'!$1:$7,'9.Detil Phasing'!$A:$C</definedName>
    <definedName name="_xlnm.Print_Titles" localSheetId="3">'9.Detil Phasing_2'!$1:$7,'9.Detil Phasing_2'!$A:$C</definedName>
    <definedName name="_xlnm.Print_Titles" localSheetId="5">'Annex-II'!$1:$6,'Annex-II'!$A:$H</definedName>
    <definedName name="_xlnm.Print_Titles" localSheetId="15">Haor_wise_quantity!$1:$1</definedName>
    <definedName name="_xlnm.Print_Titles" localSheetId="6">Inves._Cost!$1:$6</definedName>
    <definedName name="_xlnm.Print_Titles" localSheetId="14">Package_wise_cost!$1:$1</definedName>
  </definedNames>
  <calcPr calcId="162913"/>
</workbook>
</file>

<file path=xl/calcChain.xml><?xml version="1.0" encoding="utf-8"?>
<calcChain xmlns="http://schemas.openxmlformats.org/spreadsheetml/2006/main">
  <c r="F126" i="1" l="1"/>
  <c r="E11" i="17" l="1"/>
  <c r="E12" i="17" s="1"/>
  <c r="D11" i="17"/>
  <c r="F10" i="17"/>
  <c r="F9" i="17"/>
  <c r="F8" i="17"/>
  <c r="F7" i="17"/>
  <c r="F6" i="17"/>
  <c r="F5" i="17"/>
  <c r="F4" i="17"/>
  <c r="F3" i="17"/>
  <c r="F11" i="17" s="1"/>
  <c r="F2" i="17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3" i="15"/>
  <c r="T2" i="15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F38" i="13"/>
  <c r="B38" i="13"/>
  <c r="A30" i="13"/>
  <c r="A31" i="13" s="1"/>
  <c r="A32" i="13" s="1"/>
  <c r="A33" i="13" s="1"/>
  <c r="A34" i="13" s="1"/>
  <c r="A35" i="13" s="1"/>
  <c r="A36" i="13" s="1"/>
  <c r="A37" i="13" s="1"/>
  <c r="E19" i="13"/>
  <c r="G19" i="13" s="1"/>
  <c r="E18" i="13"/>
  <c r="G18" i="13" s="1"/>
  <c r="C18" i="13"/>
  <c r="G17" i="13"/>
  <c r="H17" i="13" s="1"/>
  <c r="D17" i="13"/>
  <c r="C17" i="13"/>
  <c r="E16" i="13"/>
  <c r="G16" i="13" s="1"/>
  <c r="H16" i="13" s="1"/>
  <c r="D16" i="13"/>
  <c r="G15" i="13"/>
  <c r="H15" i="13" s="1"/>
  <c r="E15" i="13"/>
  <c r="D15" i="13"/>
  <c r="G14" i="13"/>
  <c r="H14" i="13" s="1"/>
  <c r="E14" i="13"/>
  <c r="D14" i="13"/>
  <c r="E13" i="13"/>
  <c r="D13" i="13"/>
  <c r="G12" i="13"/>
  <c r="H12" i="13" s="1"/>
  <c r="D12" i="13"/>
  <c r="G11" i="13"/>
  <c r="D11" i="13"/>
  <c r="H11" i="13" s="1"/>
  <c r="G10" i="13"/>
  <c r="H10" i="13" s="1"/>
  <c r="D10" i="13"/>
  <c r="G9" i="13"/>
  <c r="H9" i="13" s="1"/>
  <c r="D9" i="13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G8" i="13"/>
  <c r="D8" i="13"/>
  <c r="C42" i="12"/>
  <c r="K41" i="12"/>
  <c r="K47" i="12" s="1"/>
  <c r="J41" i="12"/>
  <c r="J47" i="12" s="1"/>
  <c r="I41" i="12"/>
  <c r="C41" i="12"/>
  <c r="K40" i="12"/>
  <c r="K42" i="12" s="1"/>
  <c r="J40" i="12"/>
  <c r="I40" i="12"/>
  <c r="L40" i="12" s="1"/>
  <c r="C40" i="12"/>
  <c r="C39" i="12"/>
  <c r="C38" i="12"/>
  <c r="C37" i="12"/>
  <c r="K36" i="12"/>
  <c r="J36" i="12"/>
  <c r="I36" i="12"/>
  <c r="C36" i="12"/>
  <c r="L35" i="12"/>
  <c r="C35" i="12"/>
  <c r="L34" i="12"/>
  <c r="L36" i="12" s="1"/>
  <c r="C34" i="12"/>
  <c r="C33" i="12"/>
  <c r="C32" i="12"/>
  <c r="C31" i="12"/>
  <c r="C30" i="12"/>
  <c r="K29" i="12"/>
  <c r="J29" i="12"/>
  <c r="I29" i="12"/>
  <c r="C29" i="12"/>
  <c r="L28" i="12"/>
  <c r="L29" i="12" s="1"/>
  <c r="C28" i="12"/>
  <c r="L27" i="12"/>
  <c r="C27" i="12"/>
  <c r="C26" i="12"/>
  <c r="C25" i="12"/>
  <c r="C24" i="12"/>
  <c r="C23" i="12"/>
  <c r="I22" i="12"/>
  <c r="I30" i="12" s="1"/>
  <c r="C22" i="12"/>
  <c r="L21" i="12"/>
  <c r="K21" i="12"/>
  <c r="J21" i="12"/>
  <c r="I21" i="12"/>
  <c r="C21" i="12"/>
  <c r="L20" i="12"/>
  <c r="C20" i="12"/>
  <c r="L19" i="12"/>
  <c r="C19" i="12"/>
  <c r="C18" i="12"/>
  <c r="C17" i="12"/>
  <c r="C16" i="12"/>
  <c r="L15" i="12"/>
  <c r="L22" i="12" s="1"/>
  <c r="K15" i="12"/>
  <c r="K22" i="12" s="1"/>
  <c r="K30" i="12" s="1"/>
  <c r="J15" i="12"/>
  <c r="J22" i="12" s="1"/>
  <c r="J30" i="12" s="1"/>
  <c r="I15" i="12"/>
  <c r="C15" i="12"/>
  <c r="L14" i="12"/>
  <c r="C14" i="12"/>
  <c r="L13" i="12"/>
  <c r="D13" i="12"/>
  <c r="C13" i="12"/>
  <c r="F38" i="11"/>
  <c r="B38" i="11"/>
  <c r="E21" i="11"/>
  <c r="G19" i="11"/>
  <c r="H19" i="11" s="1"/>
  <c r="E19" i="11"/>
  <c r="E20" i="11" s="1"/>
  <c r="G20" i="11" s="1"/>
  <c r="C19" i="11"/>
  <c r="D19" i="11" s="1"/>
  <c r="G18" i="11"/>
  <c r="H18" i="11" s="1"/>
  <c r="E18" i="11"/>
  <c r="D18" i="11"/>
  <c r="C18" i="11"/>
  <c r="G17" i="11"/>
  <c r="D17" i="11"/>
  <c r="G16" i="11"/>
  <c r="H16" i="11" s="1"/>
  <c r="E16" i="11"/>
  <c r="D16" i="11"/>
  <c r="G15" i="11"/>
  <c r="E15" i="11"/>
  <c r="C15" i="11"/>
  <c r="D15" i="11" s="1"/>
  <c r="H15" i="11" s="1"/>
  <c r="E14" i="11"/>
  <c r="G14" i="11" s="1"/>
  <c r="C14" i="11"/>
  <c r="D14" i="11" s="1"/>
  <c r="H13" i="11"/>
  <c r="G13" i="11"/>
  <c r="E13" i="11"/>
  <c r="D13" i="11"/>
  <c r="A13" i="1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H12" i="11"/>
  <c r="G12" i="11"/>
  <c r="D12" i="11"/>
  <c r="G11" i="11"/>
  <c r="H11" i="11" s="1"/>
  <c r="D11" i="11"/>
  <c r="H10" i="11"/>
  <c r="G10" i="11"/>
  <c r="D10" i="11"/>
  <c r="A10" i="11"/>
  <c r="A11" i="11" s="1"/>
  <c r="A12" i="11" s="1"/>
  <c r="H9" i="11"/>
  <c r="G9" i="11"/>
  <c r="D9" i="11"/>
  <c r="A9" i="11"/>
  <c r="G8" i="11"/>
  <c r="D8" i="11"/>
  <c r="F38" i="9"/>
  <c r="B38" i="9"/>
  <c r="E19" i="9"/>
  <c r="E20" i="9" s="1"/>
  <c r="H18" i="9"/>
  <c r="G18" i="9"/>
  <c r="E18" i="9"/>
  <c r="C18" i="9"/>
  <c r="D18" i="9" s="1"/>
  <c r="G17" i="9"/>
  <c r="D17" i="9"/>
  <c r="H17" i="9" s="1"/>
  <c r="C17" i="9"/>
  <c r="E16" i="9"/>
  <c r="G16" i="9" s="1"/>
  <c r="H16" i="9" s="1"/>
  <c r="D16" i="9"/>
  <c r="E15" i="9"/>
  <c r="G15" i="9" s="1"/>
  <c r="H15" i="9" s="1"/>
  <c r="D15" i="9"/>
  <c r="G14" i="9"/>
  <c r="H14" i="9" s="1"/>
  <c r="E14" i="9"/>
  <c r="D14" i="9"/>
  <c r="E13" i="9"/>
  <c r="D13" i="9"/>
  <c r="G12" i="9"/>
  <c r="H12" i="9" s="1"/>
  <c r="D12" i="9"/>
  <c r="G11" i="9"/>
  <c r="H11" i="9" s="1"/>
  <c r="D11" i="9"/>
  <c r="G10" i="9"/>
  <c r="H10" i="9" s="1"/>
  <c r="D10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G9" i="9"/>
  <c r="H9" i="9" s="1"/>
  <c r="D9" i="9"/>
  <c r="A9" i="9"/>
  <c r="G8" i="9"/>
  <c r="D8" i="9"/>
  <c r="E135" i="8"/>
  <c r="H116" i="8"/>
  <c r="H135" i="8" s="1"/>
  <c r="E116" i="8"/>
  <c r="H114" i="8"/>
  <c r="E114" i="8"/>
  <c r="H104" i="8"/>
  <c r="H146" i="8" s="1"/>
  <c r="E104" i="8"/>
  <c r="E146" i="8" s="1"/>
  <c r="H102" i="8"/>
  <c r="E102" i="8"/>
  <c r="H89" i="8"/>
  <c r="H88" i="8"/>
  <c r="H87" i="8"/>
  <c r="G87" i="8"/>
  <c r="F87" i="8"/>
  <c r="G85" i="8"/>
  <c r="F85" i="8"/>
  <c r="G84" i="8"/>
  <c r="F84" i="8"/>
  <c r="H84" i="8" s="1"/>
  <c r="F83" i="8"/>
  <c r="G82" i="8"/>
  <c r="F82" i="8"/>
  <c r="H82" i="8" s="1"/>
  <c r="F81" i="8"/>
  <c r="G79" i="8"/>
  <c r="F79" i="8"/>
  <c r="H79" i="8" s="1"/>
  <c r="H78" i="8"/>
  <c r="G78" i="8"/>
  <c r="F78" i="8"/>
  <c r="H77" i="8"/>
  <c r="G77" i="8"/>
  <c r="F77" i="8"/>
  <c r="H76" i="8"/>
  <c r="G76" i="8"/>
  <c r="F76" i="8"/>
  <c r="F75" i="8"/>
  <c r="H66" i="8"/>
  <c r="H65" i="8"/>
  <c r="F64" i="8"/>
  <c r="F63" i="8"/>
  <c r="F62" i="8"/>
  <c r="G60" i="8"/>
  <c r="F60" i="8"/>
  <c r="H60" i="8" s="1"/>
  <c r="G59" i="8"/>
  <c r="F59" i="8"/>
  <c r="H59" i="8" s="1"/>
  <c r="F58" i="8"/>
  <c r="G56" i="8"/>
  <c r="H56" i="8" s="1"/>
  <c r="E39" i="8"/>
  <c r="N38" i="8"/>
  <c r="D85" i="8" s="1"/>
  <c r="H85" i="8" s="1"/>
  <c r="L38" i="8"/>
  <c r="D81" i="8" s="1"/>
  <c r="C38" i="8"/>
  <c r="G73" i="8" s="1"/>
  <c r="H73" i="8" s="1"/>
  <c r="N37" i="8"/>
  <c r="M37" i="8"/>
  <c r="M38" i="8" s="1"/>
  <c r="D83" i="8" s="1"/>
  <c r="L37" i="8"/>
  <c r="K37" i="8"/>
  <c r="K38" i="8" s="1"/>
  <c r="D75" i="8" s="1"/>
  <c r="J37" i="8"/>
  <c r="J38" i="8" s="1"/>
  <c r="D72" i="8" s="1"/>
  <c r="D92" i="8" s="1"/>
  <c r="H37" i="8"/>
  <c r="H38" i="8" s="1"/>
  <c r="E130" i="8" s="1"/>
  <c r="G37" i="8"/>
  <c r="E37" i="8"/>
  <c r="I37" i="8" s="1"/>
  <c r="I38" i="8" s="1"/>
  <c r="H130" i="8" s="1"/>
  <c r="J11" i="8"/>
  <c r="D55" i="8" s="1"/>
  <c r="C11" i="8"/>
  <c r="E13" i="8" s="1"/>
  <c r="L10" i="8"/>
  <c r="N10" i="8" s="1"/>
  <c r="K10" i="8"/>
  <c r="J10" i="8"/>
  <c r="G10" i="8"/>
  <c r="E10" i="8"/>
  <c r="N9" i="8"/>
  <c r="L9" i="8"/>
  <c r="M9" i="8" s="1"/>
  <c r="K9" i="8"/>
  <c r="K11" i="8" s="1"/>
  <c r="D58" i="8" s="1"/>
  <c r="G58" i="8" s="1"/>
  <c r="J9" i="8"/>
  <c r="G9" i="8"/>
  <c r="I9" i="8" s="1"/>
  <c r="E9" i="8"/>
  <c r="H9" i="8" s="1"/>
  <c r="U97" i="7"/>
  <c r="T97" i="7"/>
  <c r="S97" i="7"/>
  <c r="R97" i="7"/>
  <c r="Q97" i="7"/>
  <c r="P97" i="7"/>
  <c r="O97" i="7"/>
  <c r="N97" i="7"/>
  <c r="U96" i="7"/>
  <c r="T96" i="7"/>
  <c r="S96" i="7"/>
  <c r="R96" i="7"/>
  <c r="Q96" i="7"/>
  <c r="P96" i="7"/>
  <c r="O96" i="7"/>
  <c r="N96" i="7"/>
  <c r="I95" i="7"/>
  <c r="I98" i="7" s="1"/>
  <c r="H95" i="7"/>
  <c r="H98" i="7" s="1"/>
  <c r="N94" i="7"/>
  <c r="L94" i="7"/>
  <c r="L95" i="7" s="1"/>
  <c r="L98" i="7" s="1"/>
  <c r="K94" i="7"/>
  <c r="J94" i="7"/>
  <c r="I94" i="7"/>
  <c r="H94" i="7"/>
  <c r="G94" i="7"/>
  <c r="G95" i="7" s="1"/>
  <c r="G98" i="7" s="1"/>
  <c r="F94" i="7"/>
  <c r="F95" i="7" s="1"/>
  <c r="F98" i="7" s="1"/>
  <c r="E94" i="7"/>
  <c r="D94" i="7"/>
  <c r="D95" i="7" s="1"/>
  <c r="D98" i="7" s="1"/>
  <c r="Y93" i="7"/>
  <c r="X93" i="7"/>
  <c r="W93" i="7"/>
  <c r="U93" i="7"/>
  <c r="T93" i="7"/>
  <c r="S93" i="7"/>
  <c r="R93" i="7"/>
  <c r="Q93" i="7"/>
  <c r="P93" i="7"/>
  <c r="O93" i="7"/>
  <c r="N93" i="7"/>
  <c r="Y92" i="7"/>
  <c r="X92" i="7"/>
  <c r="W92" i="7"/>
  <c r="U92" i="7"/>
  <c r="T92" i="7"/>
  <c r="S92" i="7"/>
  <c r="R92" i="7"/>
  <c r="Q92" i="7"/>
  <c r="P92" i="7"/>
  <c r="O92" i="7"/>
  <c r="N92" i="7"/>
  <c r="U91" i="7"/>
  <c r="T91" i="7"/>
  <c r="S91" i="7"/>
  <c r="R91" i="7"/>
  <c r="Q91" i="7"/>
  <c r="P91" i="7"/>
  <c r="O91" i="7"/>
  <c r="N91" i="7"/>
  <c r="Y90" i="7"/>
  <c r="Z90" i="7" s="1"/>
  <c r="W90" i="7"/>
  <c r="U90" i="7"/>
  <c r="T90" i="7"/>
  <c r="S90" i="7"/>
  <c r="R90" i="7"/>
  <c r="Q90" i="7"/>
  <c r="P90" i="7"/>
  <c r="O90" i="7"/>
  <c r="N90" i="7"/>
  <c r="Y89" i="7"/>
  <c r="Z89" i="7" s="1"/>
  <c r="W89" i="7"/>
  <c r="U89" i="7"/>
  <c r="T89" i="7"/>
  <c r="S89" i="7"/>
  <c r="R89" i="7"/>
  <c r="Q89" i="7"/>
  <c r="P89" i="7"/>
  <c r="O89" i="7"/>
  <c r="N89" i="7"/>
  <c r="Y88" i="7"/>
  <c r="Z88" i="7" s="1"/>
  <c r="W88" i="7"/>
  <c r="U88" i="7"/>
  <c r="T88" i="7"/>
  <c r="S88" i="7"/>
  <c r="R88" i="7"/>
  <c r="Q88" i="7"/>
  <c r="P88" i="7"/>
  <c r="O88" i="7"/>
  <c r="N88" i="7"/>
  <c r="X88" i="7" s="1"/>
  <c r="Y87" i="7"/>
  <c r="Z87" i="7" s="1"/>
  <c r="W87" i="7"/>
  <c r="U87" i="7"/>
  <c r="T87" i="7"/>
  <c r="S87" i="7"/>
  <c r="R87" i="7"/>
  <c r="Q87" i="7"/>
  <c r="P87" i="7"/>
  <c r="O87" i="7"/>
  <c r="N87" i="7"/>
  <c r="X87" i="7" s="1"/>
  <c r="Y86" i="7"/>
  <c r="Z86" i="7" s="1"/>
  <c r="W86" i="7"/>
  <c r="U86" i="7"/>
  <c r="T86" i="7"/>
  <c r="S86" i="7"/>
  <c r="R86" i="7"/>
  <c r="R94" i="7" s="1"/>
  <c r="Q86" i="7"/>
  <c r="Q94" i="7" s="1"/>
  <c r="P86" i="7"/>
  <c r="O86" i="7"/>
  <c r="N86" i="7"/>
  <c r="Y84" i="7"/>
  <c r="Z84" i="7" s="1"/>
  <c r="W84" i="7"/>
  <c r="U84" i="7"/>
  <c r="T84" i="7"/>
  <c r="S84" i="7"/>
  <c r="R84" i="7"/>
  <c r="Q84" i="7"/>
  <c r="P84" i="7"/>
  <c r="O84" i="7"/>
  <c r="N84" i="7"/>
  <c r="Y83" i="7"/>
  <c r="Z83" i="7" s="1"/>
  <c r="W83" i="7"/>
  <c r="U83" i="7"/>
  <c r="T83" i="7"/>
  <c r="S83" i="7"/>
  <c r="R83" i="7"/>
  <c r="Q83" i="7"/>
  <c r="P83" i="7"/>
  <c r="O83" i="7"/>
  <c r="N83" i="7"/>
  <c r="Y82" i="7"/>
  <c r="Z82" i="7" s="1"/>
  <c r="W82" i="7"/>
  <c r="U82" i="7"/>
  <c r="T82" i="7"/>
  <c r="S82" i="7"/>
  <c r="R82" i="7"/>
  <c r="Q82" i="7"/>
  <c r="P82" i="7"/>
  <c r="O82" i="7"/>
  <c r="N82" i="7"/>
  <c r="Y81" i="7"/>
  <c r="Z81" i="7" s="1"/>
  <c r="X81" i="7"/>
  <c r="W81" i="7"/>
  <c r="U80" i="7"/>
  <c r="U94" i="7" s="1"/>
  <c r="T80" i="7"/>
  <c r="S80" i="7"/>
  <c r="R80" i="7"/>
  <c r="Q80" i="7"/>
  <c r="P80" i="7"/>
  <c r="O80" i="7"/>
  <c r="N80" i="7"/>
  <c r="Y79" i="7"/>
  <c r="Z79" i="7" s="1"/>
  <c r="X79" i="7"/>
  <c r="W79" i="7"/>
  <c r="Y77" i="7"/>
  <c r="W77" i="7"/>
  <c r="Z77" i="7" s="1"/>
  <c r="U77" i="7"/>
  <c r="T77" i="7"/>
  <c r="S77" i="7"/>
  <c r="R77" i="7"/>
  <c r="Q77" i="7"/>
  <c r="P77" i="7"/>
  <c r="X77" i="7" s="1"/>
  <c r="O77" i="7"/>
  <c r="N77" i="7"/>
  <c r="U75" i="7"/>
  <c r="T75" i="7"/>
  <c r="S75" i="7"/>
  <c r="R75" i="7"/>
  <c r="Q75" i="7"/>
  <c r="P75" i="7"/>
  <c r="O75" i="7"/>
  <c r="N75" i="7"/>
  <c r="U74" i="7"/>
  <c r="T74" i="7"/>
  <c r="S74" i="7"/>
  <c r="R74" i="7"/>
  <c r="Q74" i="7"/>
  <c r="P74" i="7"/>
  <c r="O74" i="7"/>
  <c r="O94" i="7" s="1"/>
  <c r="N74" i="7"/>
  <c r="U73" i="7"/>
  <c r="T73" i="7"/>
  <c r="S73" i="7"/>
  <c r="R73" i="7"/>
  <c r="Q73" i="7"/>
  <c r="P73" i="7"/>
  <c r="O73" i="7"/>
  <c r="N73" i="7"/>
  <c r="Y72" i="7"/>
  <c r="W72" i="7"/>
  <c r="Z72" i="7" s="1"/>
  <c r="U72" i="7"/>
  <c r="T72" i="7"/>
  <c r="S72" i="7"/>
  <c r="R72" i="7"/>
  <c r="Q72" i="7"/>
  <c r="P72" i="7"/>
  <c r="X72" i="7" s="1"/>
  <c r="O72" i="7"/>
  <c r="N72" i="7"/>
  <c r="Y71" i="7"/>
  <c r="W71" i="7"/>
  <c r="U71" i="7"/>
  <c r="T71" i="7"/>
  <c r="S71" i="7"/>
  <c r="R71" i="7"/>
  <c r="Q71" i="7"/>
  <c r="P71" i="7"/>
  <c r="X71" i="7" s="1"/>
  <c r="O71" i="7"/>
  <c r="N71" i="7"/>
  <c r="Y70" i="7"/>
  <c r="W70" i="7"/>
  <c r="U70" i="7"/>
  <c r="T70" i="7"/>
  <c r="S70" i="7"/>
  <c r="R70" i="7"/>
  <c r="Q70" i="7"/>
  <c r="P70" i="7"/>
  <c r="X70" i="7" s="1"/>
  <c r="O70" i="7"/>
  <c r="N70" i="7"/>
  <c r="Y68" i="7"/>
  <c r="W68" i="7"/>
  <c r="U68" i="7"/>
  <c r="T68" i="7"/>
  <c r="S68" i="7"/>
  <c r="R68" i="7"/>
  <c r="Q68" i="7"/>
  <c r="P68" i="7"/>
  <c r="X68" i="7" s="1"/>
  <c r="O68" i="7"/>
  <c r="N68" i="7"/>
  <c r="Y67" i="7"/>
  <c r="X67" i="7"/>
  <c r="W67" i="7"/>
  <c r="U67" i="7"/>
  <c r="T67" i="7"/>
  <c r="S67" i="7"/>
  <c r="R67" i="7"/>
  <c r="Q67" i="7"/>
  <c r="P67" i="7"/>
  <c r="O67" i="7"/>
  <c r="N67" i="7"/>
  <c r="Y66" i="7"/>
  <c r="X66" i="7"/>
  <c r="W66" i="7"/>
  <c r="Z66" i="7" s="1"/>
  <c r="U66" i="7"/>
  <c r="T66" i="7"/>
  <c r="S66" i="7"/>
  <c r="R66" i="7"/>
  <c r="Q66" i="7"/>
  <c r="P66" i="7"/>
  <c r="O66" i="7"/>
  <c r="N66" i="7"/>
  <c r="Y64" i="7"/>
  <c r="X64" i="7"/>
  <c r="W64" i="7"/>
  <c r="Z64" i="7" s="1"/>
  <c r="U64" i="7"/>
  <c r="T64" i="7"/>
  <c r="S64" i="7"/>
  <c r="R64" i="7"/>
  <c r="Q64" i="7"/>
  <c r="P64" i="7"/>
  <c r="O64" i="7"/>
  <c r="N64" i="7"/>
  <c r="Y63" i="7"/>
  <c r="X63" i="7"/>
  <c r="W63" i="7"/>
  <c r="U63" i="7"/>
  <c r="T63" i="7"/>
  <c r="S63" i="7"/>
  <c r="R63" i="7"/>
  <c r="Q63" i="7"/>
  <c r="P63" i="7"/>
  <c r="O63" i="7"/>
  <c r="N63" i="7"/>
  <c r="U61" i="7"/>
  <c r="T61" i="7"/>
  <c r="S61" i="7"/>
  <c r="R61" i="7"/>
  <c r="Q61" i="7"/>
  <c r="P61" i="7"/>
  <c r="O61" i="7"/>
  <c r="N61" i="7"/>
  <c r="Y59" i="7"/>
  <c r="Z59" i="7" s="1"/>
  <c r="W59" i="7"/>
  <c r="U59" i="7"/>
  <c r="T59" i="7"/>
  <c r="S59" i="7"/>
  <c r="R59" i="7"/>
  <c r="Q59" i="7"/>
  <c r="P59" i="7"/>
  <c r="O59" i="7"/>
  <c r="N59" i="7"/>
  <c r="X59" i="7" s="1"/>
  <c r="Y58" i="7"/>
  <c r="Z58" i="7" s="1"/>
  <c r="W58" i="7"/>
  <c r="U58" i="7"/>
  <c r="T58" i="7"/>
  <c r="S58" i="7"/>
  <c r="R58" i="7"/>
  <c r="Q58" i="7"/>
  <c r="P58" i="7"/>
  <c r="O58" i="7"/>
  <c r="N58" i="7"/>
  <c r="X58" i="7" s="1"/>
  <c r="Y57" i="7"/>
  <c r="Z57" i="7" s="1"/>
  <c r="X57" i="7"/>
  <c r="W57" i="7"/>
  <c r="Y54" i="7"/>
  <c r="L54" i="7"/>
  <c r="K54" i="7"/>
  <c r="J54" i="7"/>
  <c r="I54" i="7"/>
  <c r="H54" i="7"/>
  <c r="G54" i="7"/>
  <c r="F54" i="7"/>
  <c r="E54" i="7"/>
  <c r="W54" i="7" s="1"/>
  <c r="D54" i="7"/>
  <c r="Z53" i="7"/>
  <c r="Y53" i="7"/>
  <c r="W53" i="7"/>
  <c r="U53" i="7"/>
  <c r="T53" i="7"/>
  <c r="S53" i="7"/>
  <c r="R53" i="7"/>
  <c r="Q53" i="7"/>
  <c r="P53" i="7"/>
  <c r="O53" i="7"/>
  <c r="N53" i="7"/>
  <c r="X53" i="7" s="1"/>
  <c r="Z52" i="7"/>
  <c r="Y52" i="7"/>
  <c r="W52" i="7"/>
  <c r="U52" i="7"/>
  <c r="T52" i="7"/>
  <c r="S52" i="7"/>
  <c r="R52" i="7"/>
  <c r="Q52" i="7"/>
  <c r="P52" i="7"/>
  <c r="O52" i="7"/>
  <c r="N52" i="7"/>
  <c r="X52" i="7" s="1"/>
  <c r="Z51" i="7"/>
  <c r="Y51" i="7"/>
  <c r="W51" i="7"/>
  <c r="U51" i="7"/>
  <c r="T51" i="7"/>
  <c r="S51" i="7"/>
  <c r="R51" i="7"/>
  <c r="Q51" i="7"/>
  <c r="P51" i="7"/>
  <c r="O51" i="7"/>
  <c r="N51" i="7"/>
  <c r="X51" i="7" s="1"/>
  <c r="U49" i="7"/>
  <c r="T49" i="7"/>
  <c r="S49" i="7"/>
  <c r="R49" i="7"/>
  <c r="Q49" i="7"/>
  <c r="P49" i="7"/>
  <c r="O49" i="7"/>
  <c r="N49" i="7"/>
  <c r="Y48" i="7"/>
  <c r="W48" i="7"/>
  <c r="Z48" i="7" s="1"/>
  <c r="U48" i="7"/>
  <c r="T48" i="7"/>
  <c r="S48" i="7"/>
  <c r="R48" i="7"/>
  <c r="Q48" i="7"/>
  <c r="P48" i="7"/>
  <c r="O48" i="7"/>
  <c r="N48" i="7"/>
  <c r="Y47" i="7"/>
  <c r="W47" i="7"/>
  <c r="Z47" i="7" s="1"/>
  <c r="U47" i="7"/>
  <c r="T47" i="7"/>
  <c r="S47" i="7"/>
  <c r="R47" i="7"/>
  <c r="Q47" i="7"/>
  <c r="P47" i="7"/>
  <c r="O47" i="7"/>
  <c r="N47" i="7"/>
  <c r="Y46" i="7"/>
  <c r="W46" i="7"/>
  <c r="Z46" i="7" s="1"/>
  <c r="U46" i="7"/>
  <c r="T46" i="7"/>
  <c r="S46" i="7"/>
  <c r="R46" i="7"/>
  <c r="Q46" i="7"/>
  <c r="P46" i="7"/>
  <c r="O46" i="7"/>
  <c r="X46" i="7" s="1"/>
  <c r="N46" i="7"/>
  <c r="U45" i="7"/>
  <c r="T45" i="7"/>
  <c r="S45" i="7"/>
  <c r="R45" i="7"/>
  <c r="Q45" i="7"/>
  <c r="P45" i="7"/>
  <c r="O45" i="7"/>
  <c r="N45" i="7"/>
  <c r="U44" i="7"/>
  <c r="T44" i="7"/>
  <c r="S44" i="7"/>
  <c r="R44" i="7"/>
  <c r="Q44" i="7"/>
  <c r="P44" i="7"/>
  <c r="O44" i="7"/>
  <c r="N44" i="7"/>
  <c r="U43" i="7"/>
  <c r="T43" i="7"/>
  <c r="S43" i="7"/>
  <c r="R43" i="7"/>
  <c r="Q43" i="7"/>
  <c r="P43" i="7"/>
  <c r="O43" i="7"/>
  <c r="N43" i="7"/>
  <c r="Y41" i="7"/>
  <c r="U41" i="7"/>
  <c r="T41" i="7"/>
  <c r="S41" i="7"/>
  <c r="R41" i="7"/>
  <c r="Q41" i="7"/>
  <c r="P41" i="7"/>
  <c r="O41" i="7"/>
  <c r="N41" i="7"/>
  <c r="Z40" i="7"/>
  <c r="Y40" i="7"/>
  <c r="W40" i="7"/>
  <c r="U40" i="7"/>
  <c r="T40" i="7"/>
  <c r="S40" i="7"/>
  <c r="R40" i="7"/>
  <c r="Q40" i="7"/>
  <c r="P40" i="7"/>
  <c r="O40" i="7"/>
  <c r="N40" i="7"/>
  <c r="X40" i="7" s="1"/>
  <c r="U39" i="7"/>
  <c r="T39" i="7"/>
  <c r="S39" i="7"/>
  <c r="R39" i="7"/>
  <c r="Q39" i="7"/>
  <c r="P39" i="7"/>
  <c r="O39" i="7"/>
  <c r="N39" i="7"/>
  <c r="U38" i="7"/>
  <c r="T38" i="7"/>
  <c r="S38" i="7"/>
  <c r="R38" i="7"/>
  <c r="Q38" i="7"/>
  <c r="P38" i="7"/>
  <c r="O38" i="7"/>
  <c r="N38" i="7"/>
  <c r="U37" i="7"/>
  <c r="T37" i="7"/>
  <c r="S37" i="7"/>
  <c r="R37" i="7"/>
  <c r="Q37" i="7"/>
  <c r="P37" i="7"/>
  <c r="O37" i="7"/>
  <c r="N37" i="7"/>
  <c r="Z36" i="7"/>
  <c r="Y36" i="7"/>
  <c r="W36" i="7"/>
  <c r="U36" i="7"/>
  <c r="T36" i="7"/>
  <c r="S36" i="7"/>
  <c r="R36" i="7"/>
  <c r="Q36" i="7"/>
  <c r="P36" i="7"/>
  <c r="O36" i="7"/>
  <c r="N36" i="7"/>
  <c r="Z35" i="7"/>
  <c r="Y35" i="7"/>
  <c r="W35" i="7"/>
  <c r="U35" i="7"/>
  <c r="T35" i="7"/>
  <c r="S35" i="7"/>
  <c r="R35" i="7"/>
  <c r="Q35" i="7"/>
  <c r="P35" i="7"/>
  <c r="O35" i="7"/>
  <c r="N35" i="7"/>
  <c r="Z34" i="7"/>
  <c r="Y34" i="7"/>
  <c r="W34" i="7"/>
  <c r="U34" i="7"/>
  <c r="T34" i="7"/>
  <c r="S34" i="7"/>
  <c r="R34" i="7"/>
  <c r="Q34" i="7"/>
  <c r="P34" i="7"/>
  <c r="O34" i="7"/>
  <c r="N34" i="7"/>
  <c r="U33" i="7"/>
  <c r="T33" i="7"/>
  <c r="S33" i="7"/>
  <c r="R33" i="7"/>
  <c r="Q33" i="7"/>
  <c r="P33" i="7"/>
  <c r="O33" i="7"/>
  <c r="N33" i="7"/>
  <c r="Y32" i="7"/>
  <c r="W32" i="7"/>
  <c r="Z32" i="7" s="1"/>
  <c r="U32" i="7"/>
  <c r="T32" i="7"/>
  <c r="S32" i="7"/>
  <c r="R32" i="7"/>
  <c r="Q32" i="7"/>
  <c r="P32" i="7"/>
  <c r="O32" i="7"/>
  <c r="X32" i="7" s="1"/>
  <c r="N32" i="7"/>
  <c r="Y31" i="7"/>
  <c r="W31" i="7"/>
  <c r="Z31" i="7" s="1"/>
  <c r="U31" i="7"/>
  <c r="T31" i="7"/>
  <c r="S31" i="7"/>
  <c r="R31" i="7"/>
  <c r="Q31" i="7"/>
  <c r="P31" i="7"/>
  <c r="O31" i="7"/>
  <c r="X31" i="7" s="1"/>
  <c r="N31" i="7"/>
  <c r="Y30" i="7"/>
  <c r="W30" i="7"/>
  <c r="Z30" i="7" s="1"/>
  <c r="U30" i="7"/>
  <c r="T30" i="7"/>
  <c r="S30" i="7"/>
  <c r="R30" i="7"/>
  <c r="Q30" i="7"/>
  <c r="P30" i="7"/>
  <c r="O30" i="7"/>
  <c r="X30" i="7" s="1"/>
  <c r="N30" i="7"/>
  <c r="U29" i="7"/>
  <c r="T29" i="7"/>
  <c r="S29" i="7"/>
  <c r="R29" i="7"/>
  <c r="Q29" i="7"/>
  <c r="P29" i="7"/>
  <c r="O29" i="7"/>
  <c r="N29" i="7"/>
  <c r="U27" i="7"/>
  <c r="T27" i="7"/>
  <c r="S27" i="7"/>
  <c r="R27" i="7"/>
  <c r="Q27" i="7"/>
  <c r="P27" i="7"/>
  <c r="O27" i="7"/>
  <c r="N27" i="7"/>
  <c r="U26" i="7"/>
  <c r="T26" i="7"/>
  <c r="S26" i="7"/>
  <c r="R26" i="7"/>
  <c r="Q26" i="7"/>
  <c r="P26" i="7"/>
  <c r="O26" i="7"/>
  <c r="N26" i="7"/>
  <c r="U25" i="7"/>
  <c r="T25" i="7"/>
  <c r="S25" i="7"/>
  <c r="R25" i="7"/>
  <c r="Q25" i="7"/>
  <c r="P25" i="7"/>
  <c r="O25" i="7"/>
  <c r="N25" i="7"/>
  <c r="U24" i="7"/>
  <c r="T24" i="7"/>
  <c r="S24" i="7"/>
  <c r="R24" i="7"/>
  <c r="Q24" i="7"/>
  <c r="P24" i="7"/>
  <c r="O24" i="7"/>
  <c r="N24" i="7"/>
  <c r="U23" i="7"/>
  <c r="T23" i="7"/>
  <c r="S23" i="7"/>
  <c r="R23" i="7"/>
  <c r="Q23" i="7"/>
  <c r="P23" i="7"/>
  <c r="O23" i="7"/>
  <c r="N23" i="7"/>
  <c r="U22" i="7"/>
  <c r="T22" i="7"/>
  <c r="S22" i="7"/>
  <c r="R22" i="7"/>
  <c r="Q22" i="7"/>
  <c r="P22" i="7"/>
  <c r="O22" i="7"/>
  <c r="N22" i="7"/>
  <c r="U21" i="7"/>
  <c r="T21" i="7"/>
  <c r="S21" i="7"/>
  <c r="R21" i="7"/>
  <c r="Q21" i="7"/>
  <c r="P21" i="7"/>
  <c r="O21" i="7"/>
  <c r="N21" i="7"/>
  <c r="U20" i="7"/>
  <c r="T20" i="7"/>
  <c r="S20" i="7"/>
  <c r="R20" i="7"/>
  <c r="Q20" i="7"/>
  <c r="P20" i="7"/>
  <c r="O20" i="7"/>
  <c r="N20" i="7"/>
  <c r="U19" i="7"/>
  <c r="T19" i="7"/>
  <c r="S19" i="7"/>
  <c r="R19" i="7"/>
  <c r="Q19" i="7"/>
  <c r="P19" i="7"/>
  <c r="O19" i="7"/>
  <c r="N19" i="7"/>
  <c r="U18" i="7"/>
  <c r="T18" i="7"/>
  <c r="S18" i="7"/>
  <c r="R18" i="7"/>
  <c r="Q18" i="7"/>
  <c r="P18" i="7"/>
  <c r="O18" i="7"/>
  <c r="N18" i="7"/>
  <c r="U17" i="7"/>
  <c r="T17" i="7"/>
  <c r="S17" i="7"/>
  <c r="R17" i="7"/>
  <c r="Q17" i="7"/>
  <c r="P17" i="7"/>
  <c r="O17" i="7"/>
  <c r="N17" i="7"/>
  <c r="U16" i="7"/>
  <c r="T16" i="7"/>
  <c r="S16" i="7"/>
  <c r="R16" i="7"/>
  <c r="Q16" i="7"/>
  <c r="P16" i="7"/>
  <c r="O16" i="7"/>
  <c r="N16" i="7"/>
  <c r="U15" i="7"/>
  <c r="T15" i="7"/>
  <c r="S15" i="7"/>
  <c r="R15" i="7"/>
  <c r="Q15" i="7"/>
  <c r="P15" i="7"/>
  <c r="O15" i="7"/>
  <c r="N15" i="7"/>
  <c r="U14" i="7"/>
  <c r="T14" i="7"/>
  <c r="S14" i="7"/>
  <c r="R14" i="7"/>
  <c r="Q14" i="7"/>
  <c r="P14" i="7"/>
  <c r="O14" i="7"/>
  <c r="N14" i="7"/>
  <c r="U13" i="7"/>
  <c r="T13" i="7"/>
  <c r="S13" i="7"/>
  <c r="R13" i="7"/>
  <c r="Q13" i="7"/>
  <c r="P13" i="7"/>
  <c r="O13" i="7"/>
  <c r="N13" i="7"/>
  <c r="U11" i="7"/>
  <c r="T11" i="7"/>
  <c r="S11" i="7"/>
  <c r="R11" i="7"/>
  <c r="Q11" i="7"/>
  <c r="P11" i="7"/>
  <c r="O11" i="7"/>
  <c r="N11" i="7"/>
  <c r="U10" i="7"/>
  <c r="T10" i="7"/>
  <c r="S10" i="7"/>
  <c r="R10" i="7"/>
  <c r="Q10" i="7"/>
  <c r="P10" i="7"/>
  <c r="O10" i="7"/>
  <c r="N10" i="7"/>
  <c r="U9" i="7"/>
  <c r="U54" i="7" s="1"/>
  <c r="U95" i="7" s="1"/>
  <c r="U98" i="7" s="1"/>
  <c r="T9" i="7"/>
  <c r="S9" i="7"/>
  <c r="R9" i="7"/>
  <c r="R54" i="7" s="1"/>
  <c r="Q9" i="7"/>
  <c r="P9" i="7"/>
  <c r="O9" i="7"/>
  <c r="N9" i="7"/>
  <c r="N54" i="7" s="1"/>
  <c r="AI99" i="6"/>
  <c r="AN98" i="6"/>
  <c r="AM98" i="6"/>
  <c r="AI98" i="6"/>
  <c r="AE98" i="6"/>
  <c r="AG98" i="6" s="1"/>
  <c r="AC98" i="6"/>
  <c r="AB98" i="6"/>
  <c r="Y98" i="6"/>
  <c r="Z98" i="6" s="1"/>
  <c r="W98" i="6"/>
  <c r="V98" i="6"/>
  <c r="Q98" i="6"/>
  <c r="N98" i="6"/>
  <c r="M98" i="6"/>
  <c r="K98" i="6"/>
  <c r="J98" i="6"/>
  <c r="AM97" i="6"/>
  <c r="AN97" i="6" s="1"/>
  <c r="AI97" i="6"/>
  <c r="AF97" i="6"/>
  <c r="AE97" i="6"/>
  <c r="AG97" i="6" s="1"/>
  <c r="AB97" i="6"/>
  <c r="AC97" i="6" s="1"/>
  <c r="Y97" i="6"/>
  <c r="Z97" i="6" s="1"/>
  <c r="W97" i="6"/>
  <c r="V97" i="6"/>
  <c r="Q97" i="6"/>
  <c r="N97" i="6"/>
  <c r="M97" i="6"/>
  <c r="J97" i="6"/>
  <c r="K97" i="6" s="1"/>
  <c r="AI96" i="6"/>
  <c r="AN95" i="6"/>
  <c r="AM95" i="6"/>
  <c r="AI95" i="6"/>
  <c r="AD95" i="6"/>
  <c r="AA95" i="6"/>
  <c r="X95" i="6"/>
  <c r="U95" i="6"/>
  <c r="R95" i="6"/>
  <c r="O95" i="6"/>
  <c r="L95" i="6"/>
  <c r="I95" i="6"/>
  <c r="H95" i="6"/>
  <c r="G95" i="6"/>
  <c r="AN94" i="6"/>
  <c r="AM94" i="6"/>
  <c r="AI94" i="6"/>
  <c r="AF94" i="6"/>
  <c r="AE94" i="6"/>
  <c r="AG94" i="6" s="1"/>
  <c r="AB94" i="6"/>
  <c r="AC94" i="6" s="1"/>
  <c r="Z94" i="6"/>
  <c r="Y94" i="6"/>
  <c r="V94" i="6"/>
  <c r="W94" i="6" s="1"/>
  <c r="P94" i="6"/>
  <c r="Q94" i="6" s="1"/>
  <c r="N94" i="6"/>
  <c r="M94" i="6"/>
  <c r="K94" i="6"/>
  <c r="J94" i="6"/>
  <c r="AM93" i="6"/>
  <c r="AN93" i="6" s="1"/>
  <c r="AI93" i="6"/>
  <c r="AF93" i="6"/>
  <c r="AE93" i="6"/>
  <c r="AC93" i="6"/>
  <c r="AB93" i="6"/>
  <c r="AG93" i="6" s="1"/>
  <c r="Y93" i="6"/>
  <c r="Z93" i="6" s="1"/>
  <c r="W93" i="6"/>
  <c r="V93" i="6"/>
  <c r="T93" i="6"/>
  <c r="S93" i="6"/>
  <c r="P93" i="6"/>
  <c r="Q93" i="6" s="1"/>
  <c r="N93" i="6"/>
  <c r="AH93" i="6" s="1"/>
  <c r="M93" i="6"/>
  <c r="K93" i="6"/>
  <c r="J93" i="6"/>
  <c r="AM92" i="6"/>
  <c r="AN92" i="6" s="1"/>
  <c r="AI92" i="6"/>
  <c r="AM91" i="6"/>
  <c r="AN91" i="6" s="1"/>
  <c r="AI91" i="6"/>
  <c r="AF91" i="6"/>
  <c r="AE91" i="6"/>
  <c r="AC91" i="6"/>
  <c r="AB91" i="6"/>
  <c r="Y91" i="6"/>
  <c r="Z91" i="6" s="1"/>
  <c r="W91" i="6"/>
  <c r="V91" i="6"/>
  <c r="Q91" i="6"/>
  <c r="P91" i="6"/>
  <c r="M91" i="6"/>
  <c r="N91" i="6" s="1"/>
  <c r="AH91" i="6" s="1"/>
  <c r="K91" i="6"/>
  <c r="J91" i="6"/>
  <c r="AN90" i="6"/>
  <c r="AM90" i="6"/>
  <c r="AI90" i="6"/>
  <c r="AE90" i="6"/>
  <c r="AF90" i="6" s="1"/>
  <c r="AC90" i="6"/>
  <c r="AB90" i="6"/>
  <c r="Y90" i="6"/>
  <c r="Z90" i="6" s="1"/>
  <c r="V90" i="6"/>
  <c r="W90" i="6" s="1"/>
  <c r="T90" i="6"/>
  <c r="S90" i="6"/>
  <c r="Q90" i="6"/>
  <c r="AH90" i="6" s="1"/>
  <c r="P90" i="6"/>
  <c r="AG90" i="6" s="1"/>
  <c r="M90" i="6"/>
  <c r="N90" i="6" s="1"/>
  <c r="K90" i="6"/>
  <c r="J90" i="6"/>
  <c r="AM89" i="6"/>
  <c r="AN89" i="6" s="1"/>
  <c r="AI89" i="6"/>
  <c r="AE89" i="6"/>
  <c r="AC89" i="6"/>
  <c r="AB89" i="6"/>
  <c r="Z89" i="6"/>
  <c r="Y89" i="6"/>
  <c r="V89" i="6"/>
  <c r="W89" i="6" s="1"/>
  <c r="T89" i="6"/>
  <c r="S89" i="6"/>
  <c r="Q89" i="6"/>
  <c r="P89" i="6"/>
  <c r="M89" i="6"/>
  <c r="N89" i="6" s="1"/>
  <c r="K89" i="6"/>
  <c r="J89" i="6"/>
  <c r="AN88" i="6"/>
  <c r="AM88" i="6"/>
  <c r="AI88" i="6"/>
  <c r="AE88" i="6"/>
  <c r="AC88" i="6"/>
  <c r="AB88" i="6"/>
  <c r="Y88" i="6"/>
  <c r="Z88" i="6" s="1"/>
  <c r="V88" i="6"/>
  <c r="W88" i="6" s="1"/>
  <c r="T88" i="6"/>
  <c r="S88" i="6"/>
  <c r="P88" i="6"/>
  <c r="Q88" i="6" s="1"/>
  <c r="M88" i="6"/>
  <c r="N88" i="6" s="1"/>
  <c r="K88" i="6"/>
  <c r="J88" i="6"/>
  <c r="AM87" i="6"/>
  <c r="AN87" i="6" s="1"/>
  <c r="AI87" i="6"/>
  <c r="AE87" i="6"/>
  <c r="AC87" i="6"/>
  <c r="AB87" i="6"/>
  <c r="Z87" i="6"/>
  <c r="Y87" i="6"/>
  <c r="V87" i="6"/>
  <c r="W87" i="6" s="1"/>
  <c r="T87" i="6"/>
  <c r="S87" i="6"/>
  <c r="Q87" i="6"/>
  <c r="P87" i="6"/>
  <c r="M87" i="6"/>
  <c r="N87" i="6" s="1"/>
  <c r="K87" i="6"/>
  <c r="J87" i="6"/>
  <c r="AN86" i="6"/>
  <c r="AM86" i="6"/>
  <c r="AM85" i="6"/>
  <c r="AN85" i="6" s="1"/>
  <c r="AI85" i="6"/>
  <c r="AF85" i="6"/>
  <c r="AE85" i="6"/>
  <c r="AB85" i="6"/>
  <c r="Y85" i="6"/>
  <c r="Z85" i="6" s="1"/>
  <c r="W85" i="6"/>
  <c r="V85" i="6"/>
  <c r="T85" i="6"/>
  <c r="S85" i="6"/>
  <c r="P85" i="6"/>
  <c r="Q85" i="6" s="1"/>
  <c r="N85" i="6"/>
  <c r="M85" i="6"/>
  <c r="J85" i="6"/>
  <c r="K85" i="6" s="1"/>
  <c r="AM84" i="6"/>
  <c r="AN84" i="6" s="1"/>
  <c r="AI84" i="6"/>
  <c r="AG84" i="6"/>
  <c r="AF84" i="6"/>
  <c r="AE84" i="6"/>
  <c r="AC84" i="6"/>
  <c r="AB84" i="6"/>
  <c r="Y84" i="6"/>
  <c r="Z84" i="6" s="1"/>
  <c r="W84" i="6"/>
  <c r="V84" i="6"/>
  <c r="T84" i="6"/>
  <c r="S84" i="6"/>
  <c r="P84" i="6"/>
  <c r="Q84" i="6" s="1"/>
  <c r="N84" i="6"/>
  <c r="AH84" i="6" s="1"/>
  <c r="M84" i="6"/>
  <c r="K84" i="6"/>
  <c r="J84" i="6"/>
  <c r="AM83" i="6"/>
  <c r="AN83" i="6" s="1"/>
  <c r="AI83" i="6"/>
  <c r="AF83" i="6"/>
  <c r="AE83" i="6"/>
  <c r="AB83" i="6"/>
  <c r="AG83" i="6" s="1"/>
  <c r="Y83" i="6"/>
  <c r="Z83" i="6" s="1"/>
  <c r="W83" i="6"/>
  <c r="V83" i="6"/>
  <c r="S83" i="6"/>
  <c r="T83" i="6" s="1"/>
  <c r="P83" i="6"/>
  <c r="Q83" i="6" s="1"/>
  <c r="N83" i="6"/>
  <c r="M83" i="6"/>
  <c r="J83" i="6"/>
  <c r="K83" i="6" s="1"/>
  <c r="AM82" i="6"/>
  <c r="AN82" i="6" s="1"/>
  <c r="AN81" i="6"/>
  <c r="AM81" i="6"/>
  <c r="AI81" i="6"/>
  <c r="AF81" i="6"/>
  <c r="AE81" i="6"/>
  <c r="AB81" i="6"/>
  <c r="AC81" i="6" s="1"/>
  <c r="Z81" i="6"/>
  <c r="Y81" i="6"/>
  <c r="W81" i="6"/>
  <c r="V81" i="6"/>
  <c r="P81" i="6"/>
  <c r="Q81" i="6" s="1"/>
  <c r="N81" i="6"/>
  <c r="M81" i="6"/>
  <c r="K81" i="6"/>
  <c r="J81" i="6"/>
  <c r="AM80" i="6"/>
  <c r="AN80" i="6" s="1"/>
  <c r="AN79" i="6"/>
  <c r="AM79" i="6"/>
  <c r="AN78" i="6"/>
  <c r="AM78" i="6"/>
  <c r="AI78" i="6"/>
  <c r="AE78" i="6"/>
  <c r="AC78" i="6"/>
  <c r="AB78" i="6"/>
  <c r="Y78" i="6"/>
  <c r="Z78" i="6" s="1"/>
  <c r="V78" i="6"/>
  <c r="W78" i="6" s="1"/>
  <c r="T78" i="6"/>
  <c r="S78" i="6"/>
  <c r="P78" i="6"/>
  <c r="Q78" i="6" s="1"/>
  <c r="M78" i="6"/>
  <c r="N78" i="6" s="1"/>
  <c r="K78" i="6"/>
  <c r="J78" i="6"/>
  <c r="AM77" i="6"/>
  <c r="AN77" i="6" s="1"/>
  <c r="AM76" i="6"/>
  <c r="AN76" i="6" s="1"/>
  <c r="AI76" i="6"/>
  <c r="AF76" i="6"/>
  <c r="AE76" i="6"/>
  <c r="AC76" i="6"/>
  <c r="AB76" i="6"/>
  <c r="Y76" i="6"/>
  <c r="Z76" i="6" s="1"/>
  <c r="W76" i="6"/>
  <c r="V76" i="6"/>
  <c r="T76" i="6"/>
  <c r="S76" i="6"/>
  <c r="P76" i="6"/>
  <c r="Q76" i="6" s="1"/>
  <c r="N76" i="6"/>
  <c r="M76" i="6"/>
  <c r="K76" i="6"/>
  <c r="J76" i="6"/>
  <c r="AM75" i="6"/>
  <c r="AN75" i="6" s="1"/>
  <c r="AI75" i="6"/>
  <c r="AF75" i="6"/>
  <c r="AE75" i="6"/>
  <c r="AB75" i="6"/>
  <c r="AG75" i="6" s="1"/>
  <c r="Y75" i="6"/>
  <c r="Z75" i="6" s="1"/>
  <c r="W75" i="6"/>
  <c r="V75" i="6"/>
  <c r="S75" i="6"/>
  <c r="T75" i="6" s="1"/>
  <c r="P75" i="6"/>
  <c r="Q75" i="6" s="1"/>
  <c r="N75" i="6"/>
  <c r="M75" i="6"/>
  <c r="J75" i="6"/>
  <c r="K75" i="6" s="1"/>
  <c r="AM74" i="6"/>
  <c r="AN74" i="6" s="1"/>
  <c r="AI74" i="6"/>
  <c r="AG74" i="6"/>
  <c r="AF74" i="6"/>
  <c r="AE74" i="6"/>
  <c r="AC74" i="6"/>
  <c r="AB74" i="6"/>
  <c r="Y74" i="6"/>
  <c r="Z74" i="6" s="1"/>
  <c r="W74" i="6"/>
  <c r="V74" i="6"/>
  <c r="T74" i="6"/>
  <c r="S74" i="6"/>
  <c r="P74" i="6"/>
  <c r="Q74" i="6" s="1"/>
  <c r="N74" i="6"/>
  <c r="M74" i="6"/>
  <c r="K74" i="6"/>
  <c r="J74" i="6"/>
  <c r="AM73" i="6"/>
  <c r="AN73" i="6" s="1"/>
  <c r="AI73" i="6"/>
  <c r="AF73" i="6"/>
  <c r="AE73" i="6"/>
  <c r="AC73" i="6"/>
  <c r="AB73" i="6"/>
  <c r="AG73" i="6" s="1"/>
  <c r="Y73" i="6"/>
  <c r="Z73" i="6" s="1"/>
  <c r="W73" i="6"/>
  <c r="V73" i="6"/>
  <c r="S73" i="6"/>
  <c r="T73" i="6" s="1"/>
  <c r="P73" i="6"/>
  <c r="Q73" i="6" s="1"/>
  <c r="N73" i="6"/>
  <c r="M73" i="6"/>
  <c r="J73" i="6"/>
  <c r="K73" i="6" s="1"/>
  <c r="AM72" i="6"/>
  <c r="AN72" i="6" s="1"/>
  <c r="AI72" i="6"/>
  <c r="AF72" i="6"/>
  <c r="AE72" i="6"/>
  <c r="AC72" i="6"/>
  <c r="AB72" i="6"/>
  <c r="AG72" i="6" s="1"/>
  <c r="Y72" i="6"/>
  <c r="Z72" i="6" s="1"/>
  <c r="W72" i="6"/>
  <c r="V72" i="6"/>
  <c r="T72" i="6"/>
  <c r="S72" i="6"/>
  <c r="P72" i="6"/>
  <c r="Q72" i="6" s="1"/>
  <c r="N72" i="6"/>
  <c r="M72" i="6"/>
  <c r="K72" i="6"/>
  <c r="J72" i="6"/>
  <c r="AM71" i="6"/>
  <c r="AN71" i="6" s="1"/>
  <c r="AI71" i="6"/>
  <c r="AF71" i="6"/>
  <c r="AE71" i="6"/>
  <c r="AB71" i="6"/>
  <c r="Y71" i="6"/>
  <c r="Z71" i="6" s="1"/>
  <c r="W71" i="6"/>
  <c r="V71" i="6"/>
  <c r="S71" i="6"/>
  <c r="T71" i="6" s="1"/>
  <c r="P71" i="6"/>
  <c r="Q71" i="6" s="1"/>
  <c r="N71" i="6"/>
  <c r="M71" i="6"/>
  <c r="J71" i="6"/>
  <c r="K71" i="6" s="1"/>
  <c r="AM70" i="6"/>
  <c r="AN70" i="6" s="1"/>
  <c r="AN69" i="6"/>
  <c r="AM69" i="6"/>
  <c r="AI69" i="6"/>
  <c r="AF69" i="6"/>
  <c r="AE69" i="6"/>
  <c r="AB69" i="6"/>
  <c r="AC69" i="6" s="1"/>
  <c r="Z69" i="6"/>
  <c r="Y69" i="6"/>
  <c r="W69" i="6"/>
  <c r="V69" i="6"/>
  <c r="S69" i="6"/>
  <c r="T69" i="6" s="1"/>
  <c r="AH69" i="6" s="1"/>
  <c r="Q69" i="6"/>
  <c r="P69" i="6"/>
  <c r="N69" i="6"/>
  <c r="M69" i="6"/>
  <c r="J69" i="6"/>
  <c r="K69" i="6" s="1"/>
  <c r="AN68" i="6"/>
  <c r="AM68" i="6"/>
  <c r="AI68" i="6"/>
  <c r="AF68" i="6"/>
  <c r="AE68" i="6"/>
  <c r="AB68" i="6"/>
  <c r="AC68" i="6" s="1"/>
  <c r="Z68" i="6"/>
  <c r="Y68" i="6"/>
  <c r="V68" i="6"/>
  <c r="W68" i="6" s="1"/>
  <c r="S68" i="6"/>
  <c r="T68" i="6" s="1"/>
  <c r="Q68" i="6"/>
  <c r="P68" i="6"/>
  <c r="M68" i="6"/>
  <c r="N68" i="6" s="1"/>
  <c r="AH68" i="6" s="1"/>
  <c r="J68" i="6"/>
  <c r="K68" i="6" s="1"/>
  <c r="AN67" i="6"/>
  <c r="AM67" i="6"/>
  <c r="AI67" i="6"/>
  <c r="AF67" i="6"/>
  <c r="AE67" i="6"/>
  <c r="AG67" i="6" s="1"/>
  <c r="AB67" i="6"/>
  <c r="AC67" i="6" s="1"/>
  <c r="Z67" i="6"/>
  <c r="Y67" i="6"/>
  <c r="W67" i="6"/>
  <c r="V67" i="6"/>
  <c r="S67" i="6"/>
  <c r="T67" i="6" s="1"/>
  <c r="Q67" i="6"/>
  <c r="P67" i="6"/>
  <c r="N67" i="6"/>
  <c r="AH67" i="6" s="1"/>
  <c r="M67" i="6"/>
  <c r="J67" i="6"/>
  <c r="K67" i="6" s="1"/>
  <c r="AN66" i="6"/>
  <c r="AM66" i="6"/>
  <c r="AI66" i="6"/>
  <c r="AN65" i="6"/>
  <c r="AM65" i="6"/>
  <c r="AI65" i="6"/>
  <c r="AF65" i="6"/>
  <c r="AE65" i="6"/>
  <c r="AB65" i="6"/>
  <c r="AC65" i="6" s="1"/>
  <c r="Z65" i="6"/>
  <c r="Y65" i="6"/>
  <c r="W65" i="6"/>
  <c r="V65" i="6"/>
  <c r="S65" i="6"/>
  <c r="T65" i="6" s="1"/>
  <c r="Q65" i="6"/>
  <c r="P65" i="6"/>
  <c r="N65" i="6"/>
  <c r="AH65" i="6" s="1"/>
  <c r="M65" i="6"/>
  <c r="J65" i="6"/>
  <c r="K65" i="6" s="1"/>
  <c r="AN64" i="6"/>
  <c r="AM64" i="6"/>
  <c r="AI64" i="6"/>
  <c r="AE64" i="6"/>
  <c r="AB64" i="6"/>
  <c r="AC64" i="6" s="1"/>
  <c r="Z64" i="6"/>
  <c r="Y64" i="6"/>
  <c r="W64" i="6"/>
  <c r="V64" i="6"/>
  <c r="S64" i="6"/>
  <c r="T64" i="6" s="1"/>
  <c r="Q64" i="6"/>
  <c r="P64" i="6"/>
  <c r="M64" i="6"/>
  <c r="N64" i="6" s="1"/>
  <c r="J64" i="6"/>
  <c r="K64" i="6" s="1"/>
  <c r="AN63" i="6"/>
  <c r="AM63" i="6"/>
  <c r="AI63" i="6"/>
  <c r="AH63" i="6"/>
  <c r="AM62" i="6"/>
  <c r="AN62" i="6" s="1"/>
  <c r="AI62" i="6"/>
  <c r="AF62" i="6"/>
  <c r="AE62" i="6"/>
  <c r="AC62" i="6"/>
  <c r="AB62" i="6"/>
  <c r="AG62" i="6" s="1"/>
  <c r="Y62" i="6"/>
  <c r="Z62" i="6" s="1"/>
  <c r="W62" i="6"/>
  <c r="V62" i="6"/>
  <c r="T62" i="6"/>
  <c r="S62" i="6"/>
  <c r="P62" i="6"/>
  <c r="Q62" i="6" s="1"/>
  <c r="N62" i="6"/>
  <c r="M62" i="6"/>
  <c r="K62" i="6"/>
  <c r="J62" i="6"/>
  <c r="AM61" i="6"/>
  <c r="AN61" i="6" s="1"/>
  <c r="AN60" i="6"/>
  <c r="AM60" i="6"/>
  <c r="AI60" i="6"/>
  <c r="AE60" i="6"/>
  <c r="AB60" i="6"/>
  <c r="AC60" i="6" s="1"/>
  <c r="Z60" i="6"/>
  <c r="Y60" i="6"/>
  <c r="V60" i="6"/>
  <c r="W60" i="6" s="1"/>
  <c r="S60" i="6"/>
  <c r="T60" i="6" s="1"/>
  <c r="Q60" i="6"/>
  <c r="P60" i="6"/>
  <c r="M60" i="6"/>
  <c r="N60" i="6" s="1"/>
  <c r="J60" i="6"/>
  <c r="K60" i="6" s="1"/>
  <c r="AN59" i="6"/>
  <c r="AM59" i="6"/>
  <c r="AI59" i="6"/>
  <c r="AF59" i="6"/>
  <c r="AE59" i="6"/>
  <c r="AG59" i="6" s="1"/>
  <c r="AB59" i="6"/>
  <c r="AC59" i="6" s="1"/>
  <c r="Z59" i="6"/>
  <c r="Y59" i="6"/>
  <c r="W59" i="6"/>
  <c r="V59" i="6"/>
  <c r="S59" i="6"/>
  <c r="T59" i="6" s="1"/>
  <c r="Q59" i="6"/>
  <c r="Q95" i="6" s="1"/>
  <c r="P59" i="6"/>
  <c r="N59" i="6"/>
  <c r="M59" i="6"/>
  <c r="J59" i="6"/>
  <c r="K59" i="6" s="1"/>
  <c r="AN58" i="6"/>
  <c r="AM58" i="6"/>
  <c r="AN57" i="6"/>
  <c r="AM57" i="6"/>
  <c r="AM56" i="6"/>
  <c r="AN56" i="6" s="1"/>
  <c r="AI55" i="6"/>
  <c r="AD55" i="6"/>
  <c r="AD96" i="6" s="1"/>
  <c r="AD99" i="6" s="1"/>
  <c r="AA55" i="6"/>
  <c r="AA96" i="6" s="1"/>
  <c r="AA99" i="6" s="1"/>
  <c r="X55" i="6"/>
  <c r="X96" i="6" s="1"/>
  <c r="X99" i="6" s="1"/>
  <c r="U55" i="6"/>
  <c r="U96" i="6" s="1"/>
  <c r="U99" i="6" s="1"/>
  <c r="R55" i="6"/>
  <c r="R96" i="6" s="1"/>
  <c r="R99" i="6" s="1"/>
  <c r="O55" i="6"/>
  <c r="L55" i="6"/>
  <c r="L96" i="6" s="1"/>
  <c r="L99" i="6" s="1"/>
  <c r="I55" i="6"/>
  <c r="I96" i="6" s="1"/>
  <c r="H55" i="6"/>
  <c r="H96" i="6" s="1"/>
  <c r="H99" i="6" s="1"/>
  <c r="AM54" i="6"/>
  <c r="AN54" i="6" s="1"/>
  <c r="AI54" i="6"/>
  <c r="AF54" i="6"/>
  <c r="AE54" i="6"/>
  <c r="AB54" i="6"/>
  <c r="AC54" i="6" s="1"/>
  <c r="Y54" i="6"/>
  <c r="Z54" i="6" s="1"/>
  <c r="W54" i="6"/>
  <c r="V54" i="6"/>
  <c r="T54" i="6"/>
  <c r="S54" i="6"/>
  <c r="P54" i="6"/>
  <c r="Q54" i="6" s="1"/>
  <c r="N54" i="6"/>
  <c r="M54" i="6"/>
  <c r="J54" i="6"/>
  <c r="K54" i="6" s="1"/>
  <c r="AM53" i="6"/>
  <c r="AN53" i="6" s="1"/>
  <c r="AI53" i="6"/>
  <c r="AG53" i="6"/>
  <c r="AF53" i="6"/>
  <c r="AE53" i="6"/>
  <c r="AC53" i="6"/>
  <c r="AB53" i="6"/>
  <c r="Y53" i="6"/>
  <c r="Z53" i="6" s="1"/>
  <c r="W53" i="6"/>
  <c r="V53" i="6"/>
  <c r="T53" i="6"/>
  <c r="S53" i="6"/>
  <c r="P53" i="6"/>
  <c r="Q53" i="6" s="1"/>
  <c r="N53" i="6"/>
  <c r="M53" i="6"/>
  <c r="K53" i="6"/>
  <c r="J53" i="6"/>
  <c r="AM52" i="6"/>
  <c r="AN52" i="6" s="1"/>
  <c r="AI52" i="6"/>
  <c r="AF52" i="6"/>
  <c r="AE52" i="6"/>
  <c r="AC52" i="6"/>
  <c r="AB52" i="6"/>
  <c r="Y52" i="6"/>
  <c r="Z52" i="6" s="1"/>
  <c r="W52" i="6"/>
  <c r="V52" i="6"/>
  <c r="S52" i="6"/>
  <c r="T52" i="6" s="1"/>
  <c r="P52" i="6"/>
  <c r="Q52" i="6" s="1"/>
  <c r="N52" i="6"/>
  <c r="M52" i="6"/>
  <c r="J52" i="6"/>
  <c r="K52" i="6" s="1"/>
  <c r="AM51" i="6"/>
  <c r="AN51" i="6" s="1"/>
  <c r="AI51" i="6"/>
  <c r="AM50" i="6"/>
  <c r="AN50" i="6" s="1"/>
  <c r="AI50" i="6"/>
  <c r="AF50" i="6"/>
  <c r="AE50" i="6"/>
  <c r="AC50" i="6"/>
  <c r="AB50" i="6"/>
  <c r="Y50" i="6"/>
  <c r="Z50" i="6" s="1"/>
  <c r="W50" i="6"/>
  <c r="V50" i="6"/>
  <c r="S50" i="6"/>
  <c r="T50" i="6" s="1"/>
  <c r="P50" i="6"/>
  <c r="Q50" i="6" s="1"/>
  <c r="N50" i="6"/>
  <c r="M50" i="6"/>
  <c r="K50" i="6"/>
  <c r="J50" i="6"/>
  <c r="AM49" i="6"/>
  <c r="AN49" i="6" s="1"/>
  <c r="AI49" i="6"/>
  <c r="AF49" i="6"/>
  <c r="AE49" i="6"/>
  <c r="AC49" i="6"/>
  <c r="AB49" i="6"/>
  <c r="AG49" i="6" s="1"/>
  <c r="Y49" i="6"/>
  <c r="Z49" i="6" s="1"/>
  <c r="W49" i="6"/>
  <c r="V49" i="6"/>
  <c r="T49" i="6"/>
  <c r="S49" i="6"/>
  <c r="P49" i="6"/>
  <c r="Q49" i="6" s="1"/>
  <c r="N49" i="6"/>
  <c r="M49" i="6"/>
  <c r="K49" i="6"/>
  <c r="J49" i="6"/>
  <c r="AM48" i="6"/>
  <c r="AN48" i="6" s="1"/>
  <c r="AI48" i="6"/>
  <c r="AF48" i="6"/>
  <c r="AE48" i="6"/>
  <c r="AB48" i="6"/>
  <c r="AC48" i="6" s="1"/>
  <c r="Y48" i="6"/>
  <c r="Z48" i="6" s="1"/>
  <c r="W48" i="6"/>
  <c r="V48" i="6"/>
  <c r="T48" i="6"/>
  <c r="S48" i="6"/>
  <c r="P48" i="6"/>
  <c r="Q48" i="6" s="1"/>
  <c r="N48" i="6"/>
  <c r="M48" i="6"/>
  <c r="J48" i="6"/>
  <c r="K48" i="6" s="1"/>
  <c r="AM47" i="6"/>
  <c r="AN47" i="6" s="1"/>
  <c r="AI47" i="6"/>
  <c r="AF47" i="6"/>
  <c r="AE47" i="6"/>
  <c r="AC47" i="6"/>
  <c r="AB47" i="6"/>
  <c r="Y47" i="6"/>
  <c r="Z47" i="6" s="1"/>
  <c r="W47" i="6"/>
  <c r="V47" i="6"/>
  <c r="T47" i="6"/>
  <c r="S47" i="6"/>
  <c r="P47" i="6"/>
  <c r="Q47" i="6" s="1"/>
  <c r="N47" i="6"/>
  <c r="M47" i="6"/>
  <c r="K47" i="6"/>
  <c r="J47" i="6"/>
  <c r="AM46" i="6"/>
  <c r="AN46" i="6" s="1"/>
  <c r="AI46" i="6"/>
  <c r="AF46" i="6"/>
  <c r="AE46" i="6"/>
  <c r="AC46" i="6"/>
  <c r="AB46" i="6"/>
  <c r="AG46" i="6" s="1"/>
  <c r="Y46" i="6"/>
  <c r="Z46" i="6" s="1"/>
  <c r="W46" i="6"/>
  <c r="V46" i="6"/>
  <c r="S46" i="6"/>
  <c r="T46" i="6" s="1"/>
  <c r="P46" i="6"/>
  <c r="Q46" i="6" s="1"/>
  <c r="N46" i="6"/>
  <c r="M46" i="6"/>
  <c r="J46" i="6"/>
  <c r="K46" i="6" s="1"/>
  <c r="AM45" i="6"/>
  <c r="AN45" i="6" s="1"/>
  <c r="AI45" i="6"/>
  <c r="AF45" i="6"/>
  <c r="AE45" i="6"/>
  <c r="AC45" i="6"/>
  <c r="AB45" i="6"/>
  <c r="Z45" i="6"/>
  <c r="Y45" i="6"/>
  <c r="W45" i="6"/>
  <c r="V45" i="6"/>
  <c r="T45" i="6"/>
  <c r="S45" i="6"/>
  <c r="P45" i="6"/>
  <c r="Q45" i="6" s="1"/>
  <c r="N45" i="6"/>
  <c r="M45" i="6"/>
  <c r="K45" i="6"/>
  <c r="J45" i="6"/>
  <c r="AM44" i="6"/>
  <c r="AN44" i="6" s="1"/>
  <c r="AI44" i="6"/>
  <c r="AF44" i="6"/>
  <c r="AE44" i="6"/>
  <c r="AB44" i="6"/>
  <c r="AC44" i="6" s="1"/>
  <c r="Y44" i="6"/>
  <c r="Z44" i="6" s="1"/>
  <c r="W44" i="6"/>
  <c r="V44" i="6"/>
  <c r="T44" i="6"/>
  <c r="S44" i="6"/>
  <c r="P44" i="6"/>
  <c r="Q44" i="6" s="1"/>
  <c r="N44" i="6"/>
  <c r="M44" i="6"/>
  <c r="J44" i="6"/>
  <c r="K44" i="6" s="1"/>
  <c r="AM43" i="6"/>
  <c r="AN43" i="6" s="1"/>
  <c r="AM42" i="6"/>
  <c r="AN42" i="6" s="1"/>
  <c r="AI42" i="6"/>
  <c r="AF42" i="6"/>
  <c r="AE42" i="6"/>
  <c r="AG42" i="6" s="1"/>
  <c r="AB42" i="6"/>
  <c r="AC42" i="6" s="1"/>
  <c r="Z42" i="6"/>
  <c r="Y42" i="6"/>
  <c r="V42" i="6"/>
  <c r="W42" i="6" s="1"/>
  <c r="T42" i="6"/>
  <c r="S42" i="6"/>
  <c r="Q42" i="6"/>
  <c r="P42" i="6"/>
  <c r="N42" i="6"/>
  <c r="AH42" i="6" s="1"/>
  <c r="M42" i="6"/>
  <c r="J42" i="6"/>
  <c r="K42" i="6" s="1"/>
  <c r="AN41" i="6"/>
  <c r="AM41" i="6"/>
  <c r="AI41" i="6"/>
  <c r="AF41" i="6"/>
  <c r="AE41" i="6"/>
  <c r="AB41" i="6"/>
  <c r="AC41" i="6" s="1"/>
  <c r="Z41" i="6"/>
  <c r="Y41" i="6"/>
  <c r="V41" i="6"/>
  <c r="W41" i="6" s="1"/>
  <c r="S41" i="6"/>
  <c r="T41" i="6" s="1"/>
  <c r="Q41" i="6"/>
  <c r="P41" i="6"/>
  <c r="N41" i="6"/>
  <c r="AH41" i="6" s="1"/>
  <c r="M41" i="6"/>
  <c r="J41" i="6"/>
  <c r="K41" i="6" s="1"/>
  <c r="AN40" i="6"/>
  <c r="AM40" i="6"/>
  <c r="AI40" i="6"/>
  <c r="AF40" i="6"/>
  <c r="AE40" i="6"/>
  <c r="AC40" i="6"/>
  <c r="AB40" i="6"/>
  <c r="Z40" i="6"/>
  <c r="Y40" i="6"/>
  <c r="W40" i="6"/>
  <c r="V40" i="6"/>
  <c r="S40" i="6"/>
  <c r="T40" i="6" s="1"/>
  <c r="Q40" i="6"/>
  <c r="P40" i="6"/>
  <c r="M40" i="6"/>
  <c r="N40" i="6" s="1"/>
  <c r="AH40" i="6" s="1"/>
  <c r="J40" i="6"/>
  <c r="K40" i="6" s="1"/>
  <c r="AN39" i="6"/>
  <c r="AM39" i="6"/>
  <c r="AI39" i="6"/>
  <c r="AE39" i="6"/>
  <c r="AB39" i="6"/>
  <c r="AC39" i="6" s="1"/>
  <c r="Y39" i="6"/>
  <c r="Z39" i="6" s="1"/>
  <c r="V39" i="6"/>
  <c r="W39" i="6" s="1"/>
  <c r="S39" i="6"/>
  <c r="T39" i="6" s="1"/>
  <c r="Q39" i="6"/>
  <c r="P39" i="6"/>
  <c r="M39" i="6"/>
  <c r="N39" i="6" s="1"/>
  <c r="J39" i="6"/>
  <c r="K39" i="6" s="1"/>
  <c r="AN38" i="6"/>
  <c r="AM38" i="6"/>
  <c r="AI38" i="6"/>
  <c r="AF38" i="6"/>
  <c r="AE38" i="6"/>
  <c r="AB38" i="6"/>
  <c r="AC38" i="6" s="1"/>
  <c r="Z38" i="6"/>
  <c r="Y38" i="6"/>
  <c r="V38" i="6"/>
  <c r="W38" i="6" s="1"/>
  <c r="S38" i="6"/>
  <c r="T38" i="6" s="1"/>
  <c r="Q38" i="6"/>
  <c r="P38" i="6"/>
  <c r="N38" i="6"/>
  <c r="M38" i="6"/>
  <c r="J38" i="6"/>
  <c r="K38" i="6" s="1"/>
  <c r="AN37" i="6"/>
  <c r="AM37" i="6"/>
  <c r="AI37" i="6"/>
  <c r="AE37" i="6"/>
  <c r="AF37" i="6" s="1"/>
  <c r="AB37" i="6"/>
  <c r="AC37" i="6" s="1"/>
  <c r="Z37" i="6"/>
  <c r="Y37" i="6"/>
  <c r="V37" i="6"/>
  <c r="W37" i="6" s="1"/>
  <c r="S37" i="6"/>
  <c r="T37" i="6" s="1"/>
  <c r="Q37" i="6"/>
  <c r="P37" i="6"/>
  <c r="M37" i="6"/>
  <c r="N37" i="6" s="1"/>
  <c r="J37" i="6"/>
  <c r="K37" i="6" s="1"/>
  <c r="AN36" i="6"/>
  <c r="AM36" i="6"/>
  <c r="AI36" i="6"/>
  <c r="AE36" i="6"/>
  <c r="AB36" i="6"/>
  <c r="AC36" i="6" s="1"/>
  <c r="Z36" i="6"/>
  <c r="Y36" i="6"/>
  <c r="W36" i="6"/>
  <c r="V36" i="6"/>
  <c r="S36" i="6"/>
  <c r="T36" i="6" s="1"/>
  <c r="Q36" i="6"/>
  <c r="P36" i="6"/>
  <c r="N36" i="6"/>
  <c r="M36" i="6"/>
  <c r="K36" i="6"/>
  <c r="J36" i="6"/>
  <c r="AN35" i="6"/>
  <c r="AM35" i="6"/>
  <c r="AI35" i="6"/>
  <c r="AE35" i="6"/>
  <c r="AB35" i="6"/>
  <c r="AC35" i="6" s="1"/>
  <c r="Y35" i="6"/>
  <c r="Z35" i="6" s="1"/>
  <c r="V35" i="6"/>
  <c r="W35" i="6" s="1"/>
  <c r="S35" i="6"/>
  <c r="T35" i="6" s="1"/>
  <c r="Q35" i="6"/>
  <c r="P35" i="6"/>
  <c r="M35" i="6"/>
  <c r="N35" i="6" s="1"/>
  <c r="J35" i="6"/>
  <c r="K35" i="6" s="1"/>
  <c r="AN34" i="6"/>
  <c r="AM34" i="6"/>
  <c r="AI34" i="6"/>
  <c r="AE34" i="6"/>
  <c r="AB34" i="6"/>
  <c r="AC34" i="6" s="1"/>
  <c r="Z34" i="6"/>
  <c r="Y34" i="6"/>
  <c r="V34" i="6"/>
  <c r="W34" i="6" s="1"/>
  <c r="S34" i="6"/>
  <c r="T34" i="6" s="1"/>
  <c r="Q34" i="6"/>
  <c r="P34" i="6"/>
  <c r="N34" i="6"/>
  <c r="M34" i="6"/>
  <c r="J34" i="6"/>
  <c r="K34" i="6" s="1"/>
  <c r="AN33" i="6"/>
  <c r="AM33" i="6"/>
  <c r="AI33" i="6"/>
  <c r="AE33" i="6"/>
  <c r="AF33" i="6" s="1"/>
  <c r="AB33" i="6"/>
  <c r="AC33" i="6" s="1"/>
  <c r="Z33" i="6"/>
  <c r="Y33" i="6"/>
  <c r="V33" i="6"/>
  <c r="W33" i="6" s="1"/>
  <c r="S33" i="6"/>
  <c r="T33" i="6" s="1"/>
  <c r="Q33" i="6"/>
  <c r="P33" i="6"/>
  <c r="M33" i="6"/>
  <c r="N33" i="6" s="1"/>
  <c r="J33" i="6"/>
  <c r="K33" i="6" s="1"/>
  <c r="AN32" i="6"/>
  <c r="AM32" i="6"/>
  <c r="AI32" i="6"/>
  <c r="AE32" i="6"/>
  <c r="AB32" i="6"/>
  <c r="AC32" i="6" s="1"/>
  <c r="Z32" i="6"/>
  <c r="Y32" i="6"/>
  <c r="W32" i="6"/>
  <c r="V32" i="6"/>
  <c r="S32" i="6"/>
  <c r="T32" i="6" s="1"/>
  <c r="Q32" i="6"/>
  <c r="P32" i="6"/>
  <c r="N32" i="6"/>
  <c r="M32" i="6"/>
  <c r="K32" i="6"/>
  <c r="J32" i="6"/>
  <c r="AN31" i="6"/>
  <c r="AM31" i="6"/>
  <c r="AI31" i="6"/>
  <c r="AE31" i="6"/>
  <c r="AB31" i="6"/>
  <c r="AC31" i="6" s="1"/>
  <c r="Y31" i="6"/>
  <c r="Z31" i="6" s="1"/>
  <c r="V31" i="6"/>
  <c r="W31" i="6" s="1"/>
  <c r="S31" i="6"/>
  <c r="T31" i="6" s="1"/>
  <c r="Q31" i="6"/>
  <c r="P31" i="6"/>
  <c r="M31" i="6"/>
  <c r="N31" i="6" s="1"/>
  <c r="J31" i="6"/>
  <c r="K31" i="6" s="1"/>
  <c r="AN30" i="6"/>
  <c r="AM30" i="6"/>
  <c r="AI30" i="6"/>
  <c r="AE30" i="6"/>
  <c r="AB30" i="6"/>
  <c r="AC30" i="6" s="1"/>
  <c r="Z30" i="6"/>
  <c r="Y30" i="6"/>
  <c r="V30" i="6"/>
  <c r="W30" i="6" s="1"/>
  <c r="S30" i="6"/>
  <c r="T30" i="6" s="1"/>
  <c r="Q30" i="6"/>
  <c r="P30" i="6"/>
  <c r="N30" i="6"/>
  <c r="M30" i="6"/>
  <c r="J30" i="6"/>
  <c r="K30" i="6" s="1"/>
  <c r="AN29" i="6"/>
  <c r="AM29" i="6"/>
  <c r="AN28" i="6"/>
  <c r="AM28" i="6"/>
  <c r="AI28" i="6"/>
  <c r="AE28" i="6"/>
  <c r="AF28" i="6" s="1"/>
  <c r="AC28" i="6"/>
  <c r="AB28" i="6"/>
  <c r="Y28" i="6"/>
  <c r="AG28" i="6" s="1"/>
  <c r="V28" i="6"/>
  <c r="W28" i="6" s="1"/>
  <c r="T28" i="6"/>
  <c r="S28" i="6"/>
  <c r="P28" i="6"/>
  <c r="Q28" i="6" s="1"/>
  <c r="M28" i="6"/>
  <c r="N28" i="6" s="1"/>
  <c r="K28" i="6"/>
  <c r="J28" i="6"/>
  <c r="AM27" i="6"/>
  <c r="AN27" i="6" s="1"/>
  <c r="AI27" i="6"/>
  <c r="AF27" i="6"/>
  <c r="AE27" i="6"/>
  <c r="AC27" i="6"/>
  <c r="AB27" i="6"/>
  <c r="Y27" i="6"/>
  <c r="AG27" i="6" s="1"/>
  <c r="V27" i="6"/>
  <c r="W27" i="6" s="1"/>
  <c r="T27" i="6"/>
  <c r="S27" i="6"/>
  <c r="P27" i="6"/>
  <c r="Q27" i="6" s="1"/>
  <c r="M27" i="6"/>
  <c r="N27" i="6" s="1"/>
  <c r="K27" i="6"/>
  <c r="J27" i="6"/>
  <c r="AN26" i="6"/>
  <c r="AM26" i="6"/>
  <c r="AI26" i="6"/>
  <c r="AE26" i="6"/>
  <c r="AF26" i="6" s="1"/>
  <c r="AB26" i="6"/>
  <c r="AC26" i="6" s="1"/>
  <c r="Y26" i="6"/>
  <c r="Z26" i="6" s="1"/>
  <c r="V26" i="6"/>
  <c r="W26" i="6" s="1"/>
  <c r="T26" i="6"/>
  <c r="S26" i="6"/>
  <c r="P26" i="6"/>
  <c r="Q26" i="6" s="1"/>
  <c r="M26" i="6"/>
  <c r="N26" i="6" s="1"/>
  <c r="J26" i="6"/>
  <c r="K26" i="6" s="1"/>
  <c r="AM25" i="6"/>
  <c r="AN25" i="6" s="1"/>
  <c r="AI25" i="6"/>
  <c r="AE25" i="6"/>
  <c r="AF25" i="6" s="1"/>
  <c r="AC25" i="6"/>
  <c r="AB25" i="6"/>
  <c r="Z25" i="6"/>
  <c r="Y25" i="6"/>
  <c r="AG25" i="6" s="1"/>
  <c r="V25" i="6"/>
  <c r="W25" i="6" s="1"/>
  <c r="T25" i="6"/>
  <c r="S25" i="6"/>
  <c r="P25" i="6"/>
  <c r="Q25" i="6" s="1"/>
  <c r="M25" i="6"/>
  <c r="N25" i="6" s="1"/>
  <c r="K25" i="6"/>
  <c r="J25" i="6"/>
  <c r="AM24" i="6"/>
  <c r="AN24" i="6" s="1"/>
  <c r="AI24" i="6"/>
  <c r="AG24" i="6"/>
  <c r="AE24" i="6"/>
  <c r="AF24" i="6" s="1"/>
  <c r="AC24" i="6"/>
  <c r="AB24" i="6"/>
  <c r="Z24" i="6"/>
  <c r="Y24" i="6"/>
  <c r="V24" i="6"/>
  <c r="W24" i="6" s="1"/>
  <c r="T24" i="6"/>
  <c r="S24" i="6"/>
  <c r="Q24" i="6"/>
  <c r="P24" i="6"/>
  <c r="M24" i="6"/>
  <c r="N24" i="6" s="1"/>
  <c r="AH24" i="6" s="1"/>
  <c r="K24" i="6"/>
  <c r="J24" i="6"/>
  <c r="AN23" i="6"/>
  <c r="AM23" i="6"/>
  <c r="AI23" i="6"/>
  <c r="AF23" i="6"/>
  <c r="AE23" i="6"/>
  <c r="AG23" i="6" s="1"/>
  <c r="AC23" i="6"/>
  <c r="AB23" i="6"/>
  <c r="Y23" i="6"/>
  <c r="Z23" i="6" s="1"/>
  <c r="V23" i="6"/>
  <c r="W23" i="6" s="1"/>
  <c r="T23" i="6"/>
  <c r="S23" i="6"/>
  <c r="Q23" i="6"/>
  <c r="P23" i="6"/>
  <c r="M23" i="6"/>
  <c r="N23" i="6" s="1"/>
  <c r="AH23" i="6" s="1"/>
  <c r="K23" i="6"/>
  <c r="J23" i="6"/>
  <c r="AN22" i="6"/>
  <c r="AM22" i="6"/>
  <c r="AI22" i="6"/>
  <c r="AE22" i="6"/>
  <c r="AF22" i="6" s="1"/>
  <c r="AC22" i="6"/>
  <c r="AB22" i="6"/>
  <c r="Y22" i="6"/>
  <c r="Z22" i="6" s="1"/>
  <c r="V22" i="6"/>
  <c r="W22" i="6" s="1"/>
  <c r="T22" i="6"/>
  <c r="S22" i="6"/>
  <c r="P22" i="6"/>
  <c r="Q22" i="6" s="1"/>
  <c r="M22" i="6"/>
  <c r="N22" i="6" s="1"/>
  <c r="AH22" i="6" s="1"/>
  <c r="K22" i="6"/>
  <c r="J22" i="6"/>
  <c r="AN21" i="6"/>
  <c r="AM21" i="6"/>
  <c r="AI21" i="6"/>
  <c r="AE21" i="6"/>
  <c r="AF21" i="6" s="1"/>
  <c r="AC21" i="6"/>
  <c r="AB21" i="6"/>
  <c r="Z21" i="6"/>
  <c r="Y21" i="6"/>
  <c r="W21" i="6"/>
  <c r="V21" i="6"/>
  <c r="T21" i="6"/>
  <c r="S21" i="6"/>
  <c r="P21" i="6"/>
  <c r="Q21" i="6" s="1"/>
  <c r="AH21" i="6" s="1"/>
  <c r="M21" i="6"/>
  <c r="N21" i="6" s="1"/>
  <c r="K21" i="6"/>
  <c r="J21" i="6"/>
  <c r="AM20" i="6"/>
  <c r="AN20" i="6" s="1"/>
  <c r="AI20" i="6"/>
  <c r="AE20" i="6"/>
  <c r="AF20" i="6" s="1"/>
  <c r="AC20" i="6"/>
  <c r="AB20" i="6"/>
  <c r="Z20" i="6"/>
  <c r="Y20" i="6"/>
  <c r="W20" i="6"/>
  <c r="V20" i="6"/>
  <c r="S20" i="6"/>
  <c r="T20" i="6" s="1"/>
  <c r="P20" i="6"/>
  <c r="Q20" i="6" s="1"/>
  <c r="M20" i="6"/>
  <c r="N20" i="6" s="1"/>
  <c r="K20" i="6"/>
  <c r="J20" i="6"/>
  <c r="AM19" i="6"/>
  <c r="AN19" i="6" s="1"/>
  <c r="AI19" i="6"/>
  <c r="AE19" i="6"/>
  <c r="AG19" i="6" s="1"/>
  <c r="AC19" i="6"/>
  <c r="AB19" i="6"/>
  <c r="Y19" i="6"/>
  <c r="Z19" i="6" s="1"/>
  <c r="V19" i="6"/>
  <c r="W19" i="6" s="1"/>
  <c r="S19" i="6"/>
  <c r="T19" i="6" s="1"/>
  <c r="P19" i="6"/>
  <c r="Q19" i="6" s="1"/>
  <c r="N19" i="6"/>
  <c r="M19" i="6"/>
  <c r="K19" i="6"/>
  <c r="J19" i="6"/>
  <c r="AN18" i="6"/>
  <c r="AM18" i="6"/>
  <c r="AI18" i="6"/>
  <c r="AF18" i="6"/>
  <c r="AE18" i="6"/>
  <c r="AG18" i="6" s="1"/>
  <c r="AC18" i="6"/>
  <c r="AB18" i="6"/>
  <c r="Y18" i="6"/>
  <c r="Z18" i="6" s="1"/>
  <c r="V18" i="6"/>
  <c r="W18" i="6" s="1"/>
  <c r="T18" i="6"/>
  <c r="S18" i="6"/>
  <c r="Q18" i="6"/>
  <c r="P18" i="6"/>
  <c r="M18" i="6"/>
  <c r="N18" i="6" s="1"/>
  <c r="AH18" i="6" s="1"/>
  <c r="J18" i="6"/>
  <c r="K18" i="6" s="1"/>
  <c r="AN17" i="6"/>
  <c r="AM17" i="6"/>
  <c r="AI17" i="6"/>
  <c r="AE17" i="6"/>
  <c r="AF17" i="6" s="1"/>
  <c r="AC17" i="6"/>
  <c r="AB17" i="6"/>
  <c r="Y17" i="6"/>
  <c r="Z17" i="6" s="1"/>
  <c r="V17" i="6"/>
  <c r="W17" i="6" s="1"/>
  <c r="T17" i="6"/>
  <c r="S17" i="6"/>
  <c r="Q17" i="6"/>
  <c r="P17" i="6"/>
  <c r="M17" i="6"/>
  <c r="N17" i="6" s="1"/>
  <c r="J17" i="6"/>
  <c r="K17" i="6" s="1"/>
  <c r="AN16" i="6"/>
  <c r="AM16" i="6"/>
  <c r="AI16" i="6"/>
  <c r="AE16" i="6"/>
  <c r="AF16" i="6" s="1"/>
  <c r="AC16" i="6"/>
  <c r="AB16" i="6"/>
  <c r="Y16" i="6"/>
  <c r="AG16" i="6" s="1"/>
  <c r="V16" i="6"/>
  <c r="W16" i="6" s="1"/>
  <c r="T16" i="6"/>
  <c r="S16" i="6"/>
  <c r="Q16" i="6"/>
  <c r="P16" i="6"/>
  <c r="N16" i="6"/>
  <c r="M16" i="6"/>
  <c r="J16" i="6"/>
  <c r="K16" i="6" s="1"/>
  <c r="AM15" i="6"/>
  <c r="AN15" i="6" s="1"/>
  <c r="AJ15" i="6"/>
  <c r="AI15" i="6"/>
  <c r="AE15" i="6"/>
  <c r="AF15" i="6" s="1"/>
  <c r="AC15" i="6"/>
  <c r="AB15" i="6"/>
  <c r="Z15" i="6"/>
  <c r="Y15" i="6"/>
  <c r="W15" i="6"/>
  <c r="V15" i="6"/>
  <c r="T15" i="6"/>
  <c r="S15" i="6"/>
  <c r="P15" i="6"/>
  <c r="Q15" i="6" s="1"/>
  <c r="M15" i="6"/>
  <c r="AK15" i="6" s="1"/>
  <c r="K15" i="6"/>
  <c r="J15" i="6"/>
  <c r="AN14" i="6"/>
  <c r="AM14" i="6"/>
  <c r="AI14" i="6"/>
  <c r="AF14" i="6"/>
  <c r="AE14" i="6"/>
  <c r="AC14" i="6"/>
  <c r="AB14" i="6"/>
  <c r="Z14" i="6"/>
  <c r="Y14" i="6"/>
  <c r="V14" i="6"/>
  <c r="AG14" i="6" s="1"/>
  <c r="S14" i="6"/>
  <c r="T14" i="6" s="1"/>
  <c r="P14" i="6"/>
  <c r="Q14" i="6" s="1"/>
  <c r="N14" i="6"/>
  <c r="M14" i="6"/>
  <c r="K14" i="6"/>
  <c r="J14" i="6"/>
  <c r="AN13" i="6"/>
  <c r="AM13" i="6"/>
  <c r="AM12" i="6"/>
  <c r="AN12" i="6" s="1"/>
  <c r="AI12" i="6"/>
  <c r="AF12" i="6"/>
  <c r="AE12" i="6"/>
  <c r="AB12" i="6"/>
  <c r="AG12" i="6" s="1"/>
  <c r="Y12" i="6"/>
  <c r="Z12" i="6" s="1"/>
  <c r="W12" i="6"/>
  <c r="V12" i="6"/>
  <c r="T12" i="6"/>
  <c r="S12" i="6"/>
  <c r="Q12" i="6"/>
  <c r="P12" i="6"/>
  <c r="N12" i="6"/>
  <c r="M12" i="6"/>
  <c r="J12" i="6"/>
  <c r="K12" i="6" s="1"/>
  <c r="AM11" i="6"/>
  <c r="AN11" i="6" s="1"/>
  <c r="AI11" i="6"/>
  <c r="AE11" i="6"/>
  <c r="AF11" i="6" s="1"/>
  <c r="AB11" i="6"/>
  <c r="AC11" i="6" s="1"/>
  <c r="Z11" i="6"/>
  <c r="Y11" i="6"/>
  <c r="W11" i="6"/>
  <c r="V11" i="6"/>
  <c r="T11" i="6"/>
  <c r="S11" i="6"/>
  <c r="P11" i="6"/>
  <c r="AG11" i="6" s="1"/>
  <c r="M11" i="6"/>
  <c r="N11" i="6" s="1"/>
  <c r="J11" i="6"/>
  <c r="K11" i="6" s="1"/>
  <c r="AN10" i="6"/>
  <c r="AM10" i="6"/>
  <c r="AI10" i="6"/>
  <c r="AF10" i="6"/>
  <c r="AE10" i="6"/>
  <c r="AC10" i="6"/>
  <c r="AB10" i="6"/>
  <c r="Z10" i="6"/>
  <c r="Y10" i="6"/>
  <c r="W10" i="6"/>
  <c r="V10" i="6"/>
  <c r="S10" i="6"/>
  <c r="T10" i="6" s="1"/>
  <c r="T55" i="6" s="1"/>
  <c r="P10" i="6"/>
  <c r="Q10" i="6" s="1"/>
  <c r="N10" i="6"/>
  <c r="M10" i="6"/>
  <c r="K10" i="6"/>
  <c r="J10" i="6"/>
  <c r="AD96" i="4"/>
  <c r="AC96" i="4"/>
  <c r="AC97" i="4" s="1"/>
  <c r="AC100" i="4" s="1"/>
  <c r="G110" i="4" s="1"/>
  <c r="AA96" i="4"/>
  <c r="Z96" i="4"/>
  <c r="Z97" i="4" s="1"/>
  <c r="Z100" i="4" s="1"/>
  <c r="T96" i="4"/>
  <c r="T97" i="4" s="1"/>
  <c r="T100" i="4" s="1"/>
  <c r="H109" i="4" s="1"/>
  <c r="S96" i="4"/>
  <c r="Q96" i="4"/>
  <c r="P96" i="4"/>
  <c r="J96" i="4"/>
  <c r="J97" i="4" s="1"/>
  <c r="J100" i="4" s="1"/>
  <c r="H108" i="4" s="1"/>
  <c r="H111" i="4" s="1"/>
  <c r="I96" i="4"/>
  <c r="G96" i="4"/>
  <c r="G97" i="4" s="1"/>
  <c r="G100" i="4" s="1"/>
  <c r="F96" i="4"/>
  <c r="F97" i="4" s="1"/>
  <c r="F100" i="4" s="1"/>
  <c r="H95" i="4"/>
  <c r="H94" i="4"/>
  <c r="H93" i="4"/>
  <c r="H92" i="4"/>
  <c r="H91" i="4"/>
  <c r="H90" i="4"/>
  <c r="H89" i="4"/>
  <c r="H88" i="4"/>
  <c r="H86" i="4"/>
  <c r="H85" i="4"/>
  <c r="H84" i="4"/>
  <c r="H82" i="4"/>
  <c r="H79" i="4"/>
  <c r="H77" i="4"/>
  <c r="H76" i="4"/>
  <c r="H75" i="4"/>
  <c r="H74" i="4"/>
  <c r="H73" i="4"/>
  <c r="H72" i="4"/>
  <c r="H70" i="4"/>
  <c r="AD56" i="4"/>
  <c r="AD97" i="4" s="1"/>
  <c r="AD100" i="4" s="1"/>
  <c r="H110" i="4" s="1"/>
  <c r="AC56" i="4"/>
  <c r="AA56" i="4"/>
  <c r="AA97" i="4" s="1"/>
  <c r="AA100" i="4" s="1"/>
  <c r="F110" i="4" s="1"/>
  <c r="Z56" i="4"/>
  <c r="T56" i="4"/>
  <c r="S56" i="4"/>
  <c r="S97" i="4" s="1"/>
  <c r="S100" i="4" s="1"/>
  <c r="G109" i="4" s="1"/>
  <c r="Q56" i="4"/>
  <c r="Q97" i="4" s="1"/>
  <c r="Q100" i="4" s="1"/>
  <c r="F109" i="4" s="1"/>
  <c r="P56" i="4"/>
  <c r="P97" i="4" s="1"/>
  <c r="P100" i="4" s="1"/>
  <c r="J56" i="4"/>
  <c r="I56" i="4"/>
  <c r="I97" i="4" s="1"/>
  <c r="I100" i="4" s="1"/>
  <c r="G108" i="4" s="1"/>
  <c r="G111" i="4" s="1"/>
  <c r="G56" i="4"/>
  <c r="F56" i="4"/>
  <c r="AJ100" i="3"/>
  <c r="F100" i="3"/>
  <c r="G106" i="3" s="1"/>
  <c r="AM97" i="3"/>
  <c r="AM100" i="3" s="1"/>
  <c r="AJ97" i="3"/>
  <c r="AA97" i="3"/>
  <c r="AA100" i="3" s="1"/>
  <c r="T97" i="3"/>
  <c r="T100" i="3" s="1"/>
  <c r="I97" i="3"/>
  <c r="I100" i="3" s="1"/>
  <c r="F97" i="3"/>
  <c r="AN96" i="3"/>
  <c r="AM96" i="3"/>
  <c r="AK96" i="3"/>
  <c r="AJ96" i="3"/>
  <c r="AD96" i="3"/>
  <c r="AC96" i="3"/>
  <c r="AA96" i="3"/>
  <c r="Z96" i="3"/>
  <c r="T96" i="3"/>
  <c r="S96" i="3"/>
  <c r="Q96" i="3"/>
  <c r="P96" i="3"/>
  <c r="J96" i="3"/>
  <c r="I96" i="3"/>
  <c r="G96" i="3"/>
  <c r="F96" i="3"/>
  <c r="H95" i="3"/>
  <c r="H94" i="3"/>
  <c r="H93" i="3"/>
  <c r="H92" i="3"/>
  <c r="H91" i="3"/>
  <c r="H90" i="3"/>
  <c r="H89" i="3"/>
  <c r="H88" i="3"/>
  <c r="H86" i="3"/>
  <c r="H85" i="3"/>
  <c r="H84" i="3"/>
  <c r="H82" i="3"/>
  <c r="H79" i="3"/>
  <c r="H77" i="3"/>
  <c r="H76" i="3"/>
  <c r="H75" i="3"/>
  <c r="H74" i="3"/>
  <c r="H73" i="3"/>
  <c r="H72" i="3"/>
  <c r="H70" i="3"/>
  <c r="AN56" i="3"/>
  <c r="AN97" i="3" s="1"/>
  <c r="AN100" i="3" s="1"/>
  <c r="AM56" i="3"/>
  <c r="AK56" i="3"/>
  <c r="AK97" i="3" s="1"/>
  <c r="AK100" i="3" s="1"/>
  <c r="AJ56" i="3"/>
  <c r="AD56" i="3"/>
  <c r="AD97" i="3" s="1"/>
  <c r="AD100" i="3" s="1"/>
  <c r="AC56" i="3"/>
  <c r="AC97" i="3" s="1"/>
  <c r="AC100" i="3" s="1"/>
  <c r="AA56" i="3"/>
  <c r="Z56" i="3"/>
  <c r="Z97" i="3" s="1"/>
  <c r="Z100" i="3" s="1"/>
  <c r="T56" i="3"/>
  <c r="S56" i="3"/>
  <c r="S97" i="3" s="1"/>
  <c r="S100" i="3" s="1"/>
  <c r="Q56" i="3"/>
  <c r="Q97" i="3" s="1"/>
  <c r="Q100" i="3" s="1"/>
  <c r="P56" i="3"/>
  <c r="P97" i="3" s="1"/>
  <c r="P100" i="3" s="1"/>
  <c r="J56" i="3"/>
  <c r="J97" i="3" s="1"/>
  <c r="J100" i="3" s="1"/>
  <c r="I56" i="3"/>
  <c r="G56" i="3"/>
  <c r="G97" i="3" s="1"/>
  <c r="G100" i="3" s="1"/>
  <c r="F56" i="3"/>
  <c r="P52" i="3"/>
  <c r="S124" i="1"/>
  <c r="R124" i="1"/>
  <c r="O124" i="1"/>
  <c r="F124" i="1"/>
  <c r="S123" i="1"/>
  <c r="S122" i="1"/>
  <c r="S125" i="1" s="1"/>
  <c r="R119" i="1"/>
  <c r="R120" i="1" s="1"/>
  <c r="I119" i="1"/>
  <c r="U117" i="1"/>
  <c r="P117" i="1"/>
  <c r="G117" i="1"/>
  <c r="AA115" i="1"/>
  <c r="Y115" i="1"/>
  <c r="X115" i="1"/>
  <c r="U115" i="1"/>
  <c r="R115" i="1"/>
  <c r="R117" i="1" s="1"/>
  <c r="P115" i="1"/>
  <c r="O115" i="1"/>
  <c r="I115" i="1"/>
  <c r="I117" i="1" s="1"/>
  <c r="G115" i="1"/>
  <c r="F115" i="1"/>
  <c r="AA113" i="1"/>
  <c r="Y113" i="1"/>
  <c r="X113" i="1"/>
  <c r="U113" i="1"/>
  <c r="R113" i="1"/>
  <c r="P113" i="1"/>
  <c r="O113" i="1"/>
  <c r="I113" i="1"/>
  <c r="G113" i="1"/>
  <c r="F113" i="1"/>
  <c r="AB104" i="1"/>
  <c r="AA104" i="1"/>
  <c r="AA105" i="1" s="1"/>
  <c r="AA108" i="1" s="1"/>
  <c r="Y104" i="1"/>
  <c r="X104" i="1"/>
  <c r="X105" i="1" s="1"/>
  <c r="X108" i="1" s="1"/>
  <c r="S104" i="1"/>
  <c r="S105" i="1" s="1"/>
  <c r="S108" i="1" s="1"/>
  <c r="H107" i="4" s="1"/>
  <c r="H112" i="4" s="1"/>
  <c r="R104" i="1"/>
  <c r="R105" i="1" s="1"/>
  <c r="R108" i="1" s="1"/>
  <c r="G107" i="4" s="1"/>
  <c r="G112" i="4" s="1"/>
  <c r="P104" i="1"/>
  <c r="O104" i="1"/>
  <c r="J104" i="1"/>
  <c r="I104" i="1"/>
  <c r="I105" i="1" s="1"/>
  <c r="I108" i="1" s="1"/>
  <c r="G104" i="1"/>
  <c r="F104" i="1"/>
  <c r="AM103" i="1"/>
  <c r="AL103" i="1"/>
  <c r="AH103" i="1"/>
  <c r="AN102" i="1"/>
  <c r="AO102" i="1" s="1"/>
  <c r="AJ102" i="1"/>
  <c r="AO100" i="1"/>
  <c r="AN100" i="1"/>
  <c r="AJ100" i="1"/>
  <c r="AG100" i="1"/>
  <c r="AG99" i="1"/>
  <c r="AG98" i="1"/>
  <c r="AN97" i="1"/>
  <c r="AO97" i="1" s="1"/>
  <c r="AJ97" i="1"/>
  <c r="AG97" i="1"/>
  <c r="AN96" i="1"/>
  <c r="AJ96" i="1"/>
  <c r="AO96" i="1" s="1"/>
  <c r="AG96" i="1"/>
  <c r="AN95" i="1"/>
  <c r="AN103" i="1" s="1"/>
  <c r="AJ95" i="1"/>
  <c r="AG95" i="1"/>
  <c r="W95" i="1"/>
  <c r="AG94" i="1"/>
  <c r="AN93" i="1"/>
  <c r="AJ93" i="1"/>
  <c r="AO93" i="1" s="1"/>
  <c r="AG93" i="1"/>
  <c r="AO92" i="1"/>
  <c r="AN92" i="1"/>
  <c r="AJ92" i="1"/>
  <c r="AG92" i="1"/>
  <c r="AN91" i="1"/>
  <c r="AO91" i="1" s="1"/>
  <c r="AJ91" i="1"/>
  <c r="AG91" i="1"/>
  <c r="AN89" i="1"/>
  <c r="AJ89" i="1"/>
  <c r="AO89" i="1" s="1"/>
  <c r="AG89" i="1"/>
  <c r="AN87" i="1"/>
  <c r="AI87" i="1"/>
  <c r="AJ87" i="1" s="1"/>
  <c r="AH87" i="1"/>
  <c r="AB57" i="1"/>
  <c r="AB105" i="1" s="1"/>
  <c r="AB108" i="1" s="1"/>
  <c r="AA57" i="1"/>
  <c r="Y57" i="1"/>
  <c r="Y105" i="1" s="1"/>
  <c r="Y108" i="1" s="1"/>
  <c r="X57" i="1"/>
  <c r="S57" i="1"/>
  <c r="R57" i="1"/>
  <c r="P57" i="1"/>
  <c r="P105" i="1" s="1"/>
  <c r="P108" i="1" s="1"/>
  <c r="F107" i="4" s="1"/>
  <c r="O57" i="1"/>
  <c r="O105" i="1" s="1"/>
  <c r="O108" i="1" s="1"/>
  <c r="E107" i="4" s="1"/>
  <c r="J57" i="1"/>
  <c r="J105" i="1" s="1"/>
  <c r="J108" i="1" s="1"/>
  <c r="I57" i="1"/>
  <c r="G57" i="1"/>
  <c r="G105" i="1" s="1"/>
  <c r="G108" i="1" s="1"/>
  <c r="G119" i="1" s="1"/>
  <c r="F57" i="1"/>
  <c r="F105" i="1" s="1"/>
  <c r="F108" i="1" s="1"/>
  <c r="F103" i="4" l="1"/>
  <c r="E108" i="4"/>
  <c r="F105" i="4"/>
  <c r="K104" i="7"/>
  <c r="AC106" i="6"/>
  <c r="P102" i="4"/>
  <c r="F108" i="4"/>
  <c r="F111" i="4" s="1"/>
  <c r="F112" i="4" s="1"/>
  <c r="J101" i="4"/>
  <c r="AH34" i="6"/>
  <c r="L104" i="7"/>
  <c r="AF106" i="6"/>
  <c r="Z102" i="4"/>
  <c r="AH35" i="6"/>
  <c r="AH36" i="6"/>
  <c r="AH37" i="6"/>
  <c r="AJ103" i="1"/>
  <c r="AO87" i="1"/>
  <c r="AO103" i="1" s="1"/>
  <c r="I120" i="1"/>
  <c r="AH20" i="6"/>
  <c r="E109" i="4"/>
  <c r="T102" i="4"/>
  <c r="P103" i="4"/>
  <c r="Z103" i="4"/>
  <c r="AD102" i="4"/>
  <c r="E110" i="4"/>
  <c r="AH16" i="6"/>
  <c r="AH17" i="6"/>
  <c r="AH25" i="6"/>
  <c r="AH26" i="6"/>
  <c r="AH33" i="6"/>
  <c r="AH38" i="6"/>
  <c r="AG17" i="6"/>
  <c r="AG22" i="6"/>
  <c r="AG30" i="6"/>
  <c r="AG32" i="6"/>
  <c r="AG34" i="6"/>
  <c r="AG36" i="6"/>
  <c r="AG38" i="6"/>
  <c r="AH45" i="6"/>
  <c r="AI103" i="1"/>
  <c r="Z16" i="6"/>
  <c r="Z55" i="6" s="1"/>
  <c r="Z96" i="6" s="1"/>
  <c r="Z99" i="6" s="1"/>
  <c r="Z28" i="6"/>
  <c r="AH28" i="6" s="1"/>
  <c r="AF30" i="6"/>
  <c r="AH30" i="6" s="1"/>
  <c r="AF32" i="6"/>
  <c r="AH32" i="6" s="1"/>
  <c r="AF34" i="6"/>
  <c r="AF36" i="6"/>
  <c r="AH48" i="6"/>
  <c r="AG52" i="6"/>
  <c r="I99" i="6"/>
  <c r="AM96" i="6"/>
  <c r="W95" i="6"/>
  <c r="AG76" i="6"/>
  <c r="AG81" i="6"/>
  <c r="AG85" i="6"/>
  <c r="I105" i="7"/>
  <c r="J55" i="6"/>
  <c r="E22" i="11"/>
  <c r="G21" i="11"/>
  <c r="AO95" i="1"/>
  <c r="Q11" i="6"/>
  <c r="Q55" i="6" s="1"/>
  <c r="Q96" i="6" s="1"/>
  <c r="Q99" i="6" s="1"/>
  <c r="W14" i="6"/>
  <c r="AH14" i="6" s="1"/>
  <c r="AF19" i="6"/>
  <c r="AH19" i="6" s="1"/>
  <c r="AG26" i="6"/>
  <c r="AH52" i="6"/>
  <c r="F104" i="7"/>
  <c r="Z95" i="6"/>
  <c r="AG69" i="6"/>
  <c r="AH72" i="6"/>
  <c r="AG89" i="6"/>
  <c r="AF89" i="6"/>
  <c r="AH89" i="6" s="1"/>
  <c r="P54" i="7"/>
  <c r="K55" i="6"/>
  <c r="O96" i="6"/>
  <c r="O99" i="6" s="1"/>
  <c r="G55" i="6"/>
  <c r="AM55" i="6"/>
  <c r="AN55" i="6" s="1"/>
  <c r="AG10" i="6"/>
  <c r="AG31" i="6"/>
  <c r="AG35" i="6"/>
  <c r="AG39" i="6"/>
  <c r="AG41" i="6"/>
  <c r="AG44" i="6"/>
  <c r="AH46" i="6"/>
  <c r="AH49" i="6"/>
  <c r="H104" i="7"/>
  <c r="AH62" i="6"/>
  <c r="AC83" i="6"/>
  <c r="X54" i="7"/>
  <c r="G105" i="3"/>
  <c r="AH10" i="6"/>
  <c r="N15" i="6"/>
  <c r="AH15" i="6" s="1"/>
  <c r="AG21" i="6"/>
  <c r="Z27" i="6"/>
  <c r="AH27" i="6" s="1"/>
  <c r="AF31" i="6"/>
  <c r="AH31" i="6" s="1"/>
  <c r="AF35" i="6"/>
  <c r="AF39" i="6"/>
  <c r="AH39" i="6" s="1"/>
  <c r="K95" i="6"/>
  <c r="AH76" i="6"/>
  <c r="AH81" i="6"/>
  <c r="AG91" i="6"/>
  <c r="AG15" i="6"/>
  <c r="AG33" i="6"/>
  <c r="AG37" i="6"/>
  <c r="AH44" i="6"/>
  <c r="AG50" i="6"/>
  <c r="AH53" i="6"/>
  <c r="I104" i="7"/>
  <c r="W106" i="6"/>
  <c r="AH59" i="6"/>
  <c r="AG71" i="6"/>
  <c r="AC71" i="6"/>
  <c r="AC95" i="6" s="1"/>
  <c r="AH73" i="6"/>
  <c r="AC12" i="6"/>
  <c r="AH12" i="6" s="1"/>
  <c r="AG45" i="6"/>
  <c r="AG47" i="6"/>
  <c r="J104" i="7"/>
  <c r="N95" i="6"/>
  <c r="AG64" i="6"/>
  <c r="AF64" i="6"/>
  <c r="AG78" i="6"/>
  <c r="AF78" i="6"/>
  <c r="AH78" i="6" s="1"/>
  <c r="AG87" i="6"/>
  <c r="H18" i="13"/>
  <c r="AC55" i="6"/>
  <c r="AH47" i="6"/>
  <c r="AH50" i="6"/>
  <c r="AG54" i="6"/>
  <c r="P95" i="6"/>
  <c r="P96" i="6" s="1"/>
  <c r="AG60" i="6"/>
  <c r="AF60" i="6"/>
  <c r="AH60" i="6" s="1"/>
  <c r="AH94" i="6"/>
  <c r="E21" i="9"/>
  <c r="G20" i="9"/>
  <c r="W55" i="6"/>
  <c r="W96" i="6" s="1"/>
  <c r="W99" i="6" s="1"/>
  <c r="AH83" i="6"/>
  <c r="L105" i="7"/>
  <c r="AG20" i="6"/>
  <c r="AG40" i="6"/>
  <c r="AG48" i="6"/>
  <c r="AH54" i="6"/>
  <c r="T95" i="6"/>
  <c r="T96" i="6" s="1"/>
  <c r="T99" i="6" s="1"/>
  <c r="AH64" i="6"/>
  <c r="AG65" i="6"/>
  <c r="AG68" i="6"/>
  <c r="AH74" i="6"/>
  <c r="AG88" i="6"/>
  <c r="AF88" i="6"/>
  <c r="AH88" i="6" s="1"/>
  <c r="S54" i="7"/>
  <c r="X47" i="7"/>
  <c r="Z67" i="7"/>
  <c r="X82" i="7"/>
  <c r="T94" i="7"/>
  <c r="T95" i="7" s="1"/>
  <c r="T98" i="7" s="1"/>
  <c r="X89" i="7"/>
  <c r="Z92" i="7"/>
  <c r="J42" i="12"/>
  <c r="AH98" i="6"/>
  <c r="T54" i="7"/>
  <c r="H105" i="7"/>
  <c r="H81" i="8"/>
  <c r="G81" i="8"/>
  <c r="C19" i="13"/>
  <c r="D18" i="13"/>
  <c r="Z63" i="7"/>
  <c r="H55" i="8"/>
  <c r="G55" i="8"/>
  <c r="I42" i="12"/>
  <c r="I47" i="12"/>
  <c r="L47" i="12" s="1"/>
  <c r="L41" i="12"/>
  <c r="L42" i="12" s="1"/>
  <c r="X41" i="7"/>
  <c r="F105" i="7"/>
  <c r="G72" i="8"/>
  <c r="X36" i="7"/>
  <c r="X86" i="7"/>
  <c r="H58" i="8"/>
  <c r="H72" i="8"/>
  <c r="H90" i="8" s="1"/>
  <c r="H134" i="8" s="1"/>
  <c r="H137" i="8" s="1"/>
  <c r="H17" i="11"/>
  <c r="X35" i="7"/>
  <c r="T57" i="15"/>
  <c r="AC75" i="6"/>
  <c r="AH75" i="6" s="1"/>
  <c r="AC85" i="6"/>
  <c r="AH85" i="6" s="1"/>
  <c r="G96" i="6"/>
  <c r="G99" i="6" s="1"/>
  <c r="N106" i="6" s="1"/>
  <c r="O54" i="7"/>
  <c r="O95" i="7" s="1"/>
  <c r="O98" i="7" s="1"/>
  <c r="X34" i="7"/>
  <c r="X84" i="7"/>
  <c r="P94" i="7"/>
  <c r="P95" i="7" s="1"/>
  <c r="P98" i="7" s="1"/>
  <c r="J95" i="7"/>
  <c r="J98" i="7" s="1"/>
  <c r="J105" i="7" s="1"/>
  <c r="F15" i="8"/>
  <c r="I10" i="8"/>
  <c r="I11" i="8" s="1"/>
  <c r="H141" i="8" s="1"/>
  <c r="H10" i="8"/>
  <c r="H11" i="8" s="1"/>
  <c r="E141" i="8" s="1"/>
  <c r="H75" i="8"/>
  <c r="G75" i="8"/>
  <c r="L30" i="12"/>
  <c r="C43" i="12"/>
  <c r="AF87" i="6"/>
  <c r="AH87" i="6" s="1"/>
  <c r="AF98" i="6"/>
  <c r="Z71" i="7"/>
  <c r="Q95" i="7"/>
  <c r="Q98" i="7" s="1"/>
  <c r="K95" i="7"/>
  <c r="K98" i="7" s="1"/>
  <c r="K105" i="7" s="1"/>
  <c r="H8" i="9"/>
  <c r="H14" i="11"/>
  <c r="AH97" i="6"/>
  <c r="Q54" i="7"/>
  <c r="X48" i="7"/>
  <c r="Z70" i="7"/>
  <c r="X83" i="7"/>
  <c r="R95" i="7"/>
  <c r="R98" i="7" s="1"/>
  <c r="X90" i="7"/>
  <c r="H83" i="8"/>
  <c r="G83" i="8"/>
  <c r="F13" i="12"/>
  <c r="B14" i="12" s="1"/>
  <c r="E13" i="12"/>
  <c r="Z54" i="7"/>
  <c r="Z68" i="7"/>
  <c r="S94" i="7"/>
  <c r="S95" i="7" s="1"/>
  <c r="S98" i="7" s="1"/>
  <c r="Z93" i="7"/>
  <c r="N95" i="7"/>
  <c r="N98" i="7" s="1"/>
  <c r="G13" i="13"/>
  <c r="H13" i="13" s="1"/>
  <c r="F40" i="8"/>
  <c r="F41" i="8" s="1"/>
  <c r="L11" i="8"/>
  <c r="C19" i="9"/>
  <c r="E20" i="13"/>
  <c r="C20" i="11"/>
  <c r="I46" i="12"/>
  <c r="J46" i="12"/>
  <c r="J48" i="12" s="1"/>
  <c r="G19" i="9"/>
  <c r="K46" i="12"/>
  <c r="K48" i="12" s="1"/>
  <c r="H8" i="13"/>
  <c r="M10" i="8"/>
  <c r="H8" i="11"/>
  <c r="E95" i="7"/>
  <c r="E98" i="7" s="1"/>
  <c r="G13" i="9"/>
  <c r="H13" i="9" s="1"/>
  <c r="AC96" i="6" l="1"/>
  <c r="AC99" i="6" s="1"/>
  <c r="N55" i="6"/>
  <c r="N96" i="6" s="1"/>
  <c r="N99" i="6" s="1"/>
  <c r="D62" i="8"/>
  <c r="N11" i="8"/>
  <c r="D64" i="8" s="1"/>
  <c r="M11" i="8"/>
  <c r="D63" i="8" s="1"/>
  <c r="AF95" i="6"/>
  <c r="K96" i="6"/>
  <c r="K99" i="6" s="1"/>
  <c r="AF55" i="6"/>
  <c r="E22" i="9"/>
  <c r="G21" i="9"/>
  <c r="AH71" i="6"/>
  <c r="AH11" i="6"/>
  <c r="F14" i="12"/>
  <c r="B15" i="12" s="1"/>
  <c r="D14" i="12"/>
  <c r="H19" i="9"/>
  <c r="AN96" i="6"/>
  <c r="AM99" i="6"/>
  <c r="E104" i="7"/>
  <c r="E105" i="7" s="1"/>
  <c r="G108" i="6"/>
  <c r="K106" i="6"/>
  <c r="G107" i="6"/>
  <c r="I107" i="6"/>
  <c r="L107" i="6" s="1"/>
  <c r="O107" i="6" s="1"/>
  <c r="R107" i="6" s="1"/>
  <c r="U107" i="6" s="1"/>
  <c r="X107" i="6" s="1"/>
  <c r="L46" i="12"/>
  <c r="L48" i="12" s="1"/>
  <c r="I48" i="12"/>
  <c r="G90" i="8"/>
  <c r="E134" i="8" s="1"/>
  <c r="E137" i="8" s="1"/>
  <c r="W98" i="7"/>
  <c r="G22" i="11"/>
  <c r="E23" i="11"/>
  <c r="C21" i="11"/>
  <c r="D20" i="11"/>
  <c r="T106" i="6"/>
  <c r="E111" i="4"/>
  <c r="E112" i="4" s="1"/>
  <c r="X98" i="7"/>
  <c r="E21" i="13"/>
  <c r="G20" i="13"/>
  <c r="C20" i="9"/>
  <c r="D19" i="9"/>
  <c r="D19" i="13"/>
  <c r="C20" i="13"/>
  <c r="Z106" i="6"/>
  <c r="G104" i="7"/>
  <c r="G105" i="7" s="1"/>
  <c r="Q106" i="6"/>
  <c r="AH106" i="6" l="1"/>
  <c r="H63" i="8"/>
  <c r="G63" i="8"/>
  <c r="H20" i="11"/>
  <c r="H64" i="8"/>
  <c r="G64" i="8"/>
  <c r="F15" i="12"/>
  <c r="B16" i="12" s="1"/>
  <c r="D15" i="12"/>
  <c r="E15" i="12" s="1"/>
  <c r="D20" i="9"/>
  <c r="H20" i="9" s="1"/>
  <c r="C21" i="9"/>
  <c r="E23" i="9"/>
  <c r="G22" i="9"/>
  <c r="H62" i="8"/>
  <c r="G62" i="8"/>
  <c r="E14" i="12"/>
  <c r="D21" i="11"/>
  <c r="H21" i="11" s="1"/>
  <c r="C22" i="11"/>
  <c r="AF96" i="6"/>
  <c r="AF99" i="6" s="1"/>
  <c r="AK99" i="6" s="1"/>
  <c r="C21" i="13"/>
  <c r="D20" i="13"/>
  <c r="H19" i="13"/>
  <c r="H20" i="13"/>
  <c r="G21" i="13"/>
  <c r="E22" i="13"/>
  <c r="E24" i="11"/>
  <c r="G23" i="11"/>
  <c r="C23" i="11" l="1"/>
  <c r="D22" i="11"/>
  <c r="H22" i="11" s="1"/>
  <c r="D16" i="12"/>
  <c r="E16" i="12" s="1"/>
  <c r="F16" i="12"/>
  <c r="B17" i="12" s="1"/>
  <c r="D21" i="13"/>
  <c r="C22" i="13"/>
  <c r="G24" i="11"/>
  <c r="E25" i="11"/>
  <c r="H67" i="8"/>
  <c r="H145" i="8" s="1"/>
  <c r="H148" i="8" s="1"/>
  <c r="H150" i="8" s="1"/>
  <c r="E24" i="9"/>
  <c r="G23" i="9"/>
  <c r="G67" i="8"/>
  <c r="E145" i="8" s="1"/>
  <c r="E148" i="8" s="1"/>
  <c r="E150" i="8" s="1"/>
  <c r="E23" i="13"/>
  <c r="G22" i="13"/>
  <c r="C22" i="9"/>
  <c r="D21" i="9"/>
  <c r="H21" i="9" s="1"/>
  <c r="E25" i="9" l="1"/>
  <c r="G24" i="9"/>
  <c r="D22" i="9"/>
  <c r="H22" i="9" s="1"/>
  <c r="C23" i="9"/>
  <c r="F17" i="12"/>
  <c r="B18" i="12" s="1"/>
  <c r="D17" i="12"/>
  <c r="E26" i="11"/>
  <c r="G25" i="11"/>
  <c r="H21" i="13"/>
  <c r="D23" i="11"/>
  <c r="C24" i="11"/>
  <c r="H22" i="13"/>
  <c r="G23" i="13"/>
  <c r="E24" i="13"/>
  <c r="C23" i="13"/>
  <c r="D22" i="13"/>
  <c r="C24" i="9" l="1"/>
  <c r="D23" i="9"/>
  <c r="H23" i="9" s="1"/>
  <c r="C25" i="11"/>
  <c r="D24" i="11"/>
  <c r="H24" i="11" s="1"/>
  <c r="D23" i="13"/>
  <c r="H23" i="13" s="1"/>
  <c r="C24" i="13"/>
  <c r="E25" i="13"/>
  <c r="G24" i="13"/>
  <c r="G26" i="11"/>
  <c r="E27" i="11"/>
  <c r="E17" i="12"/>
  <c r="E26" i="9"/>
  <c r="G25" i="9"/>
  <c r="H23" i="11"/>
  <c r="F18" i="12"/>
  <c r="B19" i="12" s="1"/>
  <c r="D18" i="12"/>
  <c r="E18" i="12" s="1"/>
  <c r="F19" i="12" l="1"/>
  <c r="B20" i="12" s="1"/>
  <c r="D19" i="12"/>
  <c r="E19" i="12" s="1"/>
  <c r="G25" i="13"/>
  <c r="E26" i="13"/>
  <c r="E28" i="11"/>
  <c r="G27" i="11"/>
  <c r="D25" i="11"/>
  <c r="H25" i="11" s="1"/>
  <c r="C26" i="11"/>
  <c r="C25" i="13"/>
  <c r="D24" i="13"/>
  <c r="E27" i="9"/>
  <c r="G26" i="9"/>
  <c r="H24" i="13"/>
  <c r="D24" i="9"/>
  <c r="H24" i="9" s="1"/>
  <c r="C25" i="9"/>
  <c r="G28" i="11" l="1"/>
  <c r="E29" i="11"/>
  <c r="E28" i="9"/>
  <c r="G27" i="9"/>
  <c r="E27" i="13"/>
  <c r="G26" i="13"/>
  <c r="H25" i="13"/>
  <c r="F20" i="12"/>
  <c r="B21" i="12" s="1"/>
  <c r="D20" i="12"/>
  <c r="E20" i="12" s="1"/>
  <c r="C27" i="11"/>
  <c r="D26" i="11"/>
  <c r="H26" i="11" s="1"/>
  <c r="D25" i="13"/>
  <c r="C26" i="13"/>
  <c r="C26" i="9"/>
  <c r="D25" i="9"/>
  <c r="H25" i="9" s="1"/>
  <c r="F21" i="12" l="1"/>
  <c r="B22" i="12" s="1"/>
  <c r="D21" i="12"/>
  <c r="E21" i="12" s="1"/>
  <c r="G27" i="13"/>
  <c r="E28" i="13"/>
  <c r="D26" i="9"/>
  <c r="H26" i="9" s="1"/>
  <c r="C27" i="9"/>
  <c r="C27" i="13"/>
  <c r="D26" i="13"/>
  <c r="H26" i="13" s="1"/>
  <c r="E29" i="9"/>
  <c r="G28" i="9"/>
  <c r="E30" i="11"/>
  <c r="G29" i="11"/>
  <c r="D27" i="11"/>
  <c r="H27" i="11" s="1"/>
  <c r="C28" i="11"/>
  <c r="D27" i="13" l="1"/>
  <c r="C28" i="13"/>
  <c r="C29" i="11"/>
  <c r="D28" i="11"/>
  <c r="H28" i="11" s="1"/>
  <c r="E29" i="13"/>
  <c r="G28" i="13"/>
  <c r="H27" i="13"/>
  <c r="G30" i="11"/>
  <c r="E31" i="11"/>
  <c r="E30" i="9"/>
  <c r="G29" i="9"/>
  <c r="C28" i="9"/>
  <c r="D27" i="9"/>
  <c r="H27" i="9" s="1"/>
  <c r="D22" i="12"/>
  <c r="E22" i="12" s="1"/>
  <c r="F22" i="12"/>
  <c r="B23" i="12" s="1"/>
  <c r="D29" i="11" l="1"/>
  <c r="H29" i="11" s="1"/>
  <c r="C30" i="11"/>
  <c r="E31" i="9"/>
  <c r="G30" i="9"/>
  <c r="G29" i="13"/>
  <c r="E30" i="13"/>
  <c r="C29" i="13"/>
  <c r="D28" i="13"/>
  <c r="H28" i="13" s="1"/>
  <c r="E32" i="11"/>
  <c r="G31" i="11"/>
  <c r="F23" i="12"/>
  <c r="B24" i="12" s="1"/>
  <c r="D23" i="12"/>
  <c r="E23" i="12" s="1"/>
  <c r="D28" i="9"/>
  <c r="H28" i="9" s="1"/>
  <c r="C29" i="9"/>
  <c r="D29" i="13" l="1"/>
  <c r="C30" i="13"/>
  <c r="E32" i="9"/>
  <c r="G31" i="9"/>
  <c r="H29" i="13"/>
  <c r="C31" i="11"/>
  <c r="D30" i="11"/>
  <c r="H30" i="11" s="1"/>
  <c r="G32" i="11"/>
  <c r="E33" i="11"/>
  <c r="E31" i="13"/>
  <c r="G30" i="13"/>
  <c r="C30" i="9"/>
  <c r="D29" i="9"/>
  <c r="H29" i="9" s="1"/>
  <c r="F24" i="12"/>
  <c r="B25" i="12" s="1"/>
  <c r="D24" i="12"/>
  <c r="E24" i="12" s="1"/>
  <c r="E34" i="11" l="1"/>
  <c r="G33" i="11"/>
  <c r="E33" i="9"/>
  <c r="G32" i="9"/>
  <c r="C31" i="13"/>
  <c r="D30" i="13"/>
  <c r="H30" i="13" s="1"/>
  <c r="G31" i="13"/>
  <c r="E32" i="13"/>
  <c r="D31" i="11"/>
  <c r="H31" i="11" s="1"/>
  <c r="C32" i="11"/>
  <c r="F25" i="12"/>
  <c r="B26" i="12" s="1"/>
  <c r="D25" i="12"/>
  <c r="E25" i="12" s="1"/>
  <c r="D30" i="9"/>
  <c r="H30" i="9" s="1"/>
  <c r="C31" i="9"/>
  <c r="C32" i="9" l="1"/>
  <c r="D31" i="9"/>
  <c r="H31" i="9" s="1"/>
  <c r="D31" i="13"/>
  <c r="H31" i="13" s="1"/>
  <c r="C32" i="13"/>
  <c r="C33" i="11"/>
  <c r="D32" i="11"/>
  <c r="H32" i="11" s="1"/>
  <c r="E33" i="13"/>
  <c r="G32" i="13"/>
  <c r="E34" i="9"/>
  <c r="G33" i="9"/>
  <c r="D26" i="12"/>
  <c r="E26" i="12" s="1"/>
  <c r="F26" i="12"/>
  <c r="B27" i="12" s="1"/>
  <c r="G34" i="11"/>
  <c r="E35" i="11"/>
  <c r="D33" i="11" l="1"/>
  <c r="H33" i="11" s="1"/>
  <c r="C34" i="11"/>
  <c r="H32" i="13"/>
  <c r="G33" i="13"/>
  <c r="E34" i="13"/>
  <c r="F27" i="12"/>
  <c r="B28" i="12" s="1"/>
  <c r="D27" i="12"/>
  <c r="E27" i="12" s="1"/>
  <c r="E36" i="11"/>
  <c r="G35" i="11"/>
  <c r="E35" i="9"/>
  <c r="G34" i="9"/>
  <c r="C33" i="13"/>
  <c r="D32" i="13"/>
  <c r="D32" i="9"/>
  <c r="H32" i="9" s="1"/>
  <c r="C33" i="9"/>
  <c r="E36" i="9" l="1"/>
  <c r="G35" i="9"/>
  <c r="G36" i="11"/>
  <c r="E37" i="11"/>
  <c r="E35" i="13"/>
  <c r="G34" i="13"/>
  <c r="C35" i="11"/>
  <c r="D34" i="11"/>
  <c r="H34" i="11" s="1"/>
  <c r="F28" i="12"/>
  <c r="B29" i="12" s="1"/>
  <c r="D28" i="12"/>
  <c r="E28" i="12" s="1"/>
  <c r="C34" i="9"/>
  <c r="D33" i="9"/>
  <c r="H33" i="9" s="1"/>
  <c r="D33" i="13"/>
  <c r="H33" i="13" s="1"/>
  <c r="C34" i="13"/>
  <c r="E37" i="9" l="1"/>
  <c r="G36" i="9"/>
  <c r="F29" i="12"/>
  <c r="B30" i="12" s="1"/>
  <c r="D29" i="12"/>
  <c r="E29" i="12" s="1"/>
  <c r="D35" i="11"/>
  <c r="H35" i="11" s="1"/>
  <c r="C36" i="11"/>
  <c r="G35" i="13"/>
  <c r="E36" i="13"/>
  <c r="C35" i="13"/>
  <c r="D34" i="13"/>
  <c r="H34" i="13" s="1"/>
  <c r="D34" i="9"/>
  <c r="H34" i="9" s="1"/>
  <c r="C35" i="9"/>
  <c r="G37" i="11"/>
  <c r="E38" i="11"/>
  <c r="D35" i="13" l="1"/>
  <c r="C36" i="13"/>
  <c r="H35" i="13"/>
  <c r="G38" i="11"/>
  <c r="G37" i="9"/>
  <c r="E38" i="9"/>
  <c r="E37" i="13"/>
  <c r="G36" i="13"/>
  <c r="C37" i="11"/>
  <c r="D36" i="11"/>
  <c r="H36" i="11" s="1"/>
  <c r="F30" i="12"/>
  <c r="B31" i="12" s="1"/>
  <c r="D30" i="12"/>
  <c r="E30" i="12" s="1"/>
  <c r="C36" i="9"/>
  <c r="D35" i="9"/>
  <c r="H35" i="9" s="1"/>
  <c r="D37" i="11" l="1"/>
  <c r="C38" i="11"/>
  <c r="G37" i="13"/>
  <c r="E38" i="13"/>
  <c r="G38" i="9"/>
  <c r="C37" i="13"/>
  <c r="D36" i="13"/>
  <c r="H36" i="13" s="1"/>
  <c r="D36" i="9"/>
  <c r="H36" i="9" s="1"/>
  <c r="C37" i="9"/>
  <c r="F31" i="12"/>
  <c r="B32" i="12" s="1"/>
  <c r="D31" i="12"/>
  <c r="E31" i="12" s="1"/>
  <c r="D37" i="9" l="1"/>
  <c r="C38" i="9"/>
  <c r="D37" i="13"/>
  <c r="D38" i="13" s="1"/>
  <c r="C38" i="13"/>
  <c r="H37" i="13"/>
  <c r="G38" i="13"/>
  <c r="D41" i="13"/>
  <c r="F32" i="12"/>
  <c r="B33" i="12" s="1"/>
  <c r="D32" i="12"/>
  <c r="E32" i="12" s="1"/>
  <c r="D38" i="11"/>
  <c r="D41" i="11"/>
  <c r="H37" i="11"/>
  <c r="H38" i="11" l="1"/>
  <c r="D40" i="11"/>
  <c r="F33" i="12"/>
  <c r="B34" i="12" s="1"/>
  <c r="D33" i="12"/>
  <c r="E33" i="12" s="1"/>
  <c r="H38" i="13"/>
  <c r="D42" i="13" s="1"/>
  <c r="D40" i="13"/>
  <c r="D38" i="9"/>
  <c r="H37" i="9"/>
  <c r="D41" i="9"/>
  <c r="F34" i="12" l="1"/>
  <c r="B35" i="12" s="1"/>
  <c r="D34" i="12"/>
  <c r="E34" i="12" s="1"/>
  <c r="D40" i="9"/>
  <c r="H38" i="9"/>
  <c r="D42" i="9" s="1"/>
  <c r="F35" i="12" l="1"/>
  <c r="B36" i="12" s="1"/>
  <c r="D35" i="12"/>
  <c r="E35" i="12" s="1"/>
  <c r="F36" i="12" l="1"/>
  <c r="B37" i="12" s="1"/>
  <c r="D36" i="12"/>
  <c r="E36" i="12" s="1"/>
  <c r="F37" i="12" l="1"/>
  <c r="B38" i="12" s="1"/>
  <c r="D37" i="12"/>
  <c r="E37" i="12" s="1"/>
  <c r="F38" i="12" l="1"/>
  <c r="B39" i="12" s="1"/>
  <c r="D38" i="12"/>
  <c r="E38" i="12" s="1"/>
  <c r="F39" i="12" l="1"/>
  <c r="B40" i="12" s="1"/>
  <c r="D39" i="12"/>
  <c r="E39" i="12" s="1"/>
  <c r="F40" i="12" l="1"/>
  <c r="B41" i="12" s="1"/>
  <c r="D40" i="12"/>
  <c r="E40" i="12" s="1"/>
  <c r="F41" i="12" l="1"/>
  <c r="B42" i="12" s="1"/>
  <c r="D41" i="12"/>
  <c r="E41" i="12" s="1"/>
  <c r="F42" i="12" l="1"/>
  <c r="D42" i="12"/>
  <c r="E42" i="12" l="1"/>
  <c r="D43" i="12"/>
  <c r="E43" i="12" s="1"/>
</calcChain>
</file>

<file path=xl/sharedStrings.xml><?xml version="1.0" encoding="utf-8"?>
<sst xmlns="http://schemas.openxmlformats.org/spreadsheetml/2006/main" count="2162" uniqueCount="511">
  <si>
    <t>8.0 Economic code wise comparison of cost summary between the 1st Revised DPP and proposed 2nd Revised DPP</t>
  </si>
  <si>
    <t>(BDT in Lakh)</t>
  </si>
  <si>
    <t>Economic Code</t>
  </si>
  <si>
    <t>Economic Sub-Code</t>
  </si>
  <si>
    <t>Sub-Code wise component description</t>
  </si>
  <si>
    <t xml:space="preserve"> approved  1st Revised DPP</t>
  </si>
  <si>
    <t>Proposed 2nd Revised DPP</t>
  </si>
  <si>
    <t>Difference</t>
  </si>
  <si>
    <t>Unit</t>
  </si>
  <si>
    <t>Qty.</t>
  </si>
  <si>
    <t>Cost</t>
  </si>
  <si>
    <t>Total</t>
  </si>
  <si>
    <t>GOB
(FE)</t>
  </si>
  <si>
    <t>Project Aid</t>
  </si>
  <si>
    <t>Own Fund</t>
  </si>
  <si>
    <t>Others</t>
  </si>
  <si>
    <t>RPA</t>
  </si>
  <si>
    <t>DPA</t>
  </si>
  <si>
    <t>Through GOB</t>
  </si>
  <si>
    <t>Special Account*</t>
  </si>
  <si>
    <t>(a) Revenue Component:</t>
  </si>
  <si>
    <t>Allowances</t>
  </si>
  <si>
    <t>Conveyance Allowance</t>
  </si>
  <si>
    <t>1 Item</t>
  </si>
  <si>
    <t>Overtime Allowance</t>
  </si>
  <si>
    <t>Other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</si>
  <si>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</si>
  <si>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</si>
  <si>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</si>
  <si>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</si>
  <si>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</si>
  <si>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</si>
  <si>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</si>
  <si>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</si>
  <si>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</si>
  <si>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</si>
  <si>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</si>
  <si>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</si>
  <si>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</si>
  <si>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</si>
  <si>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</si>
  <si>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</si>
  <si>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</si>
  <si>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</si>
  <si>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</si>
  <si>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</si>
  <si>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</si>
  <si>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</si>
  <si>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</si>
  <si>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- 56 M/M(Detail in Appendix-E of original approved DPP) National - 532 M/M (Detail in Appendix-E of original approved DPP)</t>
  </si>
  <si>
    <t>MM</t>
  </si>
  <si>
    <t>71+234</t>
  </si>
  <si>
    <t>56+532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</si>
  <si>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</si>
  <si>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</si>
  <si>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</si>
  <si>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</si>
  <si>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</si>
  <si>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</si>
  <si>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</si>
  <si>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</si>
  <si>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L.S.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</si>
  <si>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</si>
  <si>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</si>
  <si>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</si>
  <si>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</si>
  <si>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</si>
  <si>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</si>
  <si>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</si>
  <si>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</si>
  <si>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</si>
  <si>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Sub-total : (a) Revenue Component:</t>
  </si>
  <si>
    <t xml:space="preserve"> </t>
  </si>
  <si>
    <t>(b) Capital Component:</t>
  </si>
  <si>
    <t>Acquisition of Assets:</t>
  </si>
  <si>
    <t xml:space="preserve"> Motor Vehicle :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</si>
  <si>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</si>
  <si>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Nos</t>
  </si>
  <si>
    <t>Motorcycle - 45 Nos. (PMO 2 Nos.,Kishoreganj 15 Nos., Netrokona 8 Nos., Sunamganj 8 Nos., Habiganj 8 Nos.&amp; Brahmanbaria 4 Nos).</t>
  </si>
  <si>
    <t>Water Transport :</t>
  </si>
  <si>
    <t>Speed Boat with Engine and all accessories (75 hp &amp; 5 Nos.)</t>
  </si>
  <si>
    <t>Photocopier -7 nos (PMO 2 Nos.,Kishoreganj 1 No., Netrokona 1 No., Sunamganj 1 No., Habiganj 1No.&amp; Brahmanbaria 1 No).</t>
  </si>
  <si>
    <t>Fax -2 nos (PMO 2 Nos.).</t>
  </si>
  <si>
    <t>Survey Equipments (Digital leveling Instrument 5 nos., Total Station 2 nos. &amp; Hand Held GPS 10 Nos)</t>
  </si>
  <si>
    <t>Networking Equipment- 3 nos (PMO 1 No., Kishoreganj 1 No., Netrokona 1 No., )</t>
  </si>
  <si>
    <t>Engineering Laboratory Equipments for Kishoregonj WD Division</t>
  </si>
  <si>
    <t>L.S</t>
  </si>
  <si>
    <t>Computers &amp; Accessories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</si>
  <si>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</si>
  <si>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Laptop Computer -11 nos (PMO 6 Nos.,Kishoreganj 1 No., Netrokona 1 No., Sunamganj 1 No., Habiganj 1No.&amp; Brahmanbaria 1 No)</t>
  </si>
  <si>
    <t xml:space="preserve">A3 Combo Printer 2 no ( PMO) </t>
  </si>
  <si>
    <t>Laser Printer- 17 nos. (PMO 9 Nos.,Kishoreganj 2 No., Netrokona 2  No., Sunamganj 2 No., Habiganj 1No.&amp; Brahmanbaria 1 No.)</t>
  </si>
  <si>
    <t>LS</t>
  </si>
  <si>
    <t>Aircooler</t>
  </si>
  <si>
    <t>Ori</t>
  </si>
  <si>
    <t>Pro</t>
  </si>
  <si>
    <t>Diff</t>
  </si>
  <si>
    <t xml:space="preserve">Acquisition/Purchase of lands and  landed properties of Assets: </t>
  </si>
  <si>
    <t>Land Acquisition ( 470 hectare)</t>
  </si>
  <si>
    <t>ha</t>
  </si>
  <si>
    <t>Construction and Works:</t>
  </si>
  <si>
    <t>Irrigation Infrastructures :</t>
  </si>
  <si>
    <t>Construction of Irrigation Inlet (New Haors)</t>
  </si>
  <si>
    <t>Drainage Structures :</t>
  </si>
  <si>
    <t xml:space="preserve"> Re-installation/Construction of Regulator/ Causeway (Rehabilitation Sub-Projects)</t>
  </si>
  <si>
    <t>7(2+5)</t>
  </si>
  <si>
    <t xml:space="preserve"> Installation/Construction of New Regulators/ Causeway/Bridge/Box Drainage Outlet) (New Haors)</t>
  </si>
  <si>
    <t>137(57+35+14)</t>
  </si>
  <si>
    <t xml:space="preserve"> Re-excavation of Khal/River (New Haors) </t>
  </si>
  <si>
    <t>Km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</si>
  <si>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</si>
  <si>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</si>
  <si>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</si>
  <si>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</si>
  <si>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</si>
  <si>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</si>
  <si>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</si>
  <si>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</si>
  <si>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Iten</t>
  </si>
  <si>
    <t>Sub-total : (b) Capital Component:</t>
  </si>
  <si>
    <t>Total Cost (a+b) :</t>
  </si>
  <si>
    <t>(c) Physical Contingency ( Lump sum):</t>
  </si>
  <si>
    <t>Item</t>
  </si>
  <si>
    <t>(d) Price Contingency (Lump sum):</t>
  </si>
  <si>
    <t>Grand Total : (a)+(b)+(c)+(d):</t>
  </si>
  <si>
    <t>* DOSA, CONTASA, SAFE, IMPREST etc.</t>
  </si>
  <si>
    <t>c+d</t>
  </si>
  <si>
    <t>Phy.Works</t>
  </si>
  <si>
    <t>c+d+works</t>
  </si>
  <si>
    <t>other</t>
  </si>
  <si>
    <t>Reh</t>
  </si>
  <si>
    <t>New</t>
  </si>
  <si>
    <t xml:space="preserve"> 9.0 Item wise Cumulative Progress and Year wise Breakdown of Revised Quantity and Cost to be Incurred.</t>
  </si>
  <si>
    <t>Taka in Lac</t>
  </si>
  <si>
    <t>Economic 
Sub-Code</t>
  </si>
  <si>
    <t>Cumulative Progress Upto June 2019 (Year 1 to Year-5) †</t>
  </si>
  <si>
    <t>FY: 2019-2020 (Year-6)</t>
  </si>
  <si>
    <t>FY: 2020-21 (Year-7)</t>
  </si>
  <si>
    <t>FY: 2021-2022 (Year-8)</t>
  </si>
  <si>
    <t>Quantity (In detail)</t>
  </si>
  <si>
    <t>Special Account</t>
  </si>
  <si>
    <t>Through PD</t>
  </si>
  <si>
    <t>Through DP</t>
  </si>
  <si>
    <t>Part</t>
  </si>
  <si>
    <t xml:space="preserve">Supplies and services: </t>
  </si>
  <si>
    <t xml:space="preserve">Repair, Maintenance &amp; Rehabilitation: </t>
  </si>
  <si>
    <t>Nos.</t>
  </si>
  <si>
    <t>(a) Sub-total Revenue Component:</t>
  </si>
  <si>
    <t>7 nos.</t>
  </si>
  <si>
    <t>3 nos.</t>
  </si>
  <si>
    <t>30 nos</t>
  </si>
  <si>
    <t>5 nos.</t>
  </si>
  <si>
    <t>3 nos</t>
  </si>
  <si>
    <t>Mechinary &amp; Other Equipment</t>
  </si>
  <si>
    <t>2 nos.</t>
  </si>
  <si>
    <t>11 nos.</t>
  </si>
  <si>
    <t>6 nos.</t>
  </si>
  <si>
    <t>27 nos.</t>
  </si>
  <si>
    <t>4 nos.</t>
  </si>
  <si>
    <t>1 no.</t>
  </si>
  <si>
    <t>No.</t>
  </si>
  <si>
    <t>ha.</t>
  </si>
  <si>
    <t>Irrigation Infrastructurs :</t>
  </si>
  <si>
    <t>Km.</t>
  </si>
  <si>
    <t>Others:</t>
  </si>
  <si>
    <t>(b)Sub-total Capital Component:</t>
  </si>
  <si>
    <t>Grand Total (a+b+c+d) :</t>
  </si>
  <si>
    <t xml:space="preserve">                  †  Year 1 is FY 2014-15, Year 2 is FY 2015-16 and Year 3 is FY 2016-17 </t>
  </si>
  <si>
    <t>Cumulative Progress Upto June 2020 (Year 1 to Year-6) †</t>
  </si>
  <si>
    <t>FY: 2020-2021 (Year-7)</t>
  </si>
  <si>
    <t>FY: 2021-22 (Year-8)</t>
  </si>
  <si>
    <t>Gob</t>
  </si>
  <si>
    <t>Allocation</t>
  </si>
  <si>
    <t>19-20</t>
  </si>
  <si>
    <t>20-21</t>
  </si>
  <si>
    <t>21-22</t>
  </si>
  <si>
    <t>TE</t>
  </si>
  <si>
    <t>Year wise Financial and Physical Target Plan</t>
  </si>
  <si>
    <t>Annexure-II</t>
  </si>
  <si>
    <t xml:space="preserve">Name of the Project : Haor Flood Management and Livelihood Improvement Project.(BWDB Part) 
</t>
  </si>
  <si>
    <t>Name of agency/Division/Ministry: Bangladesh Water Development Board / Ministry of Water Resources</t>
  </si>
  <si>
    <t>Economic 
Sub-Code (In detail)</t>
  </si>
  <si>
    <t xml:space="preserve"> Sub Code Description
(In detail)</t>
  </si>
  <si>
    <t>Total Physical &amp; Financial Target</t>
  </si>
  <si>
    <t>FY: 2014-15 (Year-1)</t>
  </si>
  <si>
    <t>FY: 2015-16 (Year-2)</t>
  </si>
  <si>
    <t>FY: 2016-17 (Year-3)</t>
  </si>
  <si>
    <t>FY: 2017-18 (Year-4)</t>
  </si>
  <si>
    <t>FY: 2018-19 (Year-5)</t>
  </si>
  <si>
    <t>FY: 2019-20 (Year-6)</t>
  </si>
  <si>
    <t>Unit
Cost</t>
  </si>
  <si>
    <t>Quantity</t>
  </si>
  <si>
    <t>Total
Cost 
(Taka in Lac)</t>
  </si>
  <si>
    <t>Weight</t>
  </si>
  <si>
    <t>Financial Amount (Taka in Lac)</t>
  </si>
  <si>
    <t>Physical</t>
  </si>
  <si>
    <t>% of Item</t>
  </si>
  <si>
    <t>% of Project</t>
  </si>
  <si>
    <t>Months</t>
  </si>
  <si>
    <t>item</t>
  </si>
  <si>
    <t>(a)Sub-total Revenue Component:</t>
  </si>
  <si>
    <t>Sets</t>
  </si>
  <si>
    <t>km</t>
  </si>
  <si>
    <t>(b) Sub-total Capital Component:</t>
  </si>
  <si>
    <t>#  Weight of each item            =</t>
  </si>
  <si>
    <t>(Est. cost of each respective item)</t>
  </si>
  <si>
    <t>(Total cost of all Physical items)</t>
  </si>
  <si>
    <t>#  Physical Percentage of item =</t>
  </si>
  <si>
    <t>Quantity/number targeted in each year</t>
  </si>
  <si>
    <t xml:space="preserve"> x 100</t>
  </si>
  <si>
    <t>Total quantity/number of respective item for whole project period</t>
  </si>
  <si>
    <t># Physical % of total Project    =</t>
  </si>
  <si>
    <t>Weight of each item x % of item</t>
  </si>
  <si>
    <t>Investment Cost</t>
  </si>
  <si>
    <t>Name of the Project                         :</t>
  </si>
  <si>
    <t xml:space="preserve"> Haor Flood Management and Livelihood Improvement Project.(BWDB Part)(Revised)</t>
  </si>
  <si>
    <t>Name of agency/Division/Ministry    :</t>
  </si>
  <si>
    <t>Bangladesh Water Development Board / Ministry of Water Resources</t>
  </si>
  <si>
    <t>(In Lakh Taka)</t>
  </si>
  <si>
    <t>Budget Head</t>
  </si>
  <si>
    <t>Economic Code/
Sub Code</t>
  </si>
  <si>
    <t xml:space="preserve"> Code/Sub Code Description</t>
  </si>
  <si>
    <t>Total Project Cost</t>
  </si>
  <si>
    <t>Financial</t>
  </si>
  <si>
    <t>CF</t>
  </si>
  <si>
    <t>Economic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</si>
  <si>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</si>
  <si>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</si>
  <si>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</si>
  <si>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</si>
  <si>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</si>
  <si>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</si>
  <si>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</si>
  <si>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</si>
  <si>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 xml:space="preserve"> Area,Yield and Gross Production Value</t>
  </si>
  <si>
    <t>Gross Area = 185475 ha.&amp; Net Cultivable Area = 156392 ha.</t>
  </si>
  <si>
    <t>PRE - PROJECT  CONDITION</t>
  </si>
  <si>
    <t>Sl.</t>
  </si>
  <si>
    <t>Area</t>
  </si>
  <si>
    <t>Yield</t>
  </si>
  <si>
    <t xml:space="preserve">  Unit Rate (Tk./mt.)</t>
  </si>
  <si>
    <t>Gross Prod. Value(Lakh Tk.)</t>
  </si>
  <si>
    <t>Crops</t>
  </si>
  <si>
    <t>(ha.)</t>
  </si>
  <si>
    <t>(mt./ha.)</t>
  </si>
  <si>
    <t>Prod. (mt.)</t>
  </si>
  <si>
    <t>ML</t>
  </si>
  <si>
    <t>Seed</t>
  </si>
  <si>
    <t>Urea</t>
  </si>
  <si>
    <t>TSP</t>
  </si>
  <si>
    <t>MP</t>
  </si>
  <si>
    <t>1.</t>
  </si>
  <si>
    <t>Boro (L)</t>
  </si>
  <si>
    <t>2.</t>
  </si>
  <si>
    <t>Boro (HYV)</t>
  </si>
  <si>
    <t>Total :</t>
  </si>
  <si>
    <t>-</t>
  </si>
  <si>
    <t xml:space="preserve">         Cropping Intensity =</t>
  </si>
  <si>
    <t xml:space="preserve">                     Total  Paddy  Production =</t>
  </si>
  <si>
    <t>mt.</t>
  </si>
  <si>
    <t>POST - PROJECT  CONDITION</t>
  </si>
  <si>
    <t>%</t>
  </si>
  <si>
    <t xml:space="preserve">                     Incremental  Paddy  Production =</t>
  </si>
  <si>
    <t>Variable Cost of Cultivation</t>
  </si>
  <si>
    <t>Items</t>
  </si>
  <si>
    <t xml:space="preserve">                    Unit Rate (Taka)</t>
  </si>
  <si>
    <t xml:space="preserve">                      Total cost (Lakh Taka)</t>
  </si>
  <si>
    <t>Manual Labour</t>
  </si>
  <si>
    <t>Man-day</t>
  </si>
  <si>
    <t>Power Tiller</t>
  </si>
  <si>
    <t>3.</t>
  </si>
  <si>
    <t>Seed/Seedlings</t>
  </si>
  <si>
    <t>a)</t>
  </si>
  <si>
    <t>Paddy</t>
  </si>
  <si>
    <t>b)</t>
  </si>
  <si>
    <t>Wheat</t>
  </si>
  <si>
    <t>d)</t>
  </si>
  <si>
    <t>Mustard</t>
  </si>
  <si>
    <t>4.</t>
  </si>
  <si>
    <t>Fertilizers</t>
  </si>
  <si>
    <t xml:space="preserve">b) </t>
  </si>
  <si>
    <t>T.S.P.</t>
  </si>
  <si>
    <t>c)</t>
  </si>
  <si>
    <t>M.P.</t>
  </si>
  <si>
    <t>5.</t>
  </si>
  <si>
    <t>Insecticide</t>
  </si>
  <si>
    <t>6.</t>
  </si>
  <si>
    <t>Irrigation Cost</t>
  </si>
  <si>
    <t>Onion</t>
  </si>
  <si>
    <t>Jute</t>
  </si>
  <si>
    <t>e)</t>
  </si>
  <si>
    <t>Vegetables</t>
  </si>
  <si>
    <t>Incremental Farm Labour =</t>
  </si>
  <si>
    <t>mandays</t>
  </si>
  <si>
    <t>FIXED  COST</t>
  </si>
  <si>
    <t>A.</t>
  </si>
  <si>
    <t xml:space="preserve">                            PRE - PROJECT  CONDITION</t>
  </si>
  <si>
    <t>Rent &amp; rates</t>
  </si>
  <si>
    <t>Up-keep of stock</t>
  </si>
  <si>
    <t>Interest on credit</t>
  </si>
  <si>
    <t xml:space="preserve">                                                                 Total per hectare(Taka)</t>
  </si>
  <si>
    <t>Total for the project (Lakh Taka)</t>
  </si>
  <si>
    <t>(Net Area= 240578 ha.)</t>
  </si>
  <si>
    <t>B.</t>
  </si>
  <si>
    <t xml:space="preserve">                               POST - PROJECT  CONDITION</t>
  </si>
  <si>
    <t>SUMMARY  OF  BENEFIT</t>
  </si>
  <si>
    <t>Gross Production Value</t>
  </si>
  <si>
    <t>Cost of cultivation</t>
  </si>
  <si>
    <t>i) Variable Cost</t>
  </si>
  <si>
    <t>ii) Fixed Cost</t>
  </si>
  <si>
    <t>Net Benefit (A1-A2)</t>
  </si>
  <si>
    <t>Net Benefit (B1-B2)</t>
  </si>
  <si>
    <t>C.</t>
  </si>
  <si>
    <t>Net Incremental Benefit from Agriculture      (A3-B3)</t>
  </si>
  <si>
    <t>Computation of Internal Rate of Return</t>
  </si>
  <si>
    <t>(Financial)</t>
  </si>
  <si>
    <t xml:space="preserve"> (BDT In Lakh)</t>
  </si>
  <si>
    <t>Year</t>
  </si>
  <si>
    <t>Invest. Cost</t>
  </si>
  <si>
    <t xml:space="preserve">   O &amp; M</t>
  </si>
  <si>
    <t>Total Cost</t>
  </si>
  <si>
    <t xml:space="preserve"> Benefits from Agriculture</t>
  </si>
  <si>
    <t>Others Benefits</t>
  </si>
  <si>
    <t>Total Benefits</t>
  </si>
  <si>
    <t>Cashflow</t>
  </si>
  <si>
    <t>NPV @12%</t>
  </si>
  <si>
    <t>All calculations are based on project period of 30 years</t>
  </si>
  <si>
    <t>FIRR base case</t>
  </si>
  <si>
    <t>Benefit Cost Ratio</t>
  </si>
  <si>
    <t>(Economic)</t>
  </si>
  <si>
    <t xml:space="preserve"> (In Lakh Taka)</t>
  </si>
  <si>
    <t>EIRR base case</t>
  </si>
  <si>
    <t>Annexure-IV</t>
  </si>
  <si>
    <t>Revised Amortization Schedule</t>
  </si>
  <si>
    <t>Name of Project</t>
  </si>
  <si>
    <t>: Haor Flood Management &amp; Livelihood Improvement Project (BWDB Part)</t>
  </si>
  <si>
    <t>Total Investment</t>
  </si>
  <si>
    <t>: BDT 102234.00 Lakh</t>
  </si>
  <si>
    <t>Loan Portion</t>
  </si>
  <si>
    <t>: BDT 59529.60 Lakh</t>
  </si>
  <si>
    <t>Loan Period</t>
  </si>
  <si>
    <t>: 40 Years Including 10 Uears grace Period</t>
  </si>
  <si>
    <t>Trate of Investment</t>
  </si>
  <si>
    <t>: 0.01% per annum</t>
  </si>
  <si>
    <t>(Taka in Lac)</t>
  </si>
  <si>
    <t>Beginning Principal Amount</t>
  </si>
  <si>
    <t>Yearly Fixed Amount to be Paid (Principal)</t>
  </si>
  <si>
    <t>Yearly Interes to be Paid</t>
  </si>
  <si>
    <t>Total Payment (Principal + Interest)</t>
  </si>
  <si>
    <t>Ending Principal Balance</t>
  </si>
  <si>
    <t>2014-15</t>
  </si>
  <si>
    <t>5= (3+4)</t>
  </si>
  <si>
    <t>6=(2-3)</t>
  </si>
  <si>
    <t>GoB</t>
  </si>
  <si>
    <t>Rev</t>
  </si>
  <si>
    <t>Cap</t>
  </si>
  <si>
    <t>2015-16</t>
  </si>
  <si>
    <t>Cum</t>
  </si>
  <si>
    <t>2016-17</t>
  </si>
  <si>
    <t>ADP</t>
  </si>
  <si>
    <t>2017-18</t>
  </si>
  <si>
    <t>July2016-Mar17</t>
  </si>
  <si>
    <t>Apr2017-June17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</si>
  <si>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</si>
  <si>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</si>
  <si>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</si>
  <si>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</si>
  <si>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</si>
  <si>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</si>
  <si>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</si>
  <si>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</si>
  <si>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</si>
  <si>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</si>
  <si>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</si>
  <si>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</si>
  <si>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</si>
  <si>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</si>
  <si>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</si>
  <si>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</si>
  <si>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</si>
  <si>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</si>
  <si>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</si>
  <si>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</si>
  <si>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</si>
  <si>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</si>
  <si>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</si>
  <si>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</si>
  <si>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</si>
  <si>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</si>
  <si>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</si>
  <si>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</si>
  <si>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</si>
  <si>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</si>
  <si>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</si>
  <si>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</si>
  <si>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</si>
  <si>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</si>
  <si>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</si>
  <si>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</si>
  <si>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</si>
  <si>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</si>
  <si>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</si>
  <si>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</si>
  <si>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</si>
  <si>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</si>
  <si>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</si>
  <si>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</si>
  <si>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</si>
  <si>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</si>
  <si>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</si>
  <si>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</si>
  <si>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</si>
  <si>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</si>
  <si>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</si>
  <si>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HOBI/PW-01</t>
  </si>
  <si>
    <t>HOBI/PW-02</t>
  </si>
  <si>
    <t>HOBI/PW-04</t>
  </si>
  <si>
    <t>HOBI/PW-05</t>
  </si>
  <si>
    <t>HOBI/PW-06</t>
  </si>
  <si>
    <t>HOBI/PW-07</t>
  </si>
  <si>
    <t>HOBI/PW-08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</si>
  <si>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</si>
  <si>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</si>
  <si>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</si>
  <si>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</si>
  <si>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</si>
  <si>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</si>
  <si>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</si>
  <si>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</si>
  <si>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</si>
  <si>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</si>
  <si>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</si>
  <si>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</si>
  <si>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</si>
  <si>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</si>
  <si>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SUNM/PW-07</t>
  </si>
  <si>
    <t>BRAH/PW-01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</si>
  <si>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</si>
  <si>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</si>
  <si>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</si>
  <si>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</si>
  <si>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</si>
  <si>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</si>
  <si>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</si>
  <si>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</si>
  <si>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</si>
  <si>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</si>
  <si>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</si>
  <si>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</si>
  <si>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</si>
  <si>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</si>
  <si>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</si>
  <si>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</si>
  <si>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</si>
  <si>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</si>
  <si>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</si>
  <si>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</si>
  <si>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</si>
  <si>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</si>
  <si>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</si>
  <si>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</si>
  <si>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</si>
  <si>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</si>
  <si>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</si>
  <si>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</si>
  <si>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</si>
  <si>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</si>
  <si>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</si>
  <si>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</si>
  <si>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</si>
  <si>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</si>
  <si>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</si>
  <si>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</si>
  <si>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</si>
  <si>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</si>
  <si>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</si>
  <si>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</si>
  <si>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</si>
  <si>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</si>
  <si>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</si>
  <si>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</si>
  <si>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</si>
  <si>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</si>
  <si>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</si>
  <si>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</si>
  <si>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</si>
  <si>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</si>
  <si>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</si>
  <si>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</si>
  <si>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</si>
  <si>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</si>
  <si>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</si>
  <si>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</si>
  <si>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</si>
  <si>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</si>
  <si>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</si>
  <si>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</si>
  <si>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>costcode</t>
  </si>
  <si>
    <t>rindex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</si>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</sst>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  <numFmt numFmtId="167" formatCode="0.0000000000000000"/>
  </numFmts>
  <fonts count="45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Calibri"/>
      <family val="2"/>
      <scheme val="minor"/>
    </font>
    <font>
      <b/>
      <sz val="14"/>
      <name val="Times New Roman"/>
      <family val="1"/>
    </font>
    <font>
      <b/>
      <sz val="26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sz val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9.5"/>
      <name val="Times New Roman"/>
      <family val="1"/>
    </font>
    <font>
      <sz val="10"/>
      <name val="MS Sans Serif"/>
      <family val="2"/>
    </font>
    <font>
      <sz val="12"/>
      <name val="MS Sans Serif"/>
      <family val="2"/>
    </font>
    <font>
      <b/>
      <sz val="12"/>
      <name val="MS Sans Serif"/>
      <family val="2"/>
    </font>
    <font>
      <b/>
      <u/>
      <sz val="10"/>
      <name val="MS Sans Serif"/>
      <family val="2"/>
    </font>
    <font>
      <u/>
      <sz val="10"/>
      <name val="MS Sans Serif"/>
      <family val="2"/>
    </font>
    <font>
      <sz val="9"/>
      <name val="MS Sans Serif"/>
      <family val="2"/>
    </font>
    <font>
      <sz val="10"/>
      <color indexed="10"/>
      <name val="MS Sans Serif"/>
      <family val="2"/>
    </font>
    <font>
      <b/>
      <sz val="10"/>
      <name val="MS Sans Serif"/>
      <family val="2"/>
    </font>
    <font>
      <b/>
      <u/>
      <sz val="18"/>
      <name val="MS Sans Serif"/>
      <family val="2"/>
    </font>
    <font>
      <b/>
      <u/>
      <sz val="18"/>
      <name val="Times New Roman"/>
      <family val="1"/>
    </font>
    <font>
      <u/>
      <sz val="10"/>
      <color indexed="12"/>
      <name val="Times New Roman"/>
      <family val="1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37" fillId="0" borderId="0">
      <alignment vertical="top"/>
      <protection locked="0"/>
    </xf>
  </cellStyleXfs>
  <cellXfs count="918">
    <xf numFmtId="0" fontId="0" fillId="0" borderId="0" xfId="0"/>
    <xf numFmtId="2" fontId="2" fillId="0" borderId="0" xfId="1" applyNumberFormat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vertical="center"/>
      <protection locked="0"/>
    </xf>
    <xf numFmtId="2" fontId="3" fillId="0" borderId="0" xfId="1" applyNumberFormat="1" applyFont="1" applyAlignment="1" applyProtection="1">
      <alignment vertical="center"/>
      <protection locked="0"/>
    </xf>
    <xf numFmtId="43" fontId="2" fillId="0" borderId="0" xfId="2" applyNumberFormat="1" applyFont="1" applyAlignment="1" applyProtection="1">
      <alignment vertical="center"/>
      <protection locked="0"/>
    </xf>
    <xf numFmtId="4" fontId="2" fillId="0" borderId="0" xfId="1" applyNumberFormat="1" applyFont="1" applyAlignment="1" applyProtection="1">
      <alignment vertical="center"/>
      <protection locked="0"/>
    </xf>
    <xf numFmtId="4" fontId="5" fillId="0" borderId="0" xfId="3" applyNumberFormat="1" applyFont="1"/>
    <xf numFmtId="0" fontId="6" fillId="0" borderId="0" xfId="3" applyFont="1" applyAlignment="1">
      <alignment horizontal="right"/>
    </xf>
    <xf numFmtId="0" fontId="1" fillId="0" borderId="0" xfId="1" applyAlignment="1" applyProtection="1">
      <alignment horizontal="right" vertical="center"/>
      <protection locked="0"/>
    </xf>
    <xf numFmtId="4" fontId="1" fillId="0" borderId="0" xfId="1" applyNumberFormat="1" applyAlignment="1" applyProtection="1">
      <alignment vertical="center"/>
      <protection locked="0"/>
    </xf>
    <xf numFmtId="4" fontId="1" fillId="0" borderId="0" xfId="1" applyNumberFormat="1" applyAlignment="1" applyProtection="1">
      <alignment horizontal="right" vertical="center"/>
      <protection locked="0"/>
    </xf>
    <xf numFmtId="2" fontId="7" fillId="0" borderId="0" xfId="1" applyNumberFormat="1" applyFont="1" applyAlignment="1" applyProtection="1">
      <alignment vertical="center"/>
      <protection locked="0"/>
    </xf>
    <xf numFmtId="4" fontId="3" fillId="0" borderId="0" xfId="1" applyNumberFormat="1" applyFont="1" applyAlignment="1" applyProtection="1">
      <alignment vertical="center"/>
      <protection locked="0"/>
    </xf>
    <xf numFmtId="4" fontId="7" fillId="0" borderId="0" xfId="1" applyNumberFormat="1" applyFont="1" applyAlignment="1" applyProtection="1">
      <alignment vertical="center"/>
      <protection locked="0"/>
    </xf>
    <xf numFmtId="0" fontId="3" fillId="0" borderId="0" xfId="4" applyFont="1" applyAlignment="1" applyProtection="1">
      <alignment vertical="center"/>
      <protection locked="0"/>
    </xf>
    <xf numFmtId="0" fontId="7" fillId="0" borderId="0" xfId="4" applyFont="1" applyAlignment="1" applyProtection="1">
      <alignment vertical="center"/>
      <protection locked="0"/>
    </xf>
    <xf numFmtId="0" fontId="8" fillId="0" borderId="0" xfId="3" applyFont="1"/>
    <xf numFmtId="4" fontId="9" fillId="0" borderId="0" xfId="3" applyNumberFormat="1" applyFont="1"/>
    <xf numFmtId="4" fontId="3" fillId="0" borderId="0" xfId="4" applyNumberFormat="1" applyFont="1" applyAlignment="1" applyProtection="1">
      <alignment horizontal="center" vertical="center"/>
      <protection locked="0"/>
    </xf>
    <xf numFmtId="4" fontId="7" fillId="0" borderId="0" xfId="4" applyNumberFormat="1" applyFont="1" applyAlignment="1" applyProtection="1">
      <alignment horizontal="center" vertical="center"/>
      <protection locked="0"/>
    </xf>
    <xf numFmtId="4" fontId="8" fillId="0" borderId="0" xfId="3" applyNumberFormat="1" applyFont="1"/>
    <xf numFmtId="0" fontId="6" fillId="0" borderId="0" xfId="3" applyFont="1" applyAlignment="1">
      <alignment horizontal="center"/>
    </xf>
    <xf numFmtId="0" fontId="1" fillId="0" borderId="0" xfId="1" applyAlignment="1">
      <alignment vertical="center" wrapText="1"/>
    </xf>
    <xf numFmtId="0" fontId="6" fillId="0" borderId="0" xfId="3" applyFont="1"/>
    <xf numFmtId="2" fontId="1" fillId="0" borderId="0" xfId="1" applyNumberFormat="1" applyAlignment="1" applyProtection="1">
      <alignment horizontal="right" vertical="center"/>
      <protection locked="0"/>
    </xf>
    <xf numFmtId="2" fontId="1" fillId="0" borderId="0" xfId="4" applyNumberFormat="1" applyFont="1" applyAlignment="1" applyProtection="1">
      <alignment vertical="center"/>
      <protection locked="0"/>
    </xf>
    <xf numFmtId="2" fontId="6" fillId="0" borderId="0" xfId="3" applyNumberFormat="1" applyFont="1"/>
    <xf numFmtId="0" fontId="7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right"/>
      <protection locked="0"/>
    </xf>
    <xf numFmtId="2" fontId="10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10" fillId="0" borderId="0" xfId="1" applyFont="1" applyProtection="1"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1" xfId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vertical="center"/>
      <protection locked="0"/>
    </xf>
    <xf numFmtId="4" fontId="10" fillId="0" borderId="6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/>
      <protection locked="0"/>
    </xf>
    <xf numFmtId="0" fontId="10" fillId="0" borderId="6" xfId="1" applyFont="1" applyBorder="1" applyAlignment="1" applyProtection="1">
      <alignment horizontal="right" vertical="center"/>
      <protection locked="0"/>
    </xf>
    <xf numFmtId="0" fontId="10" fillId="0" borderId="2" xfId="1" applyFont="1" applyBorder="1" applyAlignment="1" applyProtection="1">
      <alignment vertical="center"/>
      <protection locked="0"/>
    </xf>
    <xf numFmtId="0" fontId="10" fillId="0" borderId="5" xfId="1" applyFont="1" applyBorder="1" applyAlignment="1" applyProtection="1">
      <alignment vertical="center"/>
      <protection locked="0"/>
    </xf>
    <xf numFmtId="4" fontId="12" fillId="0" borderId="6" xfId="1" applyNumberFormat="1" applyFont="1" applyBorder="1" applyAlignment="1" applyProtection="1">
      <alignment horizontal="center" vertical="top"/>
      <protection locked="0"/>
    </xf>
    <xf numFmtId="4" fontId="12" fillId="0" borderId="9" xfId="1" applyNumberFormat="1" applyFont="1" applyBorder="1" applyAlignment="1" applyProtection="1">
      <alignment vertical="center"/>
      <protection locked="0"/>
    </xf>
    <xf numFmtId="0" fontId="12" fillId="0" borderId="10" xfId="1" applyFont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 applyProtection="1">
      <alignment horizontal="right" vertical="center" wrapText="1"/>
      <protection locked="0"/>
    </xf>
    <xf numFmtId="0" fontId="11" fillId="0" borderId="10" xfId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vertical="center"/>
      <protection locked="0"/>
    </xf>
    <xf numFmtId="4" fontId="10" fillId="0" borderId="10" xfId="1" applyNumberFormat="1" applyFont="1" applyBorder="1" applyAlignment="1" applyProtection="1">
      <alignment vertical="center"/>
      <protection locked="0"/>
    </xf>
    <xf numFmtId="4" fontId="10" fillId="0" borderId="7" xfId="1" applyNumberFormat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horizontal="center" vertical="center"/>
      <protection locked="0"/>
    </xf>
    <xf numFmtId="4" fontId="10" fillId="0" borderId="9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 wrapText="1"/>
      <protection locked="0"/>
    </xf>
    <xf numFmtId="4" fontId="10" fillId="0" borderId="4" xfId="1" applyNumberFormat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vertical="center"/>
      <protection locked="0"/>
    </xf>
    <xf numFmtId="4" fontId="10" fillId="0" borderId="4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0" fontId="13" fillId="0" borderId="0" xfId="1" applyFont="1" applyAlignment="1" applyProtection="1">
      <alignment vertical="center"/>
      <protection locked="0"/>
    </xf>
    <xf numFmtId="0" fontId="13" fillId="0" borderId="1" xfId="1" applyFont="1" applyBorder="1" applyAlignment="1" applyProtection="1">
      <alignment vertical="center"/>
      <protection locked="0"/>
    </xf>
    <xf numFmtId="4" fontId="10" fillId="0" borderId="4" xfId="1" applyNumberFormat="1" applyFont="1" applyBorder="1" applyAlignment="1" applyProtection="1">
      <alignment horizontal="right" vertical="center"/>
      <protection locked="0"/>
    </xf>
    <xf numFmtId="4" fontId="10" fillId="0" borderId="6" xfId="1" applyNumberFormat="1" applyFont="1" applyBorder="1" applyAlignment="1" applyProtection="1">
      <alignment horizontal="right" vertical="center"/>
      <protection locked="0"/>
    </xf>
    <xf numFmtId="4" fontId="10" fillId="0" borderId="3" xfId="1" applyNumberFormat="1" applyFont="1" applyBorder="1" applyAlignment="1" applyProtection="1">
      <alignment horizontal="right" vertical="center"/>
      <protection locked="0"/>
    </xf>
    <xf numFmtId="4" fontId="10" fillId="0" borderId="13" xfId="1" applyNumberFormat="1" applyFont="1" applyBorder="1" applyAlignment="1" applyProtection="1">
      <alignment horizontal="right" vertical="center"/>
      <protection locked="0"/>
    </xf>
    <xf numFmtId="0" fontId="3" fillId="0" borderId="15" xfId="1" applyFont="1" applyBorder="1" applyAlignment="1" applyProtection="1">
      <alignment horizontal="right" vertical="center"/>
      <protection locked="0"/>
    </xf>
    <xf numFmtId="0" fontId="3" fillId="0" borderId="14" xfId="1" applyFont="1" applyBorder="1" applyAlignment="1" applyProtection="1">
      <alignment horizontal="right" vertical="center"/>
      <protection locked="0"/>
    </xf>
    <xf numFmtId="0" fontId="12" fillId="0" borderId="1" xfId="1" applyFont="1" applyBorder="1" applyAlignment="1" applyProtection="1">
      <alignment vertical="center"/>
      <protection locked="0"/>
    </xf>
    <xf numFmtId="4" fontId="12" fillId="0" borderId="3" xfId="1" applyNumberFormat="1" applyFont="1" applyBorder="1" applyAlignment="1" applyProtection="1">
      <alignment horizontal="right" vertical="center"/>
      <protection locked="0"/>
    </xf>
    <xf numFmtId="4" fontId="12" fillId="0" borderId="1" xfId="1" applyNumberFormat="1" applyFont="1" applyBorder="1" applyAlignment="1" applyProtection="1">
      <alignment horizontal="right" vertical="center"/>
      <protection locked="0"/>
    </xf>
    <xf numFmtId="4" fontId="12" fillId="0" borderId="4" xfId="1" applyNumberFormat="1" applyFont="1" applyBorder="1" applyAlignment="1" applyProtection="1">
      <alignment horizontal="right" vertical="center"/>
      <protection locked="0"/>
    </xf>
    <xf numFmtId="4" fontId="12" fillId="0" borderId="5" xfId="1" applyNumberFormat="1" applyFont="1" applyBorder="1" applyAlignment="1" applyProtection="1">
      <alignment horizontal="right" vertical="center"/>
      <protection locked="0"/>
    </xf>
    <xf numFmtId="0" fontId="2" fillId="0" borderId="1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left" vertical="top" wrapText="1"/>
      <protection locked="0"/>
    </xf>
    <xf numFmtId="0" fontId="10" fillId="0" borderId="10" xfId="1" applyFont="1" applyBorder="1" applyAlignment="1" applyProtection="1">
      <alignment vertical="top"/>
      <protection locked="0"/>
    </xf>
    <xf numFmtId="4" fontId="1" fillId="0" borderId="1" xfId="1" applyNumberFormat="1" applyBorder="1" applyAlignment="1" applyProtection="1">
      <alignment vertical="center"/>
      <protection locked="0"/>
    </xf>
    <xf numFmtId="43" fontId="12" fillId="0" borderId="1" xfId="2" applyNumberFormat="1" applyFont="1" applyBorder="1" applyAlignment="1" applyProtection="1">
      <alignment vertical="center"/>
      <protection locked="0"/>
    </xf>
    <xf numFmtId="0" fontId="10" fillId="0" borderId="16" xfId="1" applyFont="1" applyBorder="1" applyAlignment="1" applyProtection="1">
      <alignment vertical="top"/>
      <protection locked="0"/>
    </xf>
    <xf numFmtId="43" fontId="1" fillId="0" borderId="0" xfId="1" applyNumberFormat="1" applyAlignment="1" applyProtection="1">
      <alignment vertical="center"/>
      <protection locked="0"/>
    </xf>
    <xf numFmtId="0" fontId="1" fillId="0" borderId="6" xfId="1" applyBorder="1" applyAlignment="1" applyProtection="1">
      <alignment vertical="center"/>
      <protection locked="0"/>
    </xf>
    <xf numFmtId="0" fontId="1" fillId="0" borderId="2" xfId="1" applyBorder="1" applyAlignment="1" applyProtection="1">
      <alignment vertical="center"/>
      <protection locked="0"/>
    </xf>
    <xf numFmtId="0" fontId="10" fillId="0" borderId="2" xfId="1" applyFont="1" applyBorder="1" applyAlignment="1" applyProtection="1">
      <alignment vertical="center" wrapText="1"/>
      <protection locked="0"/>
    </xf>
    <xf numFmtId="0" fontId="10" fillId="0" borderId="5" xfId="1" applyFont="1" applyBorder="1" applyAlignment="1" applyProtection="1">
      <alignment vertical="center" wrapText="1"/>
      <protection locked="0"/>
    </xf>
    <xf numFmtId="0" fontId="1" fillId="0" borderId="2" xfId="1" applyBorder="1" applyAlignment="1">
      <alignment vertical="center"/>
    </xf>
    <xf numFmtId="0" fontId="12" fillId="0" borderId="11" xfId="1" applyFont="1" applyBorder="1" applyAlignment="1" applyProtection="1">
      <alignment vertical="top" wrapText="1"/>
      <protection locked="0"/>
    </xf>
    <xf numFmtId="0" fontId="1" fillId="0" borderId="0" xfId="1" applyAlignment="1" applyProtection="1">
      <alignment vertical="top"/>
      <protection locked="0"/>
    </xf>
    <xf numFmtId="0" fontId="1" fillId="0" borderId="1" xfId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/>
      <protection locked="0"/>
    </xf>
    <xf numFmtId="4" fontId="12" fillId="0" borderId="4" xfId="1" applyNumberFormat="1" applyFont="1" applyBorder="1" applyAlignment="1" applyProtection="1">
      <alignment horizontal="right" vertical="top"/>
      <protection locked="0"/>
    </xf>
    <xf numFmtId="4" fontId="12" fillId="0" borderId="5" xfId="1" applyNumberFormat="1" applyFont="1" applyBorder="1" applyAlignment="1" applyProtection="1">
      <alignment horizontal="right" vertical="top"/>
      <protection locked="0"/>
    </xf>
    <xf numFmtId="0" fontId="10" fillId="0" borderId="11" xfId="1" applyFont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center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horizontal="justify" vertical="top" wrapText="1"/>
      <protection locked="0"/>
    </xf>
    <xf numFmtId="0" fontId="12" fillId="0" borderId="10" xfId="1" applyFont="1" applyBorder="1" applyAlignment="1" applyProtection="1">
      <alignment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/>
      <protection locked="0"/>
    </xf>
    <xf numFmtId="4" fontId="12" fillId="0" borderId="9" xfId="1" applyNumberFormat="1" applyFont="1" applyBorder="1" applyAlignment="1" applyProtection="1">
      <alignment horizontal="right" vertical="top"/>
      <protection locked="0"/>
    </xf>
    <xf numFmtId="0" fontId="3" fillId="0" borderId="2" xfId="1" applyFont="1" applyBorder="1" applyAlignment="1" applyProtection="1">
      <alignment vertical="center"/>
      <protection locked="0"/>
    </xf>
    <xf numFmtId="1" fontId="12" fillId="0" borderId="0" xfId="1" applyNumberFormat="1" applyFont="1" applyAlignment="1" applyProtection="1">
      <alignment vertical="center"/>
      <protection locked="0"/>
    </xf>
    <xf numFmtId="1" fontId="10" fillId="0" borderId="1" xfId="1" applyNumberFormat="1" applyFont="1" applyBorder="1" applyAlignment="1">
      <alignment horizontal="center" vertical="top" wrapText="1"/>
    </xf>
    <xf numFmtId="1" fontId="10" fillId="0" borderId="3" xfId="1" applyNumberFormat="1" applyFont="1" applyBorder="1" applyAlignment="1">
      <alignment horizontal="center" vertical="top" wrapText="1"/>
    </xf>
    <xf numFmtId="1" fontId="10" fillId="0" borderId="5" xfId="1" applyNumberFormat="1" applyFont="1" applyBorder="1" applyAlignment="1">
      <alignment horizontal="center" vertical="top" wrapText="1"/>
    </xf>
    <xf numFmtId="1" fontId="10" fillId="0" borderId="10" xfId="1" applyNumberFormat="1" applyFont="1" applyBorder="1" applyAlignment="1">
      <alignment horizontal="center" vertical="top" wrapText="1"/>
    </xf>
    <xf numFmtId="0" fontId="1" fillId="0" borderId="10" xfId="1" applyBorder="1" applyAlignment="1" applyProtection="1">
      <alignment vertical="center"/>
      <protection locked="0"/>
    </xf>
    <xf numFmtId="4" fontId="10" fillId="0" borderId="9" xfId="1" applyNumberFormat="1" applyFont="1" applyBorder="1" applyAlignment="1" applyProtection="1">
      <alignment vertical="center"/>
      <protection locked="0"/>
    </xf>
    <xf numFmtId="0" fontId="3" fillId="0" borderId="10" xfId="1" applyFont="1" applyBorder="1" applyAlignment="1" applyProtection="1">
      <alignment horizontal="center" vertical="center"/>
      <protection locked="0"/>
    </xf>
    <xf numFmtId="0" fontId="1" fillId="0" borderId="11" xfId="1" applyBorder="1" applyAlignment="1" applyProtection="1">
      <alignment vertical="center"/>
      <protection locked="0"/>
    </xf>
    <xf numFmtId="4" fontId="10" fillId="0" borderId="21" xfId="1" applyNumberFormat="1" applyFont="1" applyBorder="1" applyAlignment="1" applyProtection="1">
      <alignment vertical="center"/>
      <protection locked="0"/>
    </xf>
    <xf numFmtId="4" fontId="10" fillId="0" borderId="20" xfId="1" applyNumberFormat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vertical="center"/>
      <protection locked="0"/>
    </xf>
    <xf numFmtId="4" fontId="10" fillId="0" borderId="13" xfId="1" applyNumberFormat="1" applyFont="1" applyBorder="1" applyAlignment="1" applyProtection="1">
      <alignment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4" fontId="12" fillId="0" borderId="8" xfId="1" applyNumberFormat="1" applyFont="1" applyBorder="1" applyAlignment="1" applyProtection="1">
      <alignment horizontal="right" vertical="center"/>
      <protection locked="0"/>
    </xf>
    <xf numFmtId="0" fontId="12" fillId="0" borderId="2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center" wrapText="1"/>
      <protection locked="0"/>
    </xf>
    <xf numFmtId="0" fontId="2" fillId="0" borderId="10" xfId="1" applyFont="1" applyBorder="1" applyAlignment="1" applyProtection="1">
      <alignment vertical="center" wrapText="1"/>
      <protection locked="0"/>
    </xf>
    <xf numFmtId="0" fontId="10" fillId="0" borderId="11" xfId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right" vertical="top"/>
      <protection locked="0"/>
    </xf>
    <xf numFmtId="4" fontId="12" fillId="0" borderId="13" xfId="1" applyNumberFormat="1" applyFont="1" applyBorder="1" applyAlignment="1" applyProtection="1">
      <alignment horizontal="right" vertical="top"/>
      <protection locked="0"/>
    </xf>
    <xf numFmtId="0" fontId="2" fillId="0" borderId="1" xfId="1" applyFont="1" applyBorder="1" applyAlignment="1" applyProtection="1">
      <alignment horizontal="justify" vertical="top" wrapText="1"/>
      <protection locked="0"/>
    </xf>
    <xf numFmtId="4" fontId="12" fillId="0" borderId="3" xfId="1" applyNumberFormat="1" applyFont="1" applyBorder="1" applyAlignment="1" applyProtection="1">
      <alignment horizontal="right" vertical="top"/>
      <protection locked="0"/>
    </xf>
    <xf numFmtId="0" fontId="2" fillId="0" borderId="1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2" fillId="0" borderId="1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/>
      <protection locked="0"/>
    </xf>
    <xf numFmtId="0" fontId="1" fillId="0" borderId="2" xfId="1" applyBorder="1" applyAlignment="1" applyProtection="1">
      <alignment vertical="top"/>
      <protection locked="0"/>
    </xf>
    <xf numFmtId="0" fontId="10" fillId="0" borderId="2" xfId="1" applyFont="1" applyBorder="1" applyAlignment="1" applyProtection="1">
      <alignment vertical="top" wrapText="1"/>
      <protection locked="0"/>
    </xf>
    <xf numFmtId="4" fontId="10" fillId="0" borderId="2" xfId="1" applyNumberFormat="1" applyFont="1" applyBorder="1" applyAlignment="1" applyProtection="1">
      <alignment vertical="top" wrapText="1"/>
      <protection locked="0"/>
    </xf>
    <xf numFmtId="0" fontId="10" fillId="0" borderId="5" xfId="1" applyFont="1" applyBorder="1" applyAlignment="1" applyProtection="1">
      <alignment vertical="top" wrapText="1"/>
      <protection locked="0"/>
    </xf>
    <xf numFmtId="4" fontId="12" fillId="0" borderId="3" xfId="1" applyNumberFormat="1" applyFont="1" applyBorder="1" applyAlignment="1" applyProtection="1">
      <alignment vertical="top"/>
      <protection locked="0"/>
    </xf>
    <xf numFmtId="4" fontId="12" fillId="0" borderId="4" xfId="1" applyNumberFormat="1" applyFont="1" applyBorder="1" applyAlignment="1" applyProtection="1">
      <alignment vertical="top"/>
      <protection locked="0"/>
    </xf>
    <xf numFmtId="4" fontId="12" fillId="0" borderId="10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vertical="top"/>
      <protection locked="0"/>
    </xf>
    <xf numFmtId="4" fontId="12" fillId="0" borderId="9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 wrapText="1"/>
      <protection locked="0"/>
    </xf>
    <xf numFmtId="4" fontId="12" fillId="0" borderId="9" xfId="1" applyNumberFormat="1" applyFont="1" applyBorder="1" applyAlignment="1" applyProtection="1">
      <alignment horizontal="right" vertical="top" wrapText="1"/>
      <protection locked="0"/>
    </xf>
    <xf numFmtId="0" fontId="12" fillId="0" borderId="10" xfId="1" applyFont="1" applyBorder="1" applyAlignment="1" applyProtection="1">
      <alignment horizontal="left" vertical="top" wrapText="1"/>
      <protection locked="0"/>
    </xf>
    <xf numFmtId="0" fontId="1" fillId="0" borderId="2" xfId="1" applyBorder="1" applyAlignment="1">
      <alignment vertical="top"/>
    </xf>
    <xf numFmtId="0" fontId="12" fillId="0" borderId="3" xfId="1" applyFont="1" applyBorder="1" applyAlignment="1" applyProtection="1">
      <alignment vertical="top"/>
      <protection locked="0"/>
    </xf>
    <xf numFmtId="0" fontId="12" fillId="0" borderId="1" xfId="1" applyFont="1" applyBorder="1" applyAlignment="1" applyProtection="1">
      <alignment vertical="top"/>
      <protection locked="0"/>
    </xf>
    <xf numFmtId="0" fontId="12" fillId="0" borderId="0" xfId="1" applyFont="1" applyAlignment="1" applyProtection="1">
      <alignment vertical="top"/>
      <protection locked="0"/>
    </xf>
    <xf numFmtId="0" fontId="12" fillId="0" borderId="2" xfId="1" applyFont="1" applyBorder="1" applyAlignment="1" applyProtection="1">
      <alignment vertical="top"/>
      <protection locked="0"/>
    </xf>
    <xf numFmtId="0" fontId="12" fillId="0" borderId="3" xfId="1" applyFont="1" applyBorder="1" applyAlignment="1" applyProtection="1">
      <alignment vertical="center"/>
      <protection locked="0"/>
    </xf>
    <xf numFmtId="0" fontId="12" fillId="0" borderId="2" xfId="1" applyFont="1" applyBorder="1"/>
    <xf numFmtId="0" fontId="12" fillId="0" borderId="2" xfId="1" applyFont="1" applyBorder="1" applyAlignment="1" applyProtection="1">
      <alignment vertical="center"/>
      <protection locked="0"/>
    </xf>
    <xf numFmtId="0" fontId="12" fillId="0" borderId="10" xfId="1" applyFont="1" applyBorder="1" applyAlignment="1" applyProtection="1">
      <alignment horizontal="justify" vertical="top" wrapText="1"/>
      <protection locked="0"/>
    </xf>
    <xf numFmtId="0" fontId="12" fillId="0" borderId="2" xfId="1" applyFont="1" applyBorder="1" applyAlignment="1">
      <alignment vertical="center"/>
    </xf>
    <xf numFmtId="0" fontId="12" fillId="0" borderId="0" xfId="1" applyFont="1"/>
    <xf numFmtId="0" fontId="12" fillId="0" borderId="10" xfId="1" applyFont="1" applyBorder="1" applyAlignment="1" applyProtection="1">
      <alignment vertical="center"/>
      <protection locked="0"/>
    </xf>
    <xf numFmtId="0" fontId="1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vertical="center" wrapText="1"/>
      <protection locked="0"/>
    </xf>
    <xf numFmtId="0" fontId="3" fillId="0" borderId="0" xfId="1" applyFont="1" applyAlignment="1" applyProtection="1">
      <alignment vertical="center" wrapText="1"/>
      <protection locked="0"/>
    </xf>
    <xf numFmtId="0" fontId="12" fillId="0" borderId="2" xfId="1" applyFont="1" applyBorder="1" applyAlignment="1">
      <alignment horizontal="center" vertical="center"/>
    </xf>
    <xf numFmtId="0" fontId="12" fillId="0" borderId="2" xfId="1" applyFont="1" applyBorder="1" applyAlignment="1" applyProtection="1">
      <alignment horizontal="center" vertical="center"/>
      <protection locked="0"/>
    </xf>
    <xf numFmtId="0" fontId="12" fillId="0" borderId="0" xfId="1" applyFont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vertical="center"/>
      <protection locked="0"/>
    </xf>
    <xf numFmtId="0" fontId="18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2" fillId="0" borderId="0" xfId="1" applyFont="1" applyAlignment="1" applyProtection="1">
      <alignment vertical="top"/>
      <protection locked="0"/>
    </xf>
    <xf numFmtId="0" fontId="7" fillId="0" borderId="0" xfId="1" applyFont="1" applyAlignment="1">
      <alignment vertical="top"/>
    </xf>
    <xf numFmtId="0" fontId="3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19" fillId="0" borderId="1" xfId="1" applyFont="1" applyBorder="1" applyAlignment="1">
      <alignment horizontal="center" vertical="top" wrapText="1"/>
    </xf>
    <xf numFmtId="0" fontId="19" fillId="0" borderId="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/>
      <protection locked="0"/>
    </xf>
    <xf numFmtId="0" fontId="2" fillId="0" borderId="6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top"/>
      <protection locked="0"/>
    </xf>
    <xf numFmtId="0" fontId="10" fillId="0" borderId="0" xfId="1" applyFont="1" applyAlignment="1" applyProtection="1">
      <alignment horizontal="left" vertical="top"/>
      <protection locked="0"/>
    </xf>
    <xf numFmtId="0" fontId="2" fillId="0" borderId="14" xfId="1" applyFont="1" applyBorder="1" applyAlignment="1" applyProtection="1">
      <alignment vertical="top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2" xfId="1" applyFont="1" applyBorder="1" applyAlignment="1" applyProtection="1">
      <alignment vertical="center"/>
      <protection locked="0"/>
    </xf>
    <xf numFmtId="0" fontId="2" fillId="0" borderId="6" xfId="1" applyFont="1" applyBorder="1" applyAlignment="1" applyProtection="1">
      <alignment vertical="center"/>
      <protection locked="0"/>
    </xf>
    <xf numFmtId="0" fontId="2" fillId="0" borderId="25" xfId="1" applyFont="1" applyBorder="1" applyAlignment="1" applyProtection="1">
      <alignment vertical="center"/>
      <protection locked="0"/>
    </xf>
    <xf numFmtId="0" fontId="1" fillId="0" borderId="16" xfId="1" applyBorder="1" applyAlignment="1" applyProtection="1">
      <alignment vertical="top"/>
      <protection locked="0"/>
    </xf>
    <xf numFmtId="0" fontId="7" fillId="0" borderId="1" xfId="1" applyFont="1" applyBorder="1" applyAlignment="1" applyProtection="1">
      <alignment horizontal="center" vertical="top"/>
      <protection locked="0"/>
    </xf>
    <xf numFmtId="0" fontId="7" fillId="0" borderId="1" xfId="1" applyFont="1" applyBorder="1" applyAlignment="1" applyProtection="1">
      <alignment vertical="top" wrapText="1"/>
      <protection locked="0"/>
    </xf>
    <xf numFmtId="2" fontId="1" fillId="0" borderId="1" xfId="1" applyNumberFormat="1" applyBorder="1" applyAlignment="1" applyProtection="1">
      <alignment vertical="top"/>
      <protection locked="0"/>
    </xf>
    <xf numFmtId="2" fontId="1" fillId="0" borderId="5" xfId="1" applyNumberFormat="1" applyBorder="1" applyAlignment="1" applyProtection="1">
      <alignment vertical="top"/>
      <protection locked="0"/>
    </xf>
    <xf numFmtId="0" fontId="2" fillId="0" borderId="1" xfId="1" applyFont="1" applyBorder="1" applyAlignment="1" applyProtection="1">
      <alignment vertical="top"/>
      <protection locked="0"/>
    </xf>
    <xf numFmtId="2" fontId="1" fillId="0" borderId="1" xfId="1" applyNumberFormat="1" applyBorder="1" applyAlignment="1">
      <alignment vertical="center"/>
    </xf>
    <xf numFmtId="2" fontId="1" fillId="0" borderId="1" xfId="1" applyNumberFormat="1" applyBorder="1" applyAlignment="1" applyProtection="1">
      <alignment vertical="center"/>
      <protection locked="0"/>
    </xf>
    <xf numFmtId="2" fontId="1" fillId="0" borderId="6" xfId="1" applyNumberFormat="1" applyBorder="1" applyAlignment="1">
      <alignment vertical="center"/>
    </xf>
    <xf numFmtId="0" fontId="2" fillId="0" borderId="1" xfId="1" applyFon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top" wrapText="1"/>
      <protection locked="0"/>
    </xf>
    <xf numFmtId="0" fontId="1" fillId="0" borderId="1" xfId="1" applyBorder="1" applyAlignment="1" applyProtection="1">
      <alignment horizontal="center" vertical="top" wrapText="1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vertical="center" wrapText="1"/>
      <protection locked="0"/>
    </xf>
    <xf numFmtId="0" fontId="1" fillId="0" borderId="11" xfId="1" applyBorder="1" applyAlignment="1" applyProtection="1">
      <alignment horizontal="center" vertical="top"/>
      <protection locked="0"/>
    </xf>
    <xf numFmtId="2" fontId="1" fillId="0" borderId="0" xfId="1" applyNumberFormat="1" applyAlignment="1">
      <alignment vertical="top"/>
    </xf>
    <xf numFmtId="2" fontId="1" fillId="0" borderId="0" xfId="1" applyNumberFormat="1" applyAlignment="1" applyProtection="1">
      <alignment vertical="top"/>
      <protection locked="0"/>
    </xf>
    <xf numFmtId="0" fontId="7" fillId="0" borderId="11" xfId="1" applyFont="1" applyBorder="1" applyAlignment="1" applyProtection="1">
      <alignment horizontal="center" vertical="top"/>
      <protection locked="0"/>
    </xf>
    <xf numFmtId="0" fontId="1" fillId="0" borderId="16" xfId="1" applyBorder="1" applyAlignment="1" applyProtection="1">
      <alignment horizontal="center" vertical="top"/>
      <protection locked="0"/>
    </xf>
    <xf numFmtId="0" fontId="21" fillId="0" borderId="1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justify" vertical="justify" wrapText="1"/>
      <protection locked="0"/>
    </xf>
    <xf numFmtId="0" fontId="21" fillId="0" borderId="1" xfId="1" applyFont="1" applyBorder="1" applyAlignment="1" applyProtection="1">
      <alignment horizontal="justify" vertical="justify" wrapText="1"/>
      <protection locked="0"/>
    </xf>
    <xf numFmtId="0" fontId="1" fillId="0" borderId="10" xfId="1" applyBorder="1" applyAlignment="1" applyProtection="1">
      <alignment horizontal="center" vertical="top"/>
      <protection locked="0"/>
    </xf>
    <xf numFmtId="0" fontId="1" fillId="0" borderId="11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vertical="top" wrapText="1"/>
      <protection locked="0"/>
    </xf>
    <xf numFmtId="0" fontId="1" fillId="0" borderId="16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horizontal="center" vertical="top" wrapText="1"/>
      <protection locked="0"/>
    </xf>
    <xf numFmtId="0" fontId="7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center" wrapText="1"/>
      <protection locked="0"/>
    </xf>
    <xf numFmtId="0" fontId="7" fillId="0" borderId="10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vertical="top"/>
      <protection locked="0"/>
    </xf>
    <xf numFmtId="0" fontId="1" fillId="0" borderId="1" xfId="1" applyBorder="1" applyAlignment="1" applyProtection="1">
      <alignment vertical="center" wrapText="1"/>
      <protection locked="0"/>
    </xf>
    <xf numFmtId="0" fontId="7" fillId="0" borderId="0" xfId="1" applyFont="1" applyAlignment="1" applyProtection="1">
      <alignment horizontal="left" vertical="top"/>
      <protection locked="0"/>
    </xf>
    <xf numFmtId="0" fontId="3" fillId="0" borderId="2" xfId="1" applyFont="1" applyBorder="1" applyAlignment="1" applyProtection="1">
      <alignment horizontal="left" vertical="center"/>
      <protection locked="0"/>
    </xf>
    <xf numFmtId="0" fontId="7" fillId="0" borderId="0" xfId="1" applyFont="1" applyAlignment="1" applyProtection="1">
      <alignment horizontal="left" vertical="center"/>
      <protection locked="0"/>
    </xf>
    <xf numFmtId="0" fontId="1" fillId="0" borderId="11" xfId="1" applyBorder="1" applyAlignment="1" applyProtection="1">
      <alignment vertical="top"/>
      <protection locked="0"/>
    </xf>
    <xf numFmtId="0" fontId="1" fillId="0" borderId="10" xfId="1" applyBorder="1" applyAlignment="1" applyProtection="1">
      <alignment vertical="top"/>
      <protection locked="0"/>
    </xf>
    <xf numFmtId="0" fontId="3" fillId="0" borderId="2" xfId="1" applyFont="1" applyBorder="1" applyAlignment="1" applyProtection="1">
      <alignment vertical="center" wrapText="1"/>
      <protection locked="0"/>
    </xf>
    <xf numFmtId="0" fontId="21" fillId="0" borderId="10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1" fillId="0" borderId="1" xfId="1" applyBorder="1" applyAlignment="1" applyProtection="1">
      <alignment horizontal="justify" vertical="center" wrapText="1"/>
      <protection locked="0"/>
    </xf>
    <xf numFmtId="2" fontId="1" fillId="0" borderId="5" xfId="1" applyNumberForma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justify" vertical="top" wrapText="1"/>
      <protection locked="0"/>
    </xf>
    <xf numFmtId="0" fontId="3" fillId="0" borderId="2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left" vertical="top" wrapText="1"/>
      <protection locked="0"/>
    </xf>
    <xf numFmtId="0" fontId="1" fillId="0" borderId="1" xfId="1" applyBorder="1" applyAlignment="1" applyProtection="1">
      <alignment horizontal="left" vertical="top" wrapText="1"/>
      <protection locked="0"/>
    </xf>
    <xf numFmtId="0" fontId="7" fillId="0" borderId="1" xfId="1" applyFont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center" vertical="justify" wrapText="1"/>
      <protection locked="0"/>
    </xf>
    <xf numFmtId="0" fontId="3" fillId="0" borderId="1" xfId="1" applyFont="1" applyBorder="1" applyAlignment="1" applyProtection="1">
      <alignment horizontal="left" vertical="top" wrapText="1"/>
      <protection locked="0"/>
    </xf>
    <xf numFmtId="0" fontId="7" fillId="0" borderId="6" xfId="1" applyFont="1" applyBorder="1" applyAlignment="1" applyProtection="1">
      <alignment horizontal="right" vertical="top"/>
      <protection locked="0"/>
    </xf>
    <xf numFmtId="2" fontId="1" fillId="0" borderId="5" xfId="1" applyNumberFormat="1" applyBorder="1" applyAlignment="1">
      <alignment vertical="top"/>
    </xf>
    <xf numFmtId="2" fontId="2" fillId="0" borderId="6" xfId="1" applyNumberFormat="1" applyFont="1" applyBorder="1" applyAlignment="1">
      <alignment vertical="center"/>
    </xf>
    <xf numFmtId="2" fontId="21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vertical="center"/>
    </xf>
    <xf numFmtId="2" fontId="21" fillId="0" borderId="1" xfId="1" applyNumberFormat="1" applyFont="1" applyBorder="1" applyAlignment="1" applyProtection="1">
      <alignment vertical="center"/>
      <protection locked="0"/>
    </xf>
    <xf numFmtId="0" fontId="7" fillId="0" borderId="0" xfId="1" applyFont="1" applyAlignment="1" applyProtection="1">
      <alignment vertical="top"/>
      <protection locked="0"/>
    </xf>
    <xf numFmtId="0" fontId="1" fillId="0" borderId="6" xfId="1" applyBorder="1" applyAlignment="1" applyProtection="1">
      <alignment horizontal="right" vertical="top" wrapText="1"/>
      <protection locked="0"/>
    </xf>
    <xf numFmtId="0" fontId="1" fillId="0" borderId="6" xfId="1" applyBorder="1" applyAlignment="1" applyProtection="1">
      <alignment horizontal="right" vertical="top"/>
      <protection locked="0"/>
    </xf>
    <xf numFmtId="9" fontId="1" fillId="0" borderId="6" xfId="1" applyNumberFormat="1" applyBorder="1" applyAlignment="1" applyProtection="1">
      <alignment horizontal="center" vertical="top"/>
      <protection locked="0"/>
    </xf>
    <xf numFmtId="2" fontId="3" fillId="0" borderId="6" xfId="1" applyNumberFormat="1" applyFont="1" applyBorder="1" applyAlignment="1" applyProtection="1">
      <alignment vertical="center"/>
      <protection locked="0"/>
    </xf>
    <xf numFmtId="2" fontId="7" fillId="0" borderId="1" xfId="1" applyNumberFormat="1" applyFont="1" applyBorder="1" applyAlignment="1" applyProtection="1">
      <alignment vertical="center"/>
      <protection locked="0"/>
    </xf>
    <xf numFmtId="2" fontId="20" fillId="0" borderId="1" xfId="1" applyNumberFormat="1" applyFont="1" applyBorder="1" applyAlignment="1" applyProtection="1">
      <alignment vertical="center"/>
      <protection locked="0"/>
    </xf>
    <xf numFmtId="2" fontId="20" fillId="0" borderId="6" xfId="1" applyNumberFormat="1" applyFont="1" applyBorder="1" applyAlignment="1" applyProtection="1">
      <alignment vertical="center"/>
      <protection locked="0"/>
    </xf>
    <xf numFmtId="0" fontId="20" fillId="0" borderId="1" xfId="1" applyFont="1" applyBorder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top" wrapText="1"/>
      <protection locked="0"/>
    </xf>
    <xf numFmtId="2" fontId="2" fillId="0" borderId="0" xfId="1" applyNumberFormat="1" applyFont="1" applyAlignment="1" applyProtection="1">
      <alignment vertical="top"/>
      <protection locked="0"/>
    </xf>
    <xf numFmtId="0" fontId="12" fillId="0" borderId="0" xfId="1" applyFont="1" applyAlignment="1">
      <alignment horizontal="center" vertical="top" wrapText="1"/>
    </xf>
    <xf numFmtId="0" fontId="2" fillId="0" borderId="0" xfId="1" applyFont="1" applyAlignment="1" applyProtection="1">
      <alignment vertical="top" wrapText="1"/>
      <protection locked="0"/>
    </xf>
    <xf numFmtId="0" fontId="22" fillId="0" borderId="0" xfId="1" applyFont="1" applyAlignment="1">
      <alignment vertical="center"/>
    </xf>
    <xf numFmtId="0" fontId="20" fillId="0" borderId="0" xfId="1" applyFont="1" applyAlignment="1">
      <alignment horizontal="left"/>
    </xf>
    <xf numFmtId="0" fontId="20" fillId="0" borderId="0" xfId="1" applyFont="1" applyAlignment="1">
      <alignment vertical="center" wrapText="1"/>
    </xf>
    <xf numFmtId="2" fontId="21" fillId="0" borderId="0" xfId="1" applyNumberFormat="1" applyFont="1" applyAlignment="1" applyProtection="1">
      <alignment vertical="center"/>
      <protection locked="0"/>
    </xf>
    <xf numFmtId="0" fontId="20" fillId="0" borderId="24" xfId="1" applyFont="1" applyBorder="1" applyAlignment="1">
      <alignment vertical="center"/>
    </xf>
    <xf numFmtId="0" fontId="20" fillId="0" borderId="24" xfId="1" applyFont="1" applyBorder="1" applyAlignment="1">
      <alignment horizontal="right" vertical="center"/>
    </xf>
    <xf numFmtId="2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1" fontId="20" fillId="0" borderId="1" xfId="1" applyNumberFormat="1" applyFont="1" applyBorder="1" applyAlignment="1">
      <alignment horizontal="center" vertical="center" wrapText="1"/>
    </xf>
    <xf numFmtId="1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/>
      <protection locked="0"/>
    </xf>
    <xf numFmtId="0" fontId="20" fillId="0" borderId="6" xfId="1" applyFont="1" applyBorder="1" applyAlignment="1" applyProtection="1">
      <alignment vertical="center" wrapText="1"/>
      <protection locked="0"/>
    </xf>
    <xf numFmtId="0" fontId="3" fillId="0" borderId="6" xfId="1" applyFont="1" applyBorder="1" applyAlignment="1" applyProtection="1">
      <alignment vertical="center"/>
      <protection locked="0"/>
    </xf>
    <xf numFmtId="0" fontId="21" fillId="0" borderId="16" xfId="1" applyFont="1" applyBorder="1" applyAlignment="1">
      <alignment vertical="center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vertical="center" wrapText="1"/>
    </xf>
    <xf numFmtId="0" fontId="2" fillId="0" borderId="2" xfId="1" applyFont="1" applyBorder="1" applyAlignment="1">
      <alignment horizontal="right" vertical="center"/>
    </xf>
    <xf numFmtId="0" fontId="21" fillId="0" borderId="0" xfId="1" applyFont="1" applyAlignment="1" applyProtection="1">
      <alignment horizontal="center" vertical="center"/>
      <protection locked="0"/>
    </xf>
    <xf numFmtId="2" fontId="2" fillId="0" borderId="1" xfId="1" applyNumberFormat="1" applyFont="1" applyBorder="1" applyAlignment="1" applyProtection="1">
      <alignment vertical="center"/>
      <protection locked="0"/>
    </xf>
    <xf numFmtId="0" fontId="21" fillId="0" borderId="1" xfId="1" applyFont="1" applyBorder="1" applyAlignment="1">
      <alignment horizontal="center" vertical="center"/>
    </xf>
    <xf numFmtId="0" fontId="21" fillId="0" borderId="1" xfId="1" applyFont="1" applyBorder="1" applyAlignment="1">
      <alignment vertical="center" wrapText="1"/>
    </xf>
    <xf numFmtId="2" fontId="2" fillId="0" borderId="1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top"/>
    </xf>
    <xf numFmtId="0" fontId="20" fillId="0" borderId="10" xfId="1" applyFont="1" applyBorder="1" applyAlignment="1">
      <alignment vertical="center" wrapText="1"/>
    </xf>
    <xf numFmtId="0" fontId="2" fillId="0" borderId="5" xfId="1" applyFont="1" applyBorder="1" applyAlignment="1">
      <alignment horizontal="center" vertical="center"/>
    </xf>
    <xf numFmtId="0" fontId="21" fillId="0" borderId="1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center" vertical="center"/>
    </xf>
    <xf numFmtId="0" fontId="21" fillId="0" borderId="5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5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vertical="center" wrapText="1"/>
      <protection locked="0"/>
    </xf>
    <xf numFmtId="0" fontId="1" fillId="0" borderId="1" xfId="1" applyBorder="1" applyAlignment="1" applyProtection="1">
      <alignment horizontal="center" vertical="center"/>
      <protection locked="0"/>
    </xf>
    <xf numFmtId="0" fontId="20" fillId="0" borderId="1" xfId="1" applyFont="1" applyBorder="1" applyAlignment="1" applyProtection="1">
      <alignment horizontal="left" vertical="center" wrapText="1"/>
      <protection locked="0"/>
    </xf>
    <xf numFmtId="0" fontId="20" fillId="0" borderId="1" xfId="1" applyFont="1" applyBorder="1" applyAlignment="1" applyProtection="1">
      <alignment horizontal="center" vertical="center"/>
      <protection locked="0"/>
    </xf>
    <xf numFmtId="0" fontId="20" fillId="0" borderId="0" xfId="1" applyFont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 wrapText="1"/>
      <protection locked="0"/>
    </xf>
    <xf numFmtId="0" fontId="21" fillId="0" borderId="13" xfId="1" applyFont="1" applyBorder="1" applyAlignment="1">
      <alignment vertical="center"/>
    </xf>
    <xf numFmtId="0" fontId="20" fillId="0" borderId="6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right" vertical="center"/>
    </xf>
    <xf numFmtId="0" fontId="21" fillId="0" borderId="18" xfId="1" applyFont="1" applyBorder="1" applyAlignment="1">
      <alignment vertical="center"/>
    </xf>
    <xf numFmtId="0" fontId="21" fillId="0" borderId="1" xfId="1" applyFont="1" applyBorder="1" applyAlignment="1">
      <alignment horizontal="center" vertical="top"/>
    </xf>
    <xf numFmtId="0" fontId="21" fillId="0" borderId="6" xfId="1" applyFont="1" applyBorder="1" applyAlignment="1">
      <alignment horizontal="justify" vertical="justify" wrapText="1"/>
    </xf>
    <xf numFmtId="0" fontId="20" fillId="0" borderId="6" xfId="1" applyFont="1" applyBorder="1" applyAlignment="1">
      <alignment horizontal="left" vertical="justify" wrapText="1"/>
    </xf>
    <xf numFmtId="0" fontId="21" fillId="0" borderId="6" xfId="1" applyFont="1" applyBorder="1" applyAlignment="1">
      <alignment horizontal="left" vertical="justify" wrapText="1"/>
    </xf>
    <xf numFmtId="0" fontId="20" fillId="0" borderId="12" xfId="1" applyFont="1" applyBorder="1" applyAlignment="1">
      <alignment horizontal="left" vertical="justify" wrapText="1"/>
    </xf>
    <xf numFmtId="0" fontId="20" fillId="0" borderId="6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left" vertical="center" wrapText="1"/>
    </xf>
    <xf numFmtId="0" fontId="23" fillId="0" borderId="1" xfId="1" applyFont="1" applyBorder="1" applyAlignment="1" applyProtection="1">
      <alignment horizontal="center" vertical="top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43" fontId="2" fillId="0" borderId="1" xfId="2" applyNumberFormat="1" applyFont="1" applyBorder="1" applyAlignment="1" applyProtection="1">
      <alignment horizontal="center" vertical="top" wrapText="1"/>
      <protection locked="0"/>
    </xf>
    <xf numFmtId="0" fontId="20" fillId="0" borderId="6" xfId="1" applyFont="1" applyBorder="1" applyAlignment="1" applyProtection="1">
      <alignment vertical="center"/>
      <protection locked="0"/>
    </xf>
    <xf numFmtId="0" fontId="3" fillId="0" borderId="1" xfId="1" applyFont="1" applyBorder="1" applyAlignment="1" applyProtection="1">
      <alignment vertical="center"/>
      <protection locked="0"/>
    </xf>
    <xf numFmtId="2" fontId="3" fillId="0" borderId="1" xfId="1" applyNumberFormat="1" applyFont="1" applyBorder="1" applyAlignment="1">
      <alignment vertical="center"/>
    </xf>
    <xf numFmtId="0" fontId="1" fillId="0" borderId="6" xfId="1" applyBorder="1"/>
    <xf numFmtId="2" fontId="3" fillId="0" borderId="1" xfId="1" applyNumberFormat="1" applyFont="1" applyBorder="1" applyAlignment="1" applyProtection="1">
      <alignment vertical="center"/>
      <protection locked="0"/>
    </xf>
    <xf numFmtId="0" fontId="21" fillId="0" borderId="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 wrapText="1"/>
      <protection locked="0"/>
    </xf>
    <xf numFmtId="0" fontId="7" fillId="0" borderId="0" xfId="1" applyFont="1" applyAlignment="1">
      <alignment horizontal="center" vertical="center" wrapText="1"/>
    </xf>
    <xf numFmtId="0" fontId="1" fillId="0" borderId="0" xfId="1" applyAlignment="1" applyProtection="1">
      <alignment horizontal="center" vertical="center"/>
      <protection locked="0"/>
    </xf>
    <xf numFmtId="2" fontId="10" fillId="0" borderId="24" xfId="1" applyNumberFormat="1" applyFont="1" applyBorder="1" applyAlignment="1">
      <alignment vertical="center"/>
    </xf>
    <xf numFmtId="2" fontId="3" fillId="0" borderId="0" xfId="1" applyNumberFormat="1" applyFont="1" applyAlignment="1">
      <alignment vertical="center"/>
    </xf>
    <xf numFmtId="0" fontId="1" fillId="0" borderId="16" xfId="1" applyBorder="1" applyAlignment="1">
      <alignment vertical="center" wrapText="1"/>
    </xf>
    <xf numFmtId="0" fontId="7" fillId="0" borderId="1" xfId="1" applyFont="1" applyBorder="1" applyAlignment="1">
      <alignment horizontal="right" vertical="center" wrapText="1"/>
    </xf>
    <xf numFmtId="0" fontId="1" fillId="0" borderId="1" xfId="1" applyBorder="1" applyAlignment="1">
      <alignment horizontal="right" vertical="center" wrapText="1"/>
    </xf>
    <xf numFmtId="0" fontId="1" fillId="0" borderId="1" xfId="1" applyBorder="1" applyAlignment="1">
      <alignment horizontal="left" vertical="center" wrapText="1"/>
    </xf>
    <xf numFmtId="2" fontId="1" fillId="0" borderId="1" xfId="1" applyNumberFormat="1" applyBorder="1" applyAlignment="1">
      <alignment horizontal="right" vertical="center" wrapText="1"/>
    </xf>
    <xf numFmtId="0" fontId="1" fillId="0" borderId="11" xfId="1" applyBorder="1" applyAlignment="1">
      <alignment horizontal="right" vertical="center" wrapText="1"/>
    </xf>
    <xf numFmtId="0" fontId="1" fillId="0" borderId="11" xfId="1" applyBorder="1" applyAlignment="1">
      <alignment vertical="top" wrapText="1"/>
    </xf>
    <xf numFmtId="0" fontId="1" fillId="0" borderId="16" xfId="1" applyBorder="1" applyAlignment="1">
      <alignment vertical="top" wrapText="1"/>
    </xf>
    <xf numFmtId="0" fontId="1" fillId="0" borderId="10" xfId="1" applyBorder="1" applyAlignment="1">
      <alignment vertical="top" wrapText="1"/>
    </xf>
    <xf numFmtId="0" fontId="1" fillId="0" borderId="10" xfId="1" applyBorder="1" applyAlignment="1">
      <alignment vertical="center" wrapText="1"/>
    </xf>
    <xf numFmtId="0" fontId="1" fillId="0" borderId="1" xfId="1" applyBorder="1" applyAlignment="1">
      <alignment horizontal="left" vertical="top" wrapText="1"/>
    </xf>
    <xf numFmtId="0" fontId="1" fillId="0" borderId="10" xfId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0" fontId="1" fillId="0" borderId="1" xfId="1" applyBorder="1" applyAlignment="1" applyProtection="1">
      <alignment horizontal="right" vertical="center"/>
      <protection locked="0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 applyProtection="1">
      <alignment horizontal="right" vertical="center"/>
      <protection locked="0"/>
    </xf>
    <xf numFmtId="2" fontId="7" fillId="0" borderId="1" xfId="1" applyNumberFormat="1" applyFont="1" applyBorder="1" applyAlignment="1">
      <alignment vertical="center"/>
    </xf>
    <xf numFmtId="0" fontId="1" fillId="0" borderId="11" xfId="1" applyBorder="1" applyAlignment="1">
      <alignment vertical="center" wrapText="1"/>
    </xf>
    <xf numFmtId="0" fontId="26" fillId="0" borderId="1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right" vertical="center" wrapText="1"/>
    </xf>
    <xf numFmtId="0" fontId="7" fillId="0" borderId="11" xfId="1" applyFont="1" applyBorder="1" applyAlignment="1">
      <alignment vertical="top" wrapText="1"/>
    </xf>
    <xf numFmtId="0" fontId="7" fillId="0" borderId="16" xfId="1" applyFont="1" applyBorder="1" applyAlignment="1">
      <alignment vertical="top" wrapText="1"/>
    </xf>
    <xf numFmtId="0" fontId="7" fillId="0" borderId="0" xfId="1" applyFont="1" applyAlignment="1" applyProtection="1">
      <alignment vertical="center"/>
      <protection locked="0"/>
    </xf>
    <xf numFmtId="2" fontId="28" fillId="0" borderId="0" xfId="5" applyNumberFormat="1" applyFont="1" applyAlignment="1">
      <alignment horizontal="center"/>
    </xf>
    <xf numFmtId="0" fontId="28" fillId="0" borderId="0" xfId="5" applyFont="1"/>
    <xf numFmtId="2" fontId="28" fillId="0" borderId="0" xfId="5" applyNumberFormat="1" applyFont="1" applyAlignment="1">
      <alignment horizontal="left"/>
    </xf>
    <xf numFmtId="2" fontId="29" fillId="0" borderId="0" xfId="5" applyNumberFormat="1" applyFont="1" applyAlignment="1">
      <alignment horizontal="center"/>
    </xf>
    <xf numFmtId="0" fontId="28" fillId="0" borderId="0" xfId="5" applyFont="1" applyAlignment="1">
      <alignment horizontal="center"/>
    </xf>
    <xf numFmtId="0" fontId="27" fillId="0" borderId="0" xfId="5" applyAlignment="1">
      <alignment horizontal="center"/>
    </xf>
    <xf numFmtId="2" fontId="30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center"/>
    </xf>
    <xf numFmtId="2" fontId="32" fillId="0" borderId="6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left"/>
    </xf>
    <xf numFmtId="2" fontId="32" fillId="0" borderId="5" xfId="5" applyNumberFormat="1" applyFont="1" applyBorder="1" applyAlignment="1">
      <alignment horizontal="left"/>
    </xf>
    <xf numFmtId="2" fontId="27" fillId="0" borderId="2" xfId="5" applyNumberFormat="1" applyBorder="1" applyAlignment="1">
      <alignment horizontal="center"/>
    </xf>
    <xf numFmtId="2" fontId="32" fillId="0" borderId="12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center"/>
    </xf>
    <xf numFmtId="2" fontId="27" fillId="0" borderId="0" xfId="5" quotePrefix="1" applyNumberFormat="1" applyAlignment="1">
      <alignment horizontal="center"/>
    </xf>
    <xf numFmtId="2" fontId="27" fillId="0" borderId="0" xfId="5" applyNumberFormat="1" applyAlignment="1">
      <alignment horizontal="left"/>
    </xf>
    <xf numFmtId="1" fontId="27" fillId="0" borderId="0" xfId="5" applyNumberFormat="1" applyAlignment="1">
      <alignment horizontal="center"/>
    </xf>
    <xf numFmtId="1" fontId="33" fillId="0" borderId="0" xfId="5" applyNumberFormat="1" applyFont="1" applyAlignment="1">
      <alignment horizontal="center"/>
    </xf>
    <xf numFmtId="2" fontId="33" fillId="0" borderId="0" xfId="5" applyNumberFormat="1" applyFont="1" applyAlignment="1">
      <alignment horizontal="center"/>
    </xf>
    <xf numFmtId="2" fontId="34" fillId="0" borderId="6" xfId="5" applyNumberFormat="1" applyFont="1" applyBorder="1" applyAlignment="1">
      <alignment horizontal="left"/>
    </xf>
    <xf numFmtId="1" fontId="27" fillId="0" borderId="6" xfId="5" applyNumberFormat="1" applyBorder="1" applyAlignment="1">
      <alignment horizontal="center"/>
    </xf>
    <xf numFmtId="2" fontId="27" fillId="0" borderId="6" xfId="5" applyNumberFormat="1" applyBorder="1" applyAlignment="1">
      <alignment horizontal="center"/>
    </xf>
    <xf numFmtId="9" fontId="27" fillId="0" borderId="0" xfId="6" applyNumberFormat="1" applyFont="1" applyAlignment="1">
      <alignment horizontal="center"/>
    </xf>
    <xf numFmtId="2" fontId="32" fillId="0" borderId="14" xfId="5" applyNumberFormat="1" applyFont="1" applyBorder="1" applyAlignment="1">
      <alignment horizontal="center"/>
    </xf>
    <xf numFmtId="2" fontId="27" fillId="0" borderId="14" xfId="5" applyNumberFormat="1" applyBorder="1" applyAlignment="1">
      <alignment horizontal="center"/>
    </xf>
    <xf numFmtId="2" fontId="27" fillId="0" borderId="15" xfId="5" applyNumberFormat="1" applyBorder="1" applyAlignment="1">
      <alignment horizontal="center"/>
    </xf>
    <xf numFmtId="2" fontId="32" fillId="0" borderId="24" xfId="5" applyNumberFormat="1" applyFont="1" applyBorder="1" applyAlignment="1">
      <alignment horizontal="center"/>
    </xf>
    <xf numFmtId="2" fontId="34" fillId="0" borderId="0" xfId="5" applyNumberFormat="1" applyFont="1" applyAlignment="1">
      <alignment horizontal="left"/>
    </xf>
    <xf numFmtId="2" fontId="27" fillId="0" borderId="5" xfId="5" applyNumberFormat="1" applyBorder="1" applyAlignment="1">
      <alignment horizontal="center"/>
    </xf>
    <xf numFmtId="2" fontId="32" fillId="0" borderId="15" xfId="5" applyNumberFormat="1" applyFont="1" applyBorder="1" applyAlignment="1">
      <alignment horizontal="center"/>
    </xf>
    <xf numFmtId="2" fontId="35" fillId="0" borderId="0" xfId="5" applyNumberFormat="1" applyFont="1" applyAlignment="1">
      <alignment horizontal="center"/>
    </xf>
    <xf numFmtId="2" fontId="34" fillId="0" borderId="0" xfId="5" applyNumberFormat="1" applyFont="1" applyAlignment="1">
      <alignment horizontal="center"/>
    </xf>
    <xf numFmtId="2" fontId="30" fillId="0" borderId="0" xfId="5" applyNumberFormat="1" applyFont="1" applyAlignment="1">
      <alignment horizontal="center"/>
    </xf>
    <xf numFmtId="2" fontId="27" fillId="0" borderId="12" xfId="5" applyNumberFormat="1" applyBorder="1" applyAlignment="1">
      <alignment horizontal="center"/>
    </xf>
    <xf numFmtId="2" fontId="27" fillId="0" borderId="24" xfId="5" applyNumberFormat="1" applyBorder="1" applyAlignment="1">
      <alignment horizontal="center"/>
    </xf>
    <xf numFmtId="0" fontId="27" fillId="0" borderId="0" xfId="5" quotePrefix="1" applyAlignment="1">
      <alignment horizontal="center"/>
    </xf>
    <xf numFmtId="0" fontId="27" fillId="0" borderId="15" xfId="5" applyBorder="1" applyAlignment="1">
      <alignment horizontal="center"/>
    </xf>
    <xf numFmtId="0" fontId="27" fillId="0" borderId="15" xfId="5" applyBorder="1"/>
    <xf numFmtId="0" fontId="27" fillId="0" borderId="0" xfId="5"/>
    <xf numFmtId="2" fontId="27" fillId="0" borderId="18" xfId="5" applyNumberFormat="1" applyBorder="1"/>
    <xf numFmtId="0" fontId="27" fillId="0" borderId="25" xfId="5" applyBorder="1"/>
    <xf numFmtId="2" fontId="27" fillId="0" borderId="9" xfId="5" applyNumberFormat="1" applyBorder="1" applyAlignment="1">
      <alignment horizontal="center"/>
    </xf>
    <xf numFmtId="2" fontId="27" fillId="0" borderId="25" xfId="5" applyNumberFormat="1" applyBorder="1" applyAlignment="1">
      <alignment horizontal="center"/>
    </xf>
    <xf numFmtId="2" fontId="27" fillId="0" borderId="24" xfId="5" applyNumberFormat="1" applyBorder="1" applyAlignment="1">
      <alignment horizontal="left"/>
    </xf>
    <xf numFmtId="2" fontId="27" fillId="0" borderId="0" xfId="5" applyNumberFormat="1"/>
    <xf numFmtId="1" fontId="1" fillId="0" borderId="27" xfId="1" applyNumberFormat="1" applyBorder="1" applyAlignment="1">
      <alignment horizontal="center" vertical="top"/>
    </xf>
    <xf numFmtId="1" fontId="1" fillId="0" borderId="28" xfId="1" applyNumberFormat="1" applyBorder="1" applyAlignment="1">
      <alignment horizontal="center" vertical="top" wrapText="1"/>
    </xf>
    <xf numFmtId="1" fontId="1" fillId="0" borderId="28" xfId="1" applyNumberFormat="1" applyBorder="1" applyAlignment="1">
      <alignment horizontal="center" vertical="top"/>
    </xf>
    <xf numFmtId="1" fontId="1" fillId="0" borderId="29" xfId="1" applyNumberFormat="1" applyBorder="1" applyAlignment="1">
      <alignment horizontal="center" vertical="top" wrapText="1"/>
    </xf>
    <xf numFmtId="1" fontId="1" fillId="0" borderId="7" xfId="1" applyNumberFormat="1" applyBorder="1" applyAlignment="1">
      <alignment horizontal="right"/>
    </xf>
    <xf numFmtId="2" fontId="1" fillId="0" borderId="10" xfId="1" applyNumberFormat="1" applyBorder="1" applyAlignment="1">
      <alignment horizontal="right"/>
    </xf>
    <xf numFmtId="2" fontId="1" fillId="0" borderId="1" xfId="1" applyNumberFormat="1" applyBorder="1" applyAlignment="1">
      <alignment horizontal="right"/>
    </xf>
    <xf numFmtId="2" fontId="1" fillId="0" borderId="8" xfId="1" applyNumberFormat="1" applyBorder="1" applyAlignment="1">
      <alignment horizontal="right"/>
    </xf>
    <xf numFmtId="1" fontId="1" fillId="0" borderId="3" xfId="1" applyNumberFormat="1" applyBorder="1" applyAlignment="1">
      <alignment horizontal="right"/>
    </xf>
    <xf numFmtId="2" fontId="0" fillId="0" borderId="1" xfId="7" applyNumberFormat="1" applyFont="1" applyBorder="1" applyAlignment="1" applyProtection="1">
      <alignment horizontal="right"/>
    </xf>
    <xf numFmtId="2" fontId="1" fillId="0" borderId="0" xfId="1" applyNumberFormat="1"/>
    <xf numFmtId="1" fontId="1" fillId="0" borderId="30" xfId="1" applyNumberFormat="1" applyBorder="1" applyAlignment="1">
      <alignment horizontal="right"/>
    </xf>
    <xf numFmtId="2" fontId="1" fillId="0" borderId="31" xfId="1" applyNumberFormat="1" applyBorder="1" applyAlignment="1">
      <alignment horizontal="right"/>
    </xf>
    <xf numFmtId="2" fontId="1" fillId="0" borderId="32" xfId="1" applyNumberFormat="1" applyBorder="1" applyAlignment="1">
      <alignment horizontal="right"/>
    </xf>
    <xf numFmtId="1" fontId="1" fillId="0" borderId="26" xfId="1" applyNumberFormat="1" applyBorder="1"/>
    <xf numFmtId="1" fontId="1" fillId="0" borderId="0" xfId="1" applyNumberFormat="1"/>
    <xf numFmtId="10" fontId="1" fillId="0" borderId="33" xfId="1" applyNumberFormat="1" applyBorder="1"/>
    <xf numFmtId="40" fontId="1" fillId="0" borderId="0" xfId="1" applyNumberFormat="1"/>
    <xf numFmtId="10" fontId="1" fillId="0" borderId="0" xfId="1" applyNumberFormat="1"/>
    <xf numFmtId="2" fontId="1" fillId="0" borderId="33" xfId="1" applyNumberFormat="1" applyBorder="1"/>
    <xf numFmtId="0" fontId="1" fillId="0" borderId="33" xfId="1" applyBorder="1"/>
    <xf numFmtId="0" fontId="38" fillId="0" borderId="0" xfId="1" applyFont="1"/>
    <xf numFmtId="0" fontId="40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7" fillId="0" borderId="1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7" fillId="0" borderId="6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0" fontId="17" fillId="0" borderId="18" xfId="1" applyFont="1" applyBorder="1" applyAlignment="1">
      <alignment horizontal="center"/>
    </xf>
    <xf numFmtId="0" fontId="17" fillId="0" borderId="6" xfId="1" applyFont="1" applyBorder="1"/>
    <xf numFmtId="0" fontId="17" fillId="0" borderId="1" xfId="1" applyFont="1" applyBorder="1"/>
    <xf numFmtId="2" fontId="17" fillId="0" borderId="1" xfId="1" applyNumberFormat="1" applyFont="1" applyBorder="1" applyAlignment="1">
      <alignment horizontal="center"/>
    </xf>
    <xf numFmtId="2" fontId="17" fillId="0" borderId="18" xfId="1" applyNumberFormat="1" applyFont="1" applyBorder="1" applyAlignment="1">
      <alignment horizontal="center"/>
    </xf>
    <xf numFmtId="2" fontId="17" fillId="0" borderId="0" xfId="1" applyNumberFormat="1" applyFont="1" applyAlignment="1">
      <alignment horizontal="center"/>
    </xf>
    <xf numFmtId="2" fontId="40" fillId="0" borderId="1" xfId="1" applyNumberFormat="1" applyFont="1" applyBorder="1" applyAlignment="1">
      <alignment horizontal="center"/>
    </xf>
    <xf numFmtId="1" fontId="1" fillId="0" borderId="1" xfId="1" applyNumberFormat="1" applyBorder="1" applyAlignment="1">
      <alignment horizontal="center" vertical="center"/>
    </xf>
    <xf numFmtId="0" fontId="1" fillId="0" borderId="1" xfId="1" applyBorder="1" applyAlignment="1" applyProtection="1">
      <alignment horizontal="right" vertical="center" wrapText="1"/>
      <protection locked="0"/>
    </xf>
    <xf numFmtId="0" fontId="12" fillId="0" borderId="10" xfId="1" applyFont="1" applyBorder="1" applyAlignment="1" applyProtection="1">
      <alignment horizontal="center" vertical="top" wrapText="1"/>
      <protection locked="0"/>
    </xf>
    <xf numFmtId="0" fontId="12" fillId="0" borderId="1" xfId="1" applyFont="1" applyBorder="1" applyAlignment="1" applyProtection="1">
      <alignment horizontal="center" vertical="top" wrapText="1"/>
      <protection locked="0"/>
    </xf>
    <xf numFmtId="3" fontId="12" fillId="0" borderId="1" xfId="1" applyNumberFormat="1" applyFont="1" applyBorder="1" applyAlignment="1" applyProtection="1">
      <alignment horizontal="center" vertical="top"/>
      <protection locked="0"/>
    </xf>
    <xf numFmtId="164" fontId="21" fillId="0" borderId="0" xfId="1" applyNumberFormat="1" applyFont="1" applyAlignment="1" applyProtection="1">
      <alignment vertical="center"/>
      <protection locked="0"/>
    </xf>
    <xf numFmtId="164" fontId="19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166" fontId="21" fillId="0" borderId="1" xfId="2" applyNumberFormat="1" applyFont="1" applyBorder="1" applyAlignment="1" applyProtection="1">
      <alignment horizontal="center" vertical="top" wrapText="1"/>
      <protection locked="0"/>
    </xf>
    <xf numFmtId="164" fontId="3" fillId="0" borderId="1" xfId="1" applyNumberFormat="1" applyFont="1" applyBorder="1" applyAlignment="1">
      <alignment vertical="center"/>
    </xf>
    <xf numFmtId="165" fontId="1" fillId="0" borderId="1" xfId="1" applyNumberFormat="1" applyBorder="1" applyAlignment="1" applyProtection="1">
      <alignment vertical="center"/>
      <protection locked="0"/>
    </xf>
    <xf numFmtId="165" fontId="1" fillId="0" borderId="0" xfId="1" applyNumberFormat="1" applyAlignment="1" applyProtection="1">
      <alignment vertical="center"/>
      <protection locked="0"/>
    </xf>
    <xf numFmtId="167" fontId="1" fillId="0" borderId="0" xfId="1" applyNumberFormat="1"/>
    <xf numFmtId="4" fontId="12" fillId="0" borderId="1" xfId="1" applyNumberFormat="1" applyFont="1" applyBorder="1" applyAlignment="1" applyProtection="1">
      <alignment horizontal="center" vertical="center"/>
      <protection locked="0"/>
    </xf>
    <xf numFmtId="2" fontId="1" fillId="0" borderId="1" xfId="1" applyNumberFormat="1" applyBorder="1" applyAlignment="1">
      <alignment vertical="top"/>
    </xf>
    <xf numFmtId="0" fontId="4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1" fillId="0" borderId="1" xfId="0" applyFont="1" applyBorder="1"/>
    <xf numFmtId="0" fontId="41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21" fillId="4" borderId="0" xfId="1" applyFont="1" applyFill="1" applyAlignment="1" applyProtection="1">
      <alignment vertical="center"/>
      <protection locked="0"/>
    </xf>
    <xf numFmtId="2" fontId="21" fillId="4" borderId="0" xfId="1" applyNumberFormat="1" applyFont="1" applyFill="1" applyAlignment="1" applyProtection="1">
      <alignment vertical="center"/>
      <protection locked="0"/>
    </xf>
    <xf numFmtId="164" fontId="21" fillId="4" borderId="0" xfId="1" applyNumberFormat="1" applyFont="1" applyFill="1" applyAlignment="1" applyProtection="1">
      <alignment vertical="center"/>
      <protection locked="0"/>
    </xf>
    <xf numFmtId="0" fontId="0" fillId="0" borderId="1" xfId="0" applyBorder="1" applyAlignment="1">
      <alignment horizontal="center"/>
    </xf>
    <xf numFmtId="0" fontId="0" fillId="0" borderId="0" xfId="0"/>
    <xf numFmtId="4" fontId="10" fillId="0" borderId="0" xfId="1" applyNumberFormat="1" applyFont="1" applyProtection="1">
      <protection locked="0"/>
    </xf>
    <xf numFmtId="0" fontId="10" fillId="0" borderId="2" xfId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center" vertical="top"/>
      <protection locked="0"/>
    </xf>
    <xf numFmtId="0" fontId="10" fillId="0" borderId="2" xfId="1" applyFont="1" applyBorder="1" applyAlignment="1" applyProtection="1">
      <alignment horizontal="center" vertical="center" wrapText="1"/>
      <protection locked="0"/>
    </xf>
    <xf numFmtId="0" fontId="12" fillId="0" borderId="2" xfId="1" applyFont="1" applyBorder="1" applyAlignment="1" applyProtection="1">
      <alignment horizontal="center" vertical="center" wrapText="1"/>
      <protection locked="0"/>
    </xf>
    <xf numFmtId="4" fontId="10" fillId="0" borderId="1" xfId="1" applyNumberFormat="1" applyFont="1" applyBorder="1" applyAlignment="1">
      <alignment horizontal="center" vertical="center"/>
    </xf>
    <xf numFmtId="2" fontId="1" fillId="0" borderId="33" xfId="0" applyNumberFormat="1" applyFont="1" applyBorder="1"/>
    <xf numFmtId="165" fontId="10" fillId="0" borderId="2" xfId="1" applyNumberFormat="1" applyFont="1" applyBorder="1" applyAlignment="1" applyProtection="1">
      <alignment vertical="center" wrapText="1"/>
      <protection locked="0"/>
    </xf>
    <xf numFmtId="2" fontId="17" fillId="0" borderId="1" xfId="1" applyNumberFormat="1" applyFont="1" applyBorder="1" applyAlignment="1">
      <alignment vertical="top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14" fillId="3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0" xfId="0" applyFont="1" applyFill="1"/>
    <xf numFmtId="2" fontId="0" fillId="3" borderId="1" xfId="0" applyNumberForma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/>
    </xf>
    <xf numFmtId="0" fontId="12" fillId="3" borderId="1" xfId="1" applyFont="1" applyFill="1" applyBorder="1" applyAlignment="1" applyProtection="1">
      <alignment horizontal="center" vertical="top"/>
      <protection locked="0"/>
    </xf>
    <xf numFmtId="0" fontId="12" fillId="3" borderId="1" xfId="1" applyFont="1" applyFill="1" applyBorder="1" applyAlignment="1" applyProtection="1">
      <alignment vertical="top" wrapText="1"/>
      <protection locked="0"/>
    </xf>
    <xf numFmtId="0" fontId="2" fillId="3" borderId="1" xfId="1" applyFont="1" applyFill="1" applyBorder="1" applyAlignment="1" applyProtection="1">
      <alignment vertical="top" wrapText="1"/>
      <protection locked="0"/>
    </xf>
    <xf numFmtId="0" fontId="12" fillId="3" borderId="1" xfId="1" applyFont="1" applyFill="1" applyBorder="1" applyAlignment="1" applyProtection="1">
      <alignment horizontal="center" vertical="top" wrapText="1"/>
      <protection locked="0"/>
    </xf>
    <xf numFmtId="2" fontId="17" fillId="3" borderId="1" xfId="1" applyNumberFormat="1" applyFont="1" applyFill="1" applyBorder="1" applyAlignment="1">
      <alignment vertical="top"/>
    </xf>
    <xf numFmtId="4" fontId="12" fillId="3" borderId="1" xfId="1" applyNumberFormat="1" applyFont="1" applyFill="1" applyBorder="1" applyAlignment="1" applyProtection="1">
      <alignment horizontal="right" vertical="top"/>
      <protection locked="0"/>
    </xf>
    <xf numFmtId="4" fontId="12" fillId="3" borderId="5" xfId="1" applyNumberFormat="1" applyFont="1" applyFill="1" applyBorder="1" applyAlignment="1" applyProtection="1">
      <alignment horizontal="right" vertical="top"/>
      <protection locked="0"/>
    </xf>
    <xf numFmtId="0" fontId="12" fillId="3" borderId="3" xfId="1" applyFont="1" applyFill="1" applyBorder="1" applyAlignment="1" applyProtection="1">
      <alignment vertical="top"/>
      <protection locked="0"/>
    </xf>
    <xf numFmtId="4" fontId="12" fillId="3" borderId="1" xfId="1" applyNumberFormat="1" applyFont="1" applyFill="1" applyBorder="1" applyAlignment="1" applyProtection="1">
      <alignment horizontal="center" vertical="top"/>
      <protection locked="0"/>
    </xf>
    <xf numFmtId="4" fontId="12" fillId="3" borderId="6" xfId="1" applyNumberFormat="1" applyFont="1" applyFill="1" applyBorder="1" applyAlignment="1" applyProtection="1">
      <alignment horizontal="center" vertical="top"/>
      <protection locked="0"/>
    </xf>
    <xf numFmtId="4" fontId="12" fillId="3" borderId="4" xfId="1" applyNumberFormat="1" applyFont="1" applyFill="1" applyBorder="1" applyAlignment="1" applyProtection="1">
      <alignment horizontal="right" vertical="top"/>
      <protection locked="0"/>
    </xf>
    <xf numFmtId="4" fontId="12" fillId="3" borderId="3" xfId="1" applyNumberFormat="1" applyFont="1" applyFill="1" applyBorder="1" applyAlignment="1" applyProtection="1">
      <alignment horizontal="right" vertical="top"/>
      <protection locked="0"/>
    </xf>
    <xf numFmtId="0" fontId="12" fillId="3" borderId="1" xfId="1" applyFont="1" applyFill="1" applyBorder="1" applyAlignment="1" applyProtection="1">
      <alignment vertical="top"/>
      <protection locked="0"/>
    </xf>
    <xf numFmtId="0" fontId="1" fillId="3" borderId="1" xfId="1" applyFill="1" applyBorder="1" applyAlignment="1" applyProtection="1">
      <alignment vertical="top"/>
      <protection locked="0"/>
    </xf>
    <xf numFmtId="0" fontId="1" fillId="3" borderId="0" xfId="1" applyFill="1" applyAlignment="1" applyProtection="1">
      <alignment vertical="top"/>
      <protection locked="0"/>
    </xf>
    <xf numFmtId="0" fontId="12" fillId="3" borderId="10" xfId="1" applyFont="1" applyFill="1" applyBorder="1" applyAlignment="1" applyProtection="1">
      <alignment horizontal="center" vertical="top" wrapText="1"/>
      <protection locked="0"/>
    </xf>
    <xf numFmtId="0" fontId="12" fillId="3" borderId="10" xfId="1" applyFont="1" applyFill="1" applyBorder="1" applyAlignment="1" applyProtection="1">
      <alignment horizontal="left" vertical="top" wrapText="1"/>
      <protection locked="0"/>
    </xf>
    <xf numFmtId="0" fontId="2" fillId="3" borderId="10" xfId="1" applyFont="1" applyFill="1" applyBorder="1" applyAlignment="1" applyProtection="1">
      <alignment horizontal="left" vertical="top" wrapText="1"/>
      <protection locked="0"/>
    </xf>
    <xf numFmtId="4" fontId="12" fillId="3" borderId="1" xfId="1" applyNumberFormat="1" applyFont="1" applyFill="1" applyBorder="1" applyAlignment="1" applyProtection="1">
      <alignment vertical="top"/>
      <protection locked="0"/>
    </xf>
    <xf numFmtId="4" fontId="12" fillId="3" borderId="1" xfId="1" applyNumberFormat="1" applyFont="1" applyFill="1" applyBorder="1" applyAlignment="1" applyProtection="1">
      <alignment horizontal="right" vertical="top" wrapText="1"/>
      <protection locked="0"/>
    </xf>
    <xf numFmtId="4" fontId="12" fillId="3" borderId="10" xfId="1" applyNumberFormat="1" applyFont="1" applyFill="1" applyBorder="1" applyAlignment="1" applyProtection="1">
      <alignment horizontal="right" vertical="top" wrapText="1"/>
      <protection locked="0"/>
    </xf>
    <xf numFmtId="4" fontId="12" fillId="3" borderId="9" xfId="1" applyNumberFormat="1" applyFont="1" applyFill="1" applyBorder="1" applyAlignment="1" applyProtection="1">
      <alignment horizontal="right" vertical="top" wrapText="1"/>
      <protection locked="0"/>
    </xf>
    <xf numFmtId="4" fontId="12" fillId="3" borderId="10" xfId="1" applyNumberFormat="1" applyFont="1" applyFill="1" applyBorder="1" applyAlignment="1" applyProtection="1">
      <alignment horizontal="center" vertical="top" wrapText="1"/>
      <protection locked="0"/>
    </xf>
    <xf numFmtId="0" fontId="12" fillId="3" borderId="1" xfId="1" applyFont="1" applyFill="1" applyBorder="1" applyAlignment="1" applyProtection="1">
      <alignment horizontal="justify" vertical="top" wrapText="1"/>
      <protection locked="0"/>
    </xf>
    <xf numFmtId="0" fontId="2" fillId="3" borderId="1" xfId="1" applyFont="1" applyFill="1" applyBorder="1" applyAlignment="1" applyProtection="1">
      <alignment horizontal="justify" vertical="top" wrapText="1"/>
      <protection locked="0"/>
    </xf>
    <xf numFmtId="0" fontId="12" fillId="3" borderId="1" xfId="1" applyFont="1" applyFill="1" applyBorder="1" applyAlignment="1" applyProtection="1">
      <alignment horizontal="left" vertical="top" wrapText="1"/>
      <protection locked="0"/>
    </xf>
    <xf numFmtId="0" fontId="2" fillId="3" borderId="1" xfId="1" applyFont="1" applyFill="1" applyBorder="1" applyAlignment="1" applyProtection="1">
      <alignment horizontal="left" vertical="top" wrapText="1"/>
      <protection locked="0"/>
    </xf>
    <xf numFmtId="4" fontId="12" fillId="3" borderId="5" xfId="1" applyNumberFormat="1" applyFont="1" applyFill="1" applyBorder="1" applyAlignment="1" applyProtection="1">
      <alignment horizontal="right" vertical="top" wrapText="1"/>
      <protection locked="0"/>
    </xf>
    <xf numFmtId="4" fontId="12" fillId="3" borderId="1" xfId="1" applyNumberFormat="1" applyFont="1" applyFill="1" applyBorder="1" applyAlignment="1" applyProtection="1">
      <alignment horizontal="center" vertical="top" wrapText="1"/>
      <protection locked="0"/>
    </xf>
    <xf numFmtId="0" fontId="17" fillId="3" borderId="0" xfId="0" applyFont="1" applyFill="1"/>
    <xf numFmtId="0" fontId="2" fillId="3" borderId="11" xfId="1" applyFont="1" applyFill="1" applyBorder="1" applyAlignment="1" applyProtection="1">
      <alignment vertical="top" wrapText="1"/>
      <protection locked="0"/>
    </xf>
    <xf numFmtId="4" fontId="12" fillId="3" borderId="11" xfId="1" applyNumberFormat="1" applyFont="1" applyFill="1" applyBorder="1" applyAlignment="1" applyProtection="1">
      <alignment horizontal="right" vertical="top"/>
      <protection locked="0"/>
    </xf>
    <xf numFmtId="4" fontId="12" fillId="3" borderId="13" xfId="1" applyNumberFormat="1" applyFont="1" applyFill="1" applyBorder="1" applyAlignment="1" applyProtection="1">
      <alignment horizontal="right" vertical="top"/>
      <protection locked="0"/>
    </xf>
    <xf numFmtId="4" fontId="12" fillId="3" borderId="11" xfId="1" applyNumberFormat="1" applyFont="1" applyFill="1" applyBorder="1" applyAlignment="1" applyProtection="1">
      <alignment horizontal="center" vertical="top"/>
      <protection locked="0"/>
    </xf>
    <xf numFmtId="4" fontId="12" fillId="3" borderId="1" xfId="1" applyNumberFormat="1" applyFont="1" applyFill="1" applyBorder="1" applyAlignment="1" applyProtection="1">
      <alignment vertical="center"/>
      <protection locked="0"/>
    </xf>
    <xf numFmtId="4" fontId="12" fillId="3" borderId="1" xfId="1" applyNumberFormat="1" applyFont="1" applyFill="1" applyBorder="1" applyAlignment="1" applyProtection="1">
      <alignment horizontal="right" vertical="center"/>
      <protection locked="0"/>
    </xf>
    <xf numFmtId="4" fontId="12" fillId="3" borderId="5" xfId="1" applyNumberFormat="1" applyFont="1" applyFill="1" applyBorder="1" applyAlignment="1" applyProtection="1">
      <alignment horizontal="right" vertical="center"/>
      <protection locked="0"/>
    </xf>
    <xf numFmtId="4" fontId="12" fillId="3" borderId="3" xfId="1" applyNumberFormat="1" applyFont="1" applyFill="1" applyBorder="1" applyAlignment="1" applyProtection="1">
      <alignment horizontal="right" vertical="center"/>
      <protection locked="0"/>
    </xf>
    <xf numFmtId="4" fontId="12" fillId="3" borderId="1" xfId="1" applyNumberFormat="1" applyFont="1" applyFill="1" applyBorder="1" applyAlignment="1" applyProtection="1">
      <alignment horizontal="center" vertical="center"/>
      <protection locked="0"/>
    </xf>
    <xf numFmtId="4" fontId="12" fillId="3" borderId="4" xfId="1" applyNumberFormat="1" applyFont="1" applyFill="1" applyBorder="1" applyAlignment="1" applyProtection="1">
      <alignment horizontal="right" vertical="center"/>
      <protection locked="0"/>
    </xf>
    <xf numFmtId="0" fontId="0" fillId="3" borderId="16" xfId="0" applyFill="1" applyBorder="1" applyAlignment="1">
      <alignment horizontal="center" vertical="center" wrapText="1"/>
    </xf>
    <xf numFmtId="0" fontId="1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4" fontId="12" fillId="3" borderId="1" xfId="1" applyNumberFormat="1" applyFont="1" applyFill="1" applyBorder="1" applyAlignment="1" applyProtection="1">
      <alignment vertical="center" wrapText="1"/>
      <protection locked="0"/>
    </xf>
    <xf numFmtId="4" fontId="12" fillId="3" borderId="1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5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3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6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1" applyFill="1" applyBorder="1" applyAlignment="1" applyProtection="1">
      <alignment horizontal="center" vertical="center" wrapText="1"/>
      <protection locked="0"/>
    </xf>
    <xf numFmtId="0" fontId="1" fillId="3" borderId="0" xfId="1" applyFill="1" applyAlignment="1" applyProtection="1">
      <alignment horizontal="center" vertical="center" wrapText="1"/>
      <protection locked="0"/>
    </xf>
    <xf numFmtId="0" fontId="12" fillId="3" borderId="1" xfId="1" applyFont="1" applyFill="1" applyBorder="1" applyAlignment="1" applyProtection="1">
      <alignment vertical="center" wrapText="1"/>
      <protection locked="0"/>
    </xf>
    <xf numFmtId="0" fontId="2" fillId="3" borderId="1" xfId="1" applyFont="1" applyFill="1" applyBorder="1" applyAlignment="1" applyProtection="1">
      <alignment vertical="center" wrapText="1"/>
      <protection locked="0"/>
    </xf>
    <xf numFmtId="4" fontId="12" fillId="3" borderId="11" xfId="1" applyNumberFormat="1" applyFont="1" applyFill="1" applyBorder="1" applyAlignment="1" applyProtection="1">
      <alignment horizontal="right" vertical="center"/>
      <protection locked="0"/>
    </xf>
    <xf numFmtId="4" fontId="12" fillId="3" borderId="13" xfId="1" applyNumberFormat="1" applyFont="1" applyFill="1" applyBorder="1" applyAlignment="1" applyProtection="1">
      <alignment horizontal="right" vertical="center"/>
      <protection locked="0"/>
    </xf>
    <xf numFmtId="0" fontId="12" fillId="3" borderId="3" xfId="1" applyFont="1" applyFill="1" applyBorder="1" applyAlignment="1" applyProtection="1">
      <alignment vertical="center"/>
      <protection locked="0"/>
    </xf>
    <xf numFmtId="4" fontId="12" fillId="3" borderId="11" xfId="1" applyNumberFormat="1" applyFont="1" applyFill="1" applyBorder="1" applyAlignment="1" applyProtection="1">
      <alignment horizontal="center" vertical="center"/>
      <protection locked="0"/>
    </xf>
    <xf numFmtId="0" fontId="12" fillId="3" borderId="1" xfId="1" applyFont="1" applyFill="1" applyBorder="1" applyAlignment="1" applyProtection="1">
      <alignment vertical="center"/>
      <protection locked="0"/>
    </xf>
    <xf numFmtId="0" fontId="1" fillId="3" borderId="1" xfId="1" applyFill="1" applyBorder="1" applyAlignment="1" applyProtection="1">
      <alignment vertical="center"/>
      <protection locked="0"/>
    </xf>
    <xf numFmtId="0" fontId="1" fillId="3" borderId="0" xfId="1" applyFill="1" applyAlignment="1" applyProtection="1">
      <alignment vertical="center"/>
      <protection locked="0"/>
    </xf>
    <xf numFmtId="0" fontId="12" fillId="3" borderId="1" xfId="1" applyFont="1" applyFill="1" applyBorder="1" applyAlignment="1" applyProtection="1">
      <alignment horizontal="center" vertical="center"/>
      <protection locked="0"/>
    </xf>
    <xf numFmtId="0" fontId="10" fillId="3" borderId="16" xfId="1" applyFont="1" applyFill="1" applyBorder="1" applyAlignment="1" applyProtection="1">
      <alignment vertical="top"/>
      <protection locked="0"/>
    </xf>
    <xf numFmtId="0" fontId="12" fillId="3" borderId="10" xfId="1" applyFont="1" applyFill="1" applyBorder="1" applyAlignment="1" applyProtection="1">
      <alignment horizontal="center" vertical="center"/>
      <protection locked="0"/>
    </xf>
    <xf numFmtId="0" fontId="12" fillId="3" borderId="10" xfId="1" applyFont="1" applyFill="1" applyBorder="1" applyAlignment="1" applyProtection="1">
      <alignment vertical="center" wrapText="1"/>
      <protection locked="0"/>
    </xf>
    <xf numFmtId="0" fontId="2" fillId="3" borderId="10" xfId="1" applyFont="1" applyFill="1" applyBorder="1" applyAlignment="1" applyProtection="1">
      <alignment vertical="center" wrapText="1"/>
      <protection locked="0"/>
    </xf>
    <xf numFmtId="0" fontId="12" fillId="3" borderId="10" xfId="1" applyFont="1" applyFill="1" applyBorder="1" applyAlignment="1" applyProtection="1">
      <alignment horizontal="center" vertical="center" wrapText="1"/>
      <protection locked="0"/>
    </xf>
    <xf numFmtId="4" fontId="12" fillId="3" borderId="10" xfId="1" applyNumberFormat="1" applyFont="1" applyFill="1" applyBorder="1" applyAlignment="1" applyProtection="1">
      <alignment horizontal="right" vertical="center"/>
      <protection locked="0"/>
    </xf>
    <xf numFmtId="4" fontId="12" fillId="3" borderId="9" xfId="1" applyNumberFormat="1" applyFont="1" applyFill="1" applyBorder="1" applyAlignment="1" applyProtection="1">
      <alignment horizontal="right" vertical="center"/>
      <protection locked="0"/>
    </xf>
    <xf numFmtId="4" fontId="12" fillId="3" borderId="10" xfId="1" applyNumberFormat="1" applyFont="1" applyFill="1" applyBorder="1" applyAlignment="1" applyProtection="1">
      <alignment horizontal="center" vertical="center"/>
      <protection locked="0"/>
    </xf>
    <xf numFmtId="0" fontId="12" fillId="3" borderId="3" xfId="1" applyFont="1" applyFill="1" applyBorder="1" applyAlignment="1" applyProtection="1">
      <alignment horizontal="left" vertical="top" wrapText="1"/>
      <protection locked="0"/>
    </xf>
    <xf numFmtId="4" fontId="12" fillId="3" borderId="8" xfId="1" applyNumberFormat="1" applyFont="1" applyFill="1" applyBorder="1" applyAlignment="1" applyProtection="1">
      <alignment horizontal="right" vertical="center"/>
      <protection locked="0"/>
    </xf>
    <xf numFmtId="4" fontId="12" fillId="3" borderId="7" xfId="1" applyNumberFormat="1" applyFont="1" applyFill="1" applyBorder="1" applyAlignment="1" applyProtection="1">
      <alignment horizontal="right" vertical="center"/>
      <protection locked="0"/>
    </xf>
    <xf numFmtId="0" fontId="12" fillId="3" borderId="10" xfId="1" applyFont="1" applyFill="1" applyBorder="1" applyAlignment="1" applyProtection="1">
      <alignment horizontal="justify" vertical="top" wrapText="1"/>
      <protection locked="0"/>
    </xf>
    <xf numFmtId="3" fontId="12" fillId="3" borderId="1" xfId="1" applyNumberFormat="1" applyFont="1" applyFill="1" applyBorder="1" applyAlignment="1" applyProtection="1">
      <alignment horizontal="center" vertical="top"/>
      <protection locked="0"/>
    </xf>
    <xf numFmtId="4" fontId="1" fillId="3" borderId="0" xfId="1" applyNumberFormat="1" applyFill="1" applyAlignment="1" applyProtection="1">
      <alignment vertical="top"/>
      <protection locked="0"/>
    </xf>
    <xf numFmtId="0" fontId="12" fillId="3" borderId="1" xfId="1" applyFont="1" applyFill="1" applyBorder="1" applyAlignment="1" applyProtection="1">
      <alignment horizontal="left" vertical="center" wrapText="1"/>
      <protection locked="0"/>
    </xf>
    <xf numFmtId="4" fontId="1" fillId="3" borderId="1" xfId="1" applyNumberFormat="1" applyFill="1" applyBorder="1" applyAlignment="1" applyProtection="1">
      <alignment vertical="center"/>
      <protection locked="0"/>
    </xf>
    <xf numFmtId="4" fontId="1" fillId="3" borderId="0" xfId="1" applyNumberFormat="1" applyFill="1" applyAlignment="1" applyProtection="1">
      <alignment vertical="center"/>
      <protection locked="0"/>
    </xf>
    <xf numFmtId="4" fontId="12" fillId="3" borderId="6" xfId="1" applyNumberFormat="1" applyFont="1" applyFill="1" applyBorder="1" applyAlignment="1" applyProtection="1">
      <alignment horizontal="center" vertical="center"/>
      <protection locked="0"/>
    </xf>
    <xf numFmtId="43" fontId="12" fillId="3" borderId="1" xfId="2" applyNumberFormat="1" applyFont="1" applyFill="1" applyBorder="1" applyAlignment="1" applyProtection="1">
      <alignment vertical="center"/>
      <protection locked="0"/>
    </xf>
    <xf numFmtId="43" fontId="1" fillId="3" borderId="0" xfId="1" applyNumberFormat="1" applyFill="1" applyAlignment="1" applyProtection="1">
      <alignment vertical="center"/>
      <protection locked="0"/>
    </xf>
    <xf numFmtId="2" fontId="12" fillId="3" borderId="5" xfId="1" applyNumberFormat="1" applyFont="1" applyFill="1" applyBorder="1" applyAlignment="1" applyProtection="1">
      <alignment horizontal="center" vertical="top" wrapText="1"/>
      <protection locked="0"/>
    </xf>
    <xf numFmtId="165" fontId="12" fillId="3" borderId="1" xfId="1" applyNumberFormat="1" applyFont="1" applyFill="1" applyBorder="1" applyAlignment="1" applyProtection="1">
      <alignment horizontal="center" vertical="top"/>
      <protection locked="0"/>
    </xf>
    <xf numFmtId="4" fontId="12" fillId="3" borderId="6" xfId="1" applyNumberFormat="1" applyFont="1" applyFill="1" applyBorder="1" applyAlignment="1" applyProtection="1">
      <alignment horizontal="right" vertical="center"/>
      <protection locked="0"/>
    </xf>
    <xf numFmtId="0" fontId="12" fillId="3" borderId="5" xfId="1" applyFont="1" applyFill="1" applyBorder="1" applyAlignment="1" applyProtection="1">
      <alignment horizontal="center" vertical="top" wrapText="1"/>
      <protection locked="0"/>
    </xf>
    <xf numFmtId="0" fontId="10" fillId="3" borderId="10" xfId="1" applyFont="1" applyFill="1" applyBorder="1" applyAlignment="1" applyProtection="1">
      <alignment vertical="top"/>
      <protection locked="0"/>
    </xf>
    <xf numFmtId="0" fontId="13" fillId="3" borderId="0" xfId="1" applyFont="1" applyFill="1" applyAlignment="1" applyProtection="1">
      <alignment vertical="center"/>
      <protection locked="0"/>
    </xf>
    <xf numFmtId="2" fontId="2" fillId="3" borderId="1" xfId="1" applyNumberFormat="1" applyFont="1" applyFill="1" applyBorder="1" applyAlignment="1">
      <alignment vertical="center"/>
    </xf>
    <xf numFmtId="0" fontId="18" fillId="3" borderId="0" xfId="1" applyFont="1" applyFill="1" applyAlignment="1">
      <alignment vertical="top"/>
    </xf>
    <xf numFmtId="0" fontId="7" fillId="3" borderId="0" xfId="1" applyFont="1" applyFill="1" applyAlignment="1">
      <alignment vertical="top"/>
    </xf>
    <xf numFmtId="0" fontId="3" fillId="3" borderId="11" xfId="1" applyFont="1" applyFill="1" applyBorder="1" applyAlignment="1">
      <alignment vertical="top" wrapText="1"/>
    </xf>
    <xf numFmtId="0" fontId="0" fillId="3" borderId="16" xfId="0" applyFill="1" applyBorder="1"/>
    <xf numFmtId="0" fontId="3" fillId="3" borderId="16" xfId="1" applyFont="1" applyFill="1" applyBorder="1" applyAlignment="1">
      <alignment vertical="top" wrapText="1"/>
    </xf>
    <xf numFmtId="0" fontId="0" fillId="3" borderId="10" xfId="0" applyFill="1" applyBorder="1"/>
    <xf numFmtId="0" fontId="3" fillId="3" borderId="10" xfId="1" applyFont="1" applyFill="1" applyBorder="1" applyAlignment="1">
      <alignment vertical="top" wrapText="1"/>
    </xf>
    <xf numFmtId="0" fontId="19" fillId="3" borderId="1" xfId="1" applyFont="1" applyFill="1" applyBorder="1" applyAlignment="1">
      <alignment horizontal="center" vertical="top" wrapText="1"/>
    </xf>
    <xf numFmtId="0" fontId="20" fillId="3" borderId="1" xfId="1" applyFont="1" applyFill="1" applyBorder="1" applyAlignment="1">
      <alignment horizontal="center" vertical="top" wrapText="1"/>
    </xf>
    <xf numFmtId="0" fontId="2" fillId="3" borderId="1" xfId="1" applyFont="1" applyFill="1" applyBorder="1" applyAlignment="1" applyProtection="1">
      <alignment horizontal="center" vertical="top"/>
      <protection locked="0"/>
    </xf>
    <xf numFmtId="0" fontId="10" fillId="3" borderId="0" xfId="1" applyFont="1" applyFill="1" applyAlignment="1" applyProtection="1">
      <alignment horizontal="left" vertical="top"/>
      <protection locked="0"/>
    </xf>
    <xf numFmtId="0" fontId="2" fillId="3" borderId="0" xfId="1" applyFont="1" applyFill="1" applyAlignment="1" applyProtection="1">
      <alignment vertical="top"/>
      <protection locked="0"/>
    </xf>
    <xf numFmtId="2" fontId="1" fillId="3" borderId="1" xfId="1" applyNumberFormat="1" applyFill="1" applyBorder="1" applyAlignment="1">
      <alignment vertical="top"/>
    </xf>
    <xf numFmtId="2" fontId="1" fillId="3" borderId="1" xfId="1" applyNumberFormat="1" applyFill="1" applyBorder="1" applyAlignment="1" applyProtection="1">
      <alignment vertical="top"/>
      <protection locked="0"/>
    </xf>
    <xf numFmtId="1" fontId="1" fillId="3" borderId="1" xfId="1" applyNumberFormat="1" applyFill="1" applyBorder="1" applyAlignment="1" applyProtection="1">
      <alignment vertical="top"/>
      <protection locked="0"/>
    </xf>
    <xf numFmtId="0" fontId="10" fillId="3" borderId="2" xfId="1" applyFont="1" applyFill="1" applyBorder="1" applyAlignment="1" applyProtection="1">
      <alignment vertical="top" wrapText="1"/>
      <protection locked="0"/>
    </xf>
    <xf numFmtId="2" fontId="1" fillId="3" borderId="1" xfId="1" applyNumberFormat="1" applyFill="1" applyBorder="1" applyAlignment="1">
      <alignment vertical="center"/>
    </xf>
    <xf numFmtId="2" fontId="1" fillId="3" borderId="1" xfId="1" applyNumberFormat="1" applyFill="1" applyBorder="1" applyAlignment="1" applyProtection="1">
      <alignment vertical="center"/>
      <protection locked="0"/>
    </xf>
    <xf numFmtId="2" fontId="2" fillId="3" borderId="0" xfId="1" applyNumberFormat="1" applyFont="1" applyFill="1" applyAlignment="1" applyProtection="1">
      <alignment vertical="top" wrapText="1"/>
      <protection locked="0"/>
    </xf>
    <xf numFmtId="2" fontId="2" fillId="3" borderId="0" xfId="1" applyNumberFormat="1" applyFont="1" applyFill="1" applyAlignment="1" applyProtection="1">
      <alignment vertical="top"/>
      <protection locked="0"/>
    </xf>
    <xf numFmtId="0" fontId="12" fillId="3" borderId="0" xfId="1" applyFont="1" applyFill="1" applyAlignment="1">
      <alignment horizontal="center" vertical="top" wrapText="1"/>
    </xf>
    <xf numFmtId="0" fontId="2" fillId="3" borderId="0" xfId="1" applyFont="1" applyFill="1" applyAlignment="1" applyProtection="1">
      <alignment vertical="top" wrapText="1"/>
      <protection locked="0"/>
    </xf>
    <xf numFmtId="0" fontId="3" fillId="5" borderId="10" xfId="1" applyFont="1" applyFill="1" applyBorder="1" applyAlignment="1">
      <alignment vertical="top" wrapText="1"/>
    </xf>
    <xf numFmtId="0" fontId="2" fillId="5" borderId="2" xfId="1" applyFont="1" applyFill="1" applyBorder="1" applyAlignment="1" applyProtection="1">
      <alignment vertical="center"/>
      <protection locked="0"/>
    </xf>
    <xf numFmtId="2" fontId="1" fillId="5" borderId="1" xfId="1" applyNumberFormat="1" applyFill="1" applyBorder="1" applyAlignment="1">
      <alignment vertical="center"/>
    </xf>
    <xf numFmtId="0" fontId="1" fillId="5" borderId="2" xfId="1" applyFill="1" applyBorder="1" applyAlignment="1">
      <alignment vertical="center"/>
    </xf>
    <xf numFmtId="2" fontId="21" fillId="5" borderId="1" xfId="1" applyNumberFormat="1" applyFont="1" applyFill="1" applyBorder="1" applyAlignment="1">
      <alignment vertical="center"/>
    </xf>
    <xf numFmtId="2" fontId="20" fillId="5" borderId="1" xfId="1" applyNumberFormat="1" applyFont="1" applyFill="1" applyBorder="1" applyAlignment="1" applyProtection="1">
      <alignment vertical="center"/>
      <protection locked="0"/>
    </xf>
    <xf numFmtId="0" fontId="2" fillId="5" borderId="1" xfId="1" applyFont="1" applyFill="1" applyBorder="1" applyAlignment="1" applyProtection="1">
      <alignment horizontal="center" vertical="top"/>
      <protection locked="0"/>
    </xf>
    <xf numFmtId="2" fontId="1" fillId="5" borderId="1" xfId="1" applyNumberFormat="1" applyFill="1" applyBorder="1" applyAlignment="1" applyProtection="1">
      <alignment vertical="center"/>
      <protection locked="0"/>
    </xf>
    <xf numFmtId="0" fontId="1" fillId="5" borderId="18" xfId="1" applyFill="1" applyBorder="1" applyAlignment="1" applyProtection="1">
      <alignment vertical="center"/>
      <protection locked="0"/>
    </xf>
    <xf numFmtId="0" fontId="1" fillId="5" borderId="6" xfId="1" applyFill="1" applyBorder="1" applyAlignment="1">
      <alignment vertical="center"/>
    </xf>
    <xf numFmtId="2" fontId="21" fillId="5" borderId="1" xfId="1" applyNumberFormat="1" applyFont="1" applyFill="1" applyBorder="1" applyAlignment="1" applyProtection="1">
      <alignment vertical="center"/>
      <protection locked="0"/>
    </xf>
    <xf numFmtId="0" fontId="20" fillId="5" borderId="1" xfId="1" applyFont="1" applyFill="1" applyBorder="1" applyAlignment="1">
      <alignment horizontal="center" vertical="center" wrapText="1"/>
    </xf>
    <xf numFmtId="0" fontId="1" fillId="5" borderId="0" xfId="1" applyFill="1" applyAlignment="1" applyProtection="1">
      <alignment vertical="center"/>
      <protection locked="0"/>
    </xf>
    <xf numFmtId="0" fontId="19" fillId="5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 applyProtection="1">
      <alignment horizontal="center" vertical="center"/>
      <protection locked="0"/>
    </xf>
    <xf numFmtId="2" fontId="1" fillId="5" borderId="6" xfId="1" applyNumberFormat="1" applyFill="1" applyBorder="1" applyAlignment="1" applyProtection="1">
      <alignment vertical="center"/>
      <protection locked="0"/>
    </xf>
    <xf numFmtId="0" fontId="19" fillId="5" borderId="1" xfId="1" applyFont="1" applyFill="1" applyBorder="1" applyAlignment="1">
      <alignment horizontal="center" vertical="top" wrapText="1"/>
    </xf>
    <xf numFmtId="0" fontId="2" fillId="5" borderId="6" xfId="1" applyFont="1" applyFill="1" applyBorder="1" applyAlignment="1" applyProtection="1">
      <alignment horizontal="center" vertical="center"/>
      <protection locked="0"/>
    </xf>
    <xf numFmtId="2" fontId="21" fillId="5" borderId="6" xfId="1" applyNumberFormat="1" applyFont="1" applyFill="1" applyBorder="1" applyAlignment="1">
      <alignment vertical="center"/>
    </xf>
    <xf numFmtId="2" fontId="21" fillId="5" borderId="6" xfId="1" applyNumberFormat="1" applyFont="1" applyFill="1" applyBorder="1" applyAlignment="1" applyProtection="1">
      <alignment vertical="center"/>
      <protection locked="0"/>
    </xf>
    <xf numFmtId="2" fontId="20" fillId="5" borderId="6" xfId="1" applyNumberFormat="1" applyFont="1" applyFill="1" applyBorder="1" applyAlignment="1" applyProtection="1">
      <alignment vertical="center"/>
      <protection locked="0"/>
    </xf>
    <xf numFmtId="0" fontId="12" fillId="6" borderId="1" xfId="0" applyFont="1" applyFill="1" applyBorder="1" applyAlignment="1" applyProtection="1">
      <alignment horizontal="center" vertical="top"/>
      <protection locked="0"/>
    </xf>
    <xf numFmtId="0" fontId="12" fillId="6" borderId="10" xfId="0" applyFont="1" applyFill="1" applyBorder="1" applyAlignment="1" applyProtection="1">
      <alignment horizontal="center" vertical="top"/>
      <protection locked="0"/>
    </xf>
    <xf numFmtId="0" fontId="12" fillId="6" borderId="10" xfId="0" applyFont="1" applyFill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1" fillId="0" borderId="1" xfId="1" applyBorder="1" applyAlignment="1">
      <alignment vertical="top" wrapText="1"/>
    </xf>
    <xf numFmtId="0" fontId="7" fillId="0" borderId="10" xfId="1" applyFont="1" applyBorder="1" applyAlignment="1">
      <alignment vertical="top" wrapText="1"/>
    </xf>
    <xf numFmtId="0" fontId="7" fillId="0" borderId="1" xfId="1" applyFont="1" applyBorder="1" applyAlignment="1">
      <alignment vertical="top" wrapText="1"/>
    </xf>
    <xf numFmtId="4" fontId="10" fillId="0" borderId="1" xfId="0" applyNumberFormat="1" applyFont="1" applyBorder="1" applyAlignment="1" applyProtection="1">
      <alignment horizontal="center" vertical="center"/>
      <protection locked="0"/>
    </xf>
    <xf numFmtId="4" fontId="23" fillId="0" borderId="1" xfId="1" applyNumberFormat="1" applyFont="1" applyBorder="1" applyAlignment="1" applyProtection="1">
      <alignment horizontal="right" vertical="center"/>
      <protection locked="0"/>
    </xf>
    <xf numFmtId="0" fontId="21" fillId="0" borderId="1" xfId="1" applyFont="1" applyBorder="1" applyAlignment="1">
      <alignment horizontal="left" vertical="center" wrapText="1"/>
    </xf>
    <xf numFmtId="0" fontId="21" fillId="0" borderId="1" xfId="1" applyFont="1" applyBorder="1" applyAlignment="1">
      <alignment horizontal="center" vertical="center" wrapText="1"/>
    </xf>
    <xf numFmtId="0" fontId="21" fillId="0" borderId="11" xfId="1" applyFont="1" applyBorder="1" applyAlignment="1">
      <alignment horizontal="center" vertical="center" wrapText="1"/>
    </xf>
    <xf numFmtId="0" fontId="20" fillId="0" borderId="2" xfId="1" applyFont="1" applyBorder="1" applyAlignment="1" applyProtection="1">
      <alignment horizontal="center" vertical="center"/>
      <protection locked="0"/>
    </xf>
    <xf numFmtId="0" fontId="1" fillId="0" borderId="1" xfId="1" applyBorder="1" applyAlignment="1">
      <alignment horizontal="center"/>
    </xf>
    <xf numFmtId="0" fontId="12" fillId="0" borderId="11" xfId="1" applyFont="1" applyBorder="1" applyAlignment="1" applyProtection="1">
      <alignment horizontal="center" vertical="top" wrapText="1"/>
      <protection locked="0"/>
    </xf>
    <xf numFmtId="0" fontId="1" fillId="0" borderId="1" xfId="1" applyBorder="1" applyAlignment="1" applyProtection="1">
      <alignment horizontal="right" vertical="top" wrapText="1"/>
      <protection locked="0"/>
    </xf>
    <xf numFmtId="0" fontId="0" fillId="0" borderId="1" xfId="0" applyBorder="1"/>
    <xf numFmtId="0" fontId="43" fillId="5" borderId="1" xfId="0" applyFont="1" applyFill="1" applyBorder="1" applyAlignment="1">
      <alignment horizontal="center" vertical="center"/>
    </xf>
    <xf numFmtId="0" fontId="0" fillId="5" borderId="0" xfId="0" applyFill="1"/>
    <xf numFmtId="0" fontId="7" fillId="3" borderId="0" xfId="1" applyFont="1" applyFill="1" applyAlignment="1">
      <alignment vertical="center"/>
    </xf>
    <xf numFmtId="0" fontId="3" fillId="3" borderId="0" xfId="1" applyFont="1" applyFill="1" applyAlignment="1">
      <alignment vertical="top"/>
    </xf>
    <xf numFmtId="0" fontId="2" fillId="3" borderId="0" xfId="1" applyFont="1" applyFill="1" applyAlignment="1" applyProtection="1">
      <alignment vertical="center"/>
      <protection locked="0"/>
    </xf>
    <xf numFmtId="2" fontId="2" fillId="2" borderId="1" xfId="1" applyNumberFormat="1" applyFont="1" applyFill="1" applyBorder="1" applyAlignment="1">
      <alignment vertical="center"/>
    </xf>
    <xf numFmtId="2" fontId="44" fillId="3" borderId="1" xfId="1" applyNumberFormat="1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1" fillId="2" borderId="1" xfId="1" applyFill="1" applyBorder="1" applyAlignment="1">
      <alignment horizontal="center"/>
    </xf>
    <xf numFmtId="0" fontId="2" fillId="2" borderId="6" xfId="1" applyFont="1" applyFill="1" applyBorder="1" applyAlignment="1" applyProtection="1">
      <alignment horizontal="center" vertical="center"/>
      <protection locked="0"/>
    </xf>
    <xf numFmtId="164" fontId="2" fillId="2" borderId="1" xfId="1" applyNumberFormat="1" applyFont="1" applyFill="1" applyBorder="1" applyAlignment="1">
      <alignment vertical="center"/>
    </xf>
    <xf numFmtId="2" fontId="2" fillId="2" borderId="1" xfId="1" applyNumberFormat="1" applyFont="1" applyFill="1" applyBorder="1" applyAlignment="1" applyProtection="1">
      <alignment vertical="center"/>
      <protection locked="0"/>
    </xf>
    <xf numFmtId="0" fontId="20" fillId="3" borderId="5" xfId="1" applyFont="1" applyFill="1" applyBorder="1" applyAlignment="1" applyProtection="1">
      <alignment vertical="center" wrapText="1"/>
      <protection locked="0"/>
    </xf>
    <xf numFmtId="0" fontId="1" fillId="3" borderId="1" xfId="1" applyFill="1" applyBorder="1" applyAlignment="1">
      <alignment horizontal="center"/>
    </xf>
    <xf numFmtId="0" fontId="1" fillId="3" borderId="6" xfId="1" applyFill="1" applyBorder="1"/>
    <xf numFmtId="0" fontId="2" fillId="3" borderId="6" xfId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 applyProtection="1">
      <alignment horizontal="center" vertical="center"/>
      <protection locked="0"/>
    </xf>
    <xf numFmtId="164" fontId="2" fillId="3" borderId="1" xfId="1" applyNumberFormat="1" applyFont="1" applyFill="1" applyBorder="1" applyAlignment="1">
      <alignment vertical="center"/>
    </xf>
    <xf numFmtId="2" fontId="2" fillId="3" borderId="1" xfId="1" applyNumberFormat="1" applyFont="1" applyFill="1" applyBorder="1" applyAlignment="1" applyProtection="1">
      <alignment vertical="center"/>
      <protection locked="0"/>
    </xf>
    <xf numFmtId="0" fontId="21" fillId="3" borderId="18" xfId="1" applyFont="1" applyFill="1" applyBorder="1" applyAlignment="1">
      <alignment vertical="center"/>
    </xf>
    <xf numFmtId="0" fontId="21" fillId="3" borderId="1" xfId="1" applyFont="1" applyFill="1" applyBorder="1" applyAlignment="1">
      <alignment horizontal="center" vertical="top"/>
    </xf>
    <xf numFmtId="0" fontId="21" fillId="3" borderId="6" xfId="1" applyFont="1" applyFill="1" applyBorder="1" applyAlignment="1">
      <alignment horizontal="justify" vertical="justify" wrapText="1"/>
    </xf>
    <xf numFmtId="0" fontId="2" fillId="3" borderId="5" xfId="1" applyFont="1" applyFill="1" applyBorder="1" applyAlignment="1">
      <alignment horizontal="center" vertical="center"/>
    </xf>
    <xf numFmtId="0" fontId="21" fillId="3" borderId="6" xfId="1" applyFont="1" applyFill="1" applyBorder="1" applyAlignment="1">
      <alignment horizontal="left" vertical="justify" wrapText="1"/>
    </xf>
    <xf numFmtId="165" fontId="2" fillId="3" borderId="1" xfId="1" applyNumberFormat="1" applyFont="1" applyFill="1" applyBorder="1" applyAlignment="1">
      <alignment vertical="center"/>
    </xf>
    <xf numFmtId="2" fontId="21" fillId="2" borderId="0" xfId="1" applyNumberFormat="1" applyFont="1" applyFill="1" applyAlignment="1" applyProtection="1">
      <alignment vertical="center"/>
      <protection locked="0"/>
    </xf>
    <xf numFmtId="0" fontId="21" fillId="2" borderId="18" xfId="1" applyFont="1" applyFill="1" applyBorder="1" applyAlignment="1">
      <alignment vertical="center"/>
    </xf>
    <xf numFmtId="0" fontId="21" fillId="2" borderId="6" xfId="1" applyFont="1" applyFill="1" applyBorder="1" applyAlignment="1">
      <alignment horizontal="left" vertical="justify" wrapText="1"/>
    </xf>
    <xf numFmtId="0" fontId="2" fillId="2" borderId="5" xfId="1" applyFont="1" applyFill="1" applyBorder="1" applyAlignment="1">
      <alignment horizontal="center" vertical="center"/>
    </xf>
    <xf numFmtId="164" fontId="21" fillId="2" borderId="0" xfId="1" applyNumberFormat="1" applyFont="1" applyFill="1" applyAlignment="1" applyProtection="1">
      <alignment vertical="center"/>
      <protection locked="0"/>
    </xf>
    <xf numFmtId="0" fontId="21" fillId="2" borderId="0" xfId="1" applyFont="1" applyFill="1" applyAlignment="1" applyProtection="1">
      <alignment vertical="center"/>
      <protection locked="0"/>
    </xf>
    <xf numFmtId="0" fontId="21" fillId="2" borderId="1" xfId="1" applyFont="1" applyFill="1" applyBorder="1" applyAlignment="1">
      <alignment horizontal="center" vertical="top"/>
    </xf>
    <xf numFmtId="165" fontId="2" fillId="2" borderId="1" xfId="1" applyNumberFormat="1" applyFont="1" applyFill="1" applyBorder="1" applyAlignment="1">
      <alignment vertical="center"/>
    </xf>
    <xf numFmtId="0" fontId="21" fillId="2" borderId="6" xfId="1" applyFont="1" applyFill="1" applyBorder="1" applyAlignment="1">
      <alignment horizontal="justify" vertical="justify" wrapText="1"/>
    </xf>
    <xf numFmtId="4" fontId="12" fillId="2" borderId="1" xfId="1" applyNumberFormat="1" applyFont="1" applyFill="1" applyBorder="1" applyAlignment="1" applyProtection="1">
      <alignment horizontal="right" vertical="top"/>
      <protection locked="0"/>
    </xf>
    <xf numFmtId="4" fontId="12" fillId="2" borderId="6" xfId="1" applyNumberFormat="1" applyFont="1" applyFill="1" applyBorder="1" applyAlignment="1" applyProtection="1">
      <alignment horizontal="center" vertical="top"/>
      <protection locked="0"/>
    </xf>
    <xf numFmtId="4" fontId="12" fillId="2" borderId="1" xfId="1" applyNumberFormat="1" applyFont="1" applyFill="1" applyBorder="1" applyAlignment="1" applyProtection="1">
      <alignment horizontal="right" vertical="center"/>
      <protection locked="0"/>
    </xf>
    <xf numFmtId="4" fontId="12" fillId="2" borderId="6" xfId="1" applyNumberFormat="1" applyFont="1" applyFill="1" applyBorder="1" applyAlignment="1" applyProtection="1">
      <alignment horizontal="center" vertical="center"/>
      <protection locked="0"/>
    </xf>
    <xf numFmtId="4" fontId="12" fillId="7" borderId="1" xfId="1" applyNumberFormat="1" applyFont="1" applyFill="1" applyBorder="1" applyAlignment="1" applyProtection="1">
      <alignment horizontal="right" vertical="center"/>
      <protection locked="0"/>
    </xf>
    <xf numFmtId="4" fontId="12" fillId="7" borderId="6" xfId="1" applyNumberFormat="1" applyFont="1" applyFill="1" applyBorder="1" applyAlignment="1" applyProtection="1">
      <alignment horizontal="center" vertical="center"/>
      <protection locked="0"/>
    </xf>
    <xf numFmtId="2" fontId="12" fillId="7" borderId="5" xfId="1" applyNumberFormat="1" applyFont="1" applyFill="1" applyBorder="1" applyAlignment="1" applyProtection="1">
      <alignment horizontal="center" vertical="top" wrapText="1"/>
      <protection locked="0"/>
    </xf>
    <xf numFmtId="165" fontId="12" fillId="7" borderId="1" xfId="1" applyNumberFormat="1" applyFont="1" applyFill="1" applyBorder="1" applyAlignment="1" applyProtection="1">
      <alignment horizontal="center" vertical="top"/>
      <protection locked="0"/>
    </xf>
    <xf numFmtId="43" fontId="12" fillId="7" borderId="1" xfId="2" applyNumberFormat="1" applyFont="1" applyFill="1" applyBorder="1" applyAlignment="1" applyProtection="1">
      <alignment vertical="center"/>
      <protection locked="0"/>
    </xf>
    <xf numFmtId="0" fontId="12" fillId="2" borderId="1" xfId="1" applyFont="1" applyFill="1" applyBorder="1" applyAlignment="1" applyProtection="1">
      <alignment horizontal="center" vertical="top"/>
      <protection locked="0"/>
    </xf>
    <xf numFmtId="0" fontId="12" fillId="2" borderId="1" xfId="1" applyFont="1" applyFill="1" applyBorder="1" applyAlignment="1" applyProtection="1">
      <alignment vertical="top" wrapText="1"/>
      <protection locked="0"/>
    </xf>
    <xf numFmtId="0" fontId="2" fillId="2" borderId="1" xfId="1" applyFont="1" applyFill="1" applyBorder="1" applyAlignment="1" applyProtection="1">
      <alignment vertical="top" wrapText="1"/>
      <protection locked="0"/>
    </xf>
    <xf numFmtId="0" fontId="12" fillId="2" borderId="1" xfId="1" applyFont="1" applyFill="1" applyBorder="1" applyAlignment="1" applyProtection="1">
      <alignment horizontal="center" vertical="top" wrapText="1"/>
      <protection locked="0"/>
    </xf>
    <xf numFmtId="4" fontId="12" fillId="2" borderId="1" xfId="1" applyNumberFormat="1" applyFont="1" applyFill="1" applyBorder="1" applyAlignment="1" applyProtection="1">
      <alignment vertical="top"/>
      <protection locked="0"/>
    </xf>
    <xf numFmtId="4" fontId="12" fillId="2" borderId="5" xfId="1" applyNumberFormat="1" applyFont="1" applyFill="1" applyBorder="1" applyAlignment="1" applyProtection="1">
      <alignment vertical="top"/>
      <protection locked="0"/>
    </xf>
    <xf numFmtId="0" fontId="12" fillId="2" borderId="3" xfId="1" applyFont="1" applyFill="1" applyBorder="1" applyAlignment="1" applyProtection="1">
      <alignment vertical="top"/>
      <protection locked="0"/>
    </xf>
    <xf numFmtId="4" fontId="12" fillId="2" borderId="1" xfId="1" applyNumberFormat="1" applyFont="1" applyFill="1" applyBorder="1" applyAlignment="1" applyProtection="1">
      <alignment horizontal="center" vertical="top"/>
      <protection locked="0"/>
    </xf>
    <xf numFmtId="4" fontId="12" fillId="2" borderId="4" xfId="1" applyNumberFormat="1" applyFont="1" applyFill="1" applyBorder="1" applyAlignment="1" applyProtection="1">
      <alignment vertical="top"/>
      <protection locked="0"/>
    </xf>
    <xf numFmtId="4" fontId="12" fillId="2" borderId="3" xfId="1" applyNumberFormat="1" applyFont="1" applyFill="1" applyBorder="1" applyAlignment="1" applyProtection="1">
      <alignment vertical="top"/>
      <protection locked="0"/>
    </xf>
    <xf numFmtId="0" fontId="12" fillId="2" borderId="1" xfId="1" applyFont="1" applyFill="1" applyBorder="1" applyAlignment="1" applyProtection="1">
      <alignment vertical="top"/>
      <protection locked="0"/>
    </xf>
    <xf numFmtId="0" fontId="1" fillId="2" borderId="1" xfId="1" applyFill="1" applyBorder="1" applyAlignment="1" applyProtection="1">
      <alignment vertical="top"/>
      <protection locked="0"/>
    </xf>
    <xf numFmtId="0" fontId="3" fillId="3" borderId="10" xfId="1" applyFont="1" applyFill="1" applyBorder="1" applyAlignment="1">
      <alignment horizontal="center" vertical="top" wrapText="1"/>
    </xf>
    <xf numFmtId="0" fontId="22" fillId="4" borderId="0" xfId="1" applyFont="1" applyFill="1" applyAlignment="1">
      <alignment vertical="center"/>
    </xf>
    <xf numFmtId="0" fontId="20" fillId="4" borderId="0" xfId="1" applyFont="1" applyFill="1" applyAlignment="1">
      <alignment horizontal="left"/>
    </xf>
    <xf numFmtId="1" fontId="20" fillId="4" borderId="1" xfId="1" applyNumberFormat="1" applyFont="1" applyFill="1" applyBorder="1" applyAlignment="1">
      <alignment horizontal="center" vertical="center" wrapText="1"/>
    </xf>
    <xf numFmtId="0" fontId="3" fillId="4" borderId="2" xfId="1" applyFont="1" applyFill="1" applyBorder="1" applyAlignment="1" applyProtection="1">
      <alignment vertical="center"/>
      <protection locked="0"/>
    </xf>
    <xf numFmtId="2" fontId="2" fillId="4" borderId="1" xfId="1" applyNumberFormat="1" applyFont="1" applyFill="1" applyBorder="1" applyAlignment="1">
      <alignment vertical="center"/>
    </xf>
    <xf numFmtId="164" fontId="2" fillId="4" borderId="1" xfId="1" applyNumberFormat="1" applyFont="1" applyFill="1" applyBorder="1" applyAlignment="1">
      <alignment vertical="center"/>
    </xf>
    <xf numFmtId="2" fontId="3" fillId="4" borderId="1" xfId="1" applyNumberFormat="1" applyFont="1" applyFill="1" applyBorder="1" applyAlignment="1">
      <alignment vertical="center"/>
    </xf>
    <xf numFmtId="2" fontId="2" fillId="4" borderId="0" xfId="1" applyNumberFormat="1" applyFont="1" applyFill="1" applyAlignment="1" applyProtection="1">
      <alignment vertical="center"/>
      <protection locked="0"/>
    </xf>
    <xf numFmtId="0" fontId="22" fillId="4" borderId="0" xfId="1" applyFont="1" applyFill="1" applyAlignment="1">
      <alignment horizontal="center" vertical="center"/>
    </xf>
    <xf numFmtId="0" fontId="20" fillId="4" borderId="0" xfId="1" applyFont="1" applyFill="1" applyAlignment="1">
      <alignment horizontal="center" vertical="center" wrapText="1"/>
    </xf>
    <xf numFmtId="0" fontId="20" fillId="4" borderId="24" xfId="1" applyFont="1" applyFill="1" applyBorder="1" applyAlignment="1">
      <alignment horizontal="center" vertical="center"/>
    </xf>
    <xf numFmtId="0" fontId="3" fillId="4" borderId="5" xfId="1" applyFont="1" applyFill="1" applyBorder="1" applyAlignment="1" applyProtection="1">
      <alignment horizontal="center" vertical="center"/>
      <protection locked="0"/>
    </xf>
    <xf numFmtId="2" fontId="2" fillId="4" borderId="1" xfId="1" applyNumberFormat="1" applyFont="1" applyFill="1" applyBorder="1" applyAlignment="1">
      <alignment horizontal="center" vertical="center"/>
    </xf>
    <xf numFmtId="2" fontId="3" fillId="4" borderId="1" xfId="1" applyNumberFormat="1" applyFont="1" applyFill="1" applyBorder="1" applyAlignment="1">
      <alignment horizontal="center" vertical="center"/>
    </xf>
    <xf numFmtId="2" fontId="2" fillId="4" borderId="0" xfId="1" applyNumberFormat="1" applyFont="1" applyFill="1" applyAlignment="1" applyProtection="1">
      <alignment horizontal="center" vertical="center"/>
      <protection locked="0"/>
    </xf>
    <xf numFmtId="0" fontId="20" fillId="4" borderId="0" xfId="1" applyFont="1" applyFill="1" applyAlignment="1">
      <alignment vertical="center" wrapText="1"/>
    </xf>
    <xf numFmtId="0" fontId="20" fillId="4" borderId="24" xfId="1" applyFont="1" applyFill="1" applyBorder="1" applyAlignment="1">
      <alignment vertical="center"/>
    </xf>
    <xf numFmtId="0" fontId="3" fillId="4" borderId="5" xfId="1" applyFont="1" applyFill="1" applyBorder="1" applyAlignment="1" applyProtection="1">
      <alignment vertical="center"/>
      <protection locked="0"/>
    </xf>
    <xf numFmtId="0" fontId="2" fillId="4" borderId="0" xfId="1" applyFont="1" applyFill="1" applyAlignment="1" applyProtection="1">
      <alignment horizontal="center" vertical="center"/>
      <protection locked="0"/>
    </xf>
    <xf numFmtId="0" fontId="21" fillId="4" borderId="0" xfId="1" applyFont="1" applyFill="1" applyAlignment="1" applyProtection="1">
      <alignment horizontal="center" vertical="center"/>
      <protection locked="0"/>
    </xf>
    <xf numFmtId="0" fontId="2" fillId="4" borderId="0" xfId="1" applyFont="1" applyFill="1" applyAlignment="1" applyProtection="1">
      <alignment vertical="center"/>
      <protection locked="0"/>
    </xf>
    <xf numFmtId="0" fontId="12" fillId="2" borderId="1" xfId="1" applyFont="1" applyFill="1" applyBorder="1" applyAlignment="1" applyProtection="1">
      <alignment horizontal="justify" vertical="top" wrapText="1"/>
      <protection locked="0"/>
    </xf>
    <xf numFmtId="0" fontId="2" fillId="2" borderId="1" xfId="1" applyFont="1" applyFill="1" applyBorder="1" applyAlignment="1" applyProtection="1">
      <alignment horizontal="justify" vertical="top" wrapText="1"/>
      <protection locked="0"/>
    </xf>
    <xf numFmtId="4" fontId="12" fillId="2" borderId="1" xfId="1" applyNumberFormat="1" applyFont="1" applyFill="1" applyBorder="1" applyAlignment="1" applyProtection="1">
      <alignment horizontal="right" vertical="top" wrapText="1"/>
      <protection locked="0"/>
    </xf>
    <xf numFmtId="4" fontId="12" fillId="2" borderId="10" xfId="1" applyNumberFormat="1" applyFont="1" applyFill="1" applyBorder="1" applyAlignment="1" applyProtection="1">
      <alignment horizontal="right" vertical="top" wrapText="1"/>
      <protection locked="0"/>
    </xf>
    <xf numFmtId="4" fontId="12" fillId="2" borderId="9" xfId="1" applyNumberFormat="1" applyFont="1" applyFill="1" applyBorder="1" applyAlignment="1" applyProtection="1">
      <alignment horizontal="right" vertical="top" wrapText="1"/>
      <protection locked="0"/>
    </xf>
    <xf numFmtId="4" fontId="12" fillId="2" borderId="10" xfId="1" applyNumberFormat="1" applyFont="1" applyFill="1" applyBorder="1" applyAlignment="1" applyProtection="1">
      <alignment horizontal="center" vertical="top" wrapText="1"/>
      <protection locked="0"/>
    </xf>
    <xf numFmtId="4" fontId="12" fillId="2" borderId="4" xfId="1" applyNumberFormat="1" applyFont="1" applyFill="1" applyBorder="1" applyAlignment="1" applyProtection="1">
      <alignment horizontal="right" vertical="top"/>
      <protection locked="0"/>
    </xf>
    <xf numFmtId="4" fontId="12" fillId="2" borderId="3" xfId="1" applyNumberFormat="1" applyFont="1" applyFill="1" applyBorder="1" applyAlignment="1" applyProtection="1">
      <alignment horizontal="right" vertical="top"/>
      <protection locked="0"/>
    </xf>
    <xf numFmtId="4" fontId="10" fillId="0" borderId="7" xfId="1" applyNumberFormat="1" applyFont="1" applyBorder="1" applyAlignment="1" applyProtection="1">
      <alignment horizontal="center" vertical="center"/>
      <protection locked="0"/>
    </xf>
    <xf numFmtId="4" fontId="12" fillId="0" borderId="7" xfId="1" applyNumberFormat="1" applyFont="1" applyBorder="1" applyAlignment="1" applyProtection="1">
      <alignment horizontal="center" vertical="center"/>
      <protection locked="0"/>
    </xf>
    <xf numFmtId="4" fontId="10" fillId="0" borderId="11" xfId="1" applyNumberFormat="1" applyFont="1" applyBorder="1" applyAlignment="1" applyProtection="1">
      <alignment horizontal="center" vertical="center"/>
      <protection locked="0"/>
    </xf>
    <xf numFmtId="4" fontId="10" fillId="0" borderId="10" xfId="1" applyNumberFormat="1" applyFont="1" applyBorder="1" applyAlignment="1" applyProtection="1">
      <alignment horizontal="center" vertical="center"/>
      <protection locked="0"/>
    </xf>
    <xf numFmtId="2" fontId="1" fillId="0" borderId="0" xfId="1" applyNumberFormat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2" fillId="0" borderId="1" xfId="1" applyFont="1" applyBorder="1" applyAlignment="1">
      <alignment horizontal="center" vertical="top" wrapText="1"/>
    </xf>
    <xf numFmtId="2" fontId="23" fillId="0" borderId="1" xfId="1" applyNumberFormat="1" applyFont="1" applyBorder="1" applyAlignment="1">
      <alignment horizontal="center" vertical="top" wrapText="1"/>
    </xf>
    <xf numFmtId="164" fontId="23" fillId="0" borderId="5" xfId="1" applyNumberFormat="1" applyFont="1" applyBorder="1" applyAlignment="1">
      <alignment horizontal="center" vertical="top" wrapText="1"/>
    </xf>
    <xf numFmtId="2" fontId="12" fillId="3" borderId="1" xfId="1" applyNumberFormat="1" applyFont="1" applyFill="1" applyBorder="1" applyAlignment="1">
      <alignment horizontal="center" vertical="top" wrapText="1"/>
    </xf>
    <xf numFmtId="2" fontId="2" fillId="3" borderId="1" xfId="1" applyNumberFormat="1" applyFont="1" applyFill="1" applyBorder="1" applyAlignment="1" applyProtection="1">
      <alignment horizontal="center" vertical="top"/>
      <protection locked="0"/>
    </xf>
    <xf numFmtId="0" fontId="0" fillId="0" borderId="10" xfId="0" applyBorder="1"/>
    <xf numFmtId="0" fontId="0" fillId="0" borderId="16" xfId="0" applyBorder="1"/>
    <xf numFmtId="0" fontId="7" fillId="0" borderId="0" xfId="4" applyFont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center"/>
      <protection locked="0"/>
    </xf>
    <xf numFmtId="0" fontId="0" fillId="0" borderId="2" xfId="0" applyBorder="1"/>
    <xf numFmtId="0" fontId="10" fillId="0" borderId="1" xfId="1" applyFont="1" applyBorder="1" applyAlignment="1" applyProtection="1">
      <alignment horizontal="center" vertical="top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>
      <alignment horizontal="center" vertical="top" wrapText="1"/>
    </xf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2" fillId="5" borderId="0" xfId="1" applyFont="1" applyFill="1" applyAlignment="1" applyProtection="1">
      <alignment vertical="center"/>
      <protection locked="0"/>
    </xf>
    <xf numFmtId="0" fontId="7" fillId="0" borderId="0" xfId="1" applyFont="1" applyAlignment="1">
      <alignment horizontal="right" vertical="center"/>
    </xf>
    <xf numFmtId="0" fontId="7" fillId="3" borderId="0" xfId="1" applyFont="1" applyFill="1" applyAlignment="1">
      <alignment horizontal="right" vertical="center"/>
    </xf>
    <xf numFmtId="0" fontId="2" fillId="0" borderId="1" xfId="1" applyFont="1" applyBorder="1" applyAlignment="1" applyProtection="1">
      <alignment horizontal="center" vertical="top" wrapText="1"/>
      <protection locked="0"/>
    </xf>
    <xf numFmtId="164" fontId="2" fillId="0" borderId="0" xfId="1" applyNumberFormat="1" applyFont="1" applyAlignment="1" applyProtection="1">
      <alignment vertical="center"/>
      <protection locked="0"/>
    </xf>
    <xf numFmtId="0" fontId="20" fillId="0" borderId="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  <protection locked="0"/>
    </xf>
    <xf numFmtId="0" fontId="22" fillId="0" borderId="0" xfId="1" applyFont="1" applyAlignment="1">
      <alignment horizontal="right" vertical="center"/>
    </xf>
    <xf numFmtId="0" fontId="21" fillId="0" borderId="0" xfId="1" applyFont="1" applyAlignment="1" applyProtection="1">
      <alignment vertical="center"/>
      <protection locked="0"/>
    </xf>
    <xf numFmtId="0" fontId="7" fillId="0" borderId="1" xfId="1" applyFont="1" applyBorder="1" applyAlignment="1">
      <alignment horizontal="left" vertical="center" wrapText="1"/>
    </xf>
    <xf numFmtId="0" fontId="25" fillId="0" borderId="0" xfId="1" applyFont="1" applyAlignment="1" applyProtection="1">
      <alignment vertical="center"/>
      <protection locked="0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27" fillId="0" borderId="0" xfId="5" applyNumberFormat="1" applyAlignment="1">
      <alignment horizontal="center"/>
    </xf>
    <xf numFmtId="0" fontId="1" fillId="0" borderId="0" xfId="1"/>
    <xf numFmtId="0" fontId="17" fillId="0" borderId="0" xfId="1" applyFont="1" applyAlignment="1">
      <alignment horizontal="left"/>
    </xf>
    <xf numFmtId="0" fontId="17" fillId="0" borderId="0" xfId="1" applyFont="1"/>
    <xf numFmtId="14" fontId="17" fillId="0" borderId="0" xfId="1" applyNumberFormat="1" applyFont="1" applyAlignment="1">
      <alignment horizontal="left"/>
    </xf>
    <xf numFmtId="0" fontId="38" fillId="0" borderId="0" xfId="1" applyFont="1" applyAlignment="1">
      <alignment horizontal="right"/>
    </xf>
    <xf numFmtId="0" fontId="39" fillId="0" borderId="0" xfId="1" applyFont="1" applyAlignment="1">
      <alignment horizontal="center"/>
    </xf>
    <xf numFmtId="0" fontId="3" fillId="3" borderId="0" xfId="1" applyFont="1" applyFill="1" applyAlignment="1">
      <alignment horizontal="right" vertical="center"/>
    </xf>
    <xf numFmtId="0" fontId="20" fillId="3" borderId="1" xfId="1" applyFont="1" applyFill="1" applyBorder="1" applyAlignment="1">
      <alignment horizontal="center" vertical="center" wrapText="1"/>
    </xf>
    <xf numFmtId="0" fontId="19" fillId="3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 applyProtection="1">
      <alignment vertical="center"/>
      <protection locked="0"/>
    </xf>
    <xf numFmtId="0" fontId="2" fillId="3" borderId="6" xfId="1" applyFont="1" applyFill="1" applyBorder="1" applyAlignment="1" applyProtection="1">
      <alignment vertical="center"/>
      <protection locked="0"/>
    </xf>
    <xf numFmtId="0" fontId="3" fillId="3" borderId="1" xfId="1" applyFont="1" applyFill="1" applyBorder="1" applyAlignment="1" applyProtection="1">
      <alignment vertical="center" wrapText="1"/>
      <protection locked="0"/>
    </xf>
    <xf numFmtId="2" fontId="1" fillId="3" borderId="6" xfId="1" applyNumberFormat="1" applyFill="1" applyBorder="1" applyAlignment="1">
      <alignment vertical="center"/>
    </xf>
    <xf numFmtId="2" fontId="1" fillId="3" borderId="6" xfId="1" applyNumberFormat="1" applyFill="1" applyBorder="1" applyAlignment="1" applyProtection="1">
      <alignment vertical="center"/>
      <protection locked="0"/>
    </xf>
    <xf numFmtId="0" fontId="7" fillId="3" borderId="1" xfId="1" applyFont="1" applyFill="1" applyBorder="1" applyAlignment="1" applyProtection="1">
      <alignment vertical="center" wrapText="1"/>
      <protection locked="0"/>
    </xf>
    <xf numFmtId="0" fontId="2" fillId="3" borderId="1" xfId="1" applyFont="1" applyFill="1" applyBorder="1" applyAlignment="1" applyProtection="1">
      <alignment horizontal="justify" vertical="justify" wrapText="1"/>
      <protection locked="0"/>
    </xf>
    <xf numFmtId="0" fontId="21" fillId="3" borderId="1" xfId="1" applyFont="1" applyFill="1" applyBorder="1" applyAlignment="1" applyProtection="1">
      <alignment horizontal="justify" vertical="justify" wrapText="1"/>
      <protection locked="0"/>
    </xf>
    <xf numFmtId="0" fontId="3" fillId="3" borderId="10" xfId="1" applyFont="1" applyFill="1" applyBorder="1" applyAlignment="1" applyProtection="1">
      <alignment vertical="center" wrapText="1"/>
      <protection locked="0"/>
    </xf>
    <xf numFmtId="0" fontId="7" fillId="3" borderId="10" xfId="1" applyFont="1" applyFill="1" applyBorder="1" applyAlignment="1" applyProtection="1">
      <alignment vertical="center" wrapText="1"/>
      <protection locked="0"/>
    </xf>
    <xf numFmtId="0" fontId="1" fillId="3" borderId="1" xfId="1" applyFill="1" applyBorder="1" applyAlignment="1" applyProtection="1">
      <alignment vertical="center" wrapText="1"/>
      <protection locked="0"/>
    </xf>
    <xf numFmtId="0" fontId="1" fillId="3" borderId="18" xfId="1" applyFill="1" applyBorder="1" applyAlignment="1" applyProtection="1">
      <alignment vertical="center"/>
      <protection locked="0"/>
    </xf>
    <xf numFmtId="0" fontId="3" fillId="3" borderId="2" xfId="1" applyFont="1" applyFill="1" applyBorder="1" applyAlignment="1" applyProtection="1">
      <alignment horizontal="left" vertical="center"/>
      <protection locked="0"/>
    </xf>
    <xf numFmtId="0" fontId="7" fillId="3" borderId="0" xfId="1" applyFont="1" applyFill="1" applyAlignment="1" applyProtection="1">
      <alignment horizontal="left" vertical="center"/>
      <protection locked="0"/>
    </xf>
    <xf numFmtId="0" fontId="3" fillId="3" borderId="2" xfId="1" applyFont="1" applyFill="1" applyBorder="1" applyAlignment="1" applyProtection="1">
      <alignment vertical="center" wrapText="1"/>
      <protection locked="0"/>
    </xf>
    <xf numFmtId="0" fontId="1" fillId="3" borderId="1" xfId="1" applyFill="1" applyBorder="1" applyAlignment="1" applyProtection="1">
      <alignment horizontal="justify" vertical="justify" wrapText="1"/>
      <protection locked="0"/>
    </xf>
    <xf numFmtId="0" fontId="3" fillId="3" borderId="2" xfId="1" applyFont="1" applyFill="1" applyBorder="1" applyAlignment="1" applyProtection="1">
      <alignment vertical="top" wrapText="1"/>
      <protection locked="0"/>
    </xf>
    <xf numFmtId="0" fontId="7" fillId="3" borderId="1" xfId="1" applyFont="1" applyFill="1" applyBorder="1" applyAlignment="1" applyProtection="1">
      <alignment horizontal="left" vertical="top" wrapText="1"/>
      <protection locked="0"/>
    </xf>
    <xf numFmtId="0" fontId="7" fillId="3" borderId="1" xfId="1" applyFont="1" applyFill="1" applyBorder="1" applyAlignment="1" applyProtection="1">
      <alignment horizontal="justify" vertical="justify" wrapText="1"/>
      <protection locked="0"/>
    </xf>
    <xf numFmtId="0" fontId="1" fillId="3" borderId="1" xfId="1" applyFill="1" applyBorder="1" applyAlignment="1" applyProtection="1">
      <alignment horizontal="center" vertical="justify" wrapText="1"/>
      <protection locked="0"/>
    </xf>
    <xf numFmtId="0" fontId="1" fillId="3" borderId="1" xfId="1" applyFill="1" applyBorder="1" applyAlignment="1" applyProtection="1">
      <alignment horizontal="justify" vertical="top" wrapText="1"/>
      <protection locked="0"/>
    </xf>
    <xf numFmtId="0" fontId="3" fillId="3" borderId="1" xfId="1" applyFont="1" applyFill="1" applyBorder="1" applyAlignment="1" applyProtection="1">
      <alignment horizontal="left" vertical="top" wrapText="1"/>
      <protection locked="0"/>
    </xf>
    <xf numFmtId="0" fontId="1" fillId="3" borderId="2" xfId="1" applyFill="1" applyBorder="1" applyAlignment="1">
      <alignment vertical="center"/>
    </xf>
    <xf numFmtId="0" fontId="1" fillId="3" borderId="6" xfId="1" applyFill="1" applyBorder="1" applyAlignment="1">
      <alignment vertical="center"/>
    </xf>
    <xf numFmtId="0" fontId="10" fillId="3" borderId="1" xfId="1" applyFont="1" applyFill="1" applyBorder="1" applyAlignment="1" applyProtection="1">
      <alignment horizontal="left" vertical="top" wrapText="1"/>
      <protection locked="0"/>
    </xf>
    <xf numFmtId="2" fontId="21" fillId="3" borderId="1" xfId="1" applyNumberFormat="1" applyFont="1" applyFill="1" applyBorder="1" applyAlignment="1">
      <alignment vertical="center"/>
    </xf>
    <xf numFmtId="2" fontId="21" fillId="3" borderId="1" xfId="1" applyNumberFormat="1" applyFont="1" applyFill="1" applyBorder="1" applyAlignment="1" applyProtection="1">
      <alignment vertical="center"/>
      <protection locked="0"/>
    </xf>
    <xf numFmtId="0" fontId="7" fillId="3" borderId="0" xfId="1" applyFont="1" applyFill="1" applyAlignment="1" applyProtection="1">
      <alignment vertical="top"/>
      <protection locked="0"/>
    </xf>
    <xf numFmtId="2" fontId="20" fillId="3" borderId="1" xfId="1" applyNumberFormat="1" applyFont="1" applyFill="1" applyBorder="1" applyAlignment="1" applyProtection="1">
      <alignment vertical="center"/>
      <protection locked="0"/>
    </xf>
    <xf numFmtId="2" fontId="1" fillId="3" borderId="11" xfId="1" applyNumberFormat="1" applyFill="1" applyBorder="1" applyAlignment="1" applyProtection="1">
      <alignment vertical="center"/>
      <protection locked="0"/>
    </xf>
    <xf numFmtId="2" fontId="3" fillId="3" borderId="6" xfId="1" applyNumberFormat="1" applyFont="1" applyFill="1" applyBorder="1" applyAlignment="1" applyProtection="1">
      <alignment vertical="center"/>
      <protection locked="0"/>
    </xf>
    <xf numFmtId="2" fontId="20" fillId="3" borderId="6" xfId="1" applyNumberFormat="1" applyFont="1" applyFill="1" applyBorder="1" applyAlignment="1" applyProtection="1">
      <alignment vertical="center"/>
      <protection locked="0"/>
    </xf>
    <xf numFmtId="2" fontId="1" fillId="3" borderId="0" xfId="1" applyNumberFormat="1" applyFill="1" applyAlignment="1" applyProtection="1">
      <alignment vertical="center"/>
      <protection locked="0"/>
    </xf>
    <xf numFmtId="2" fontId="2" fillId="3" borderId="0" xfId="1" applyNumberFormat="1" applyFont="1" applyFill="1" applyAlignment="1" applyProtection="1">
      <alignment vertical="center"/>
      <protection locked="0"/>
    </xf>
    <xf numFmtId="2" fontId="20" fillId="3" borderId="0" xfId="1" applyNumberFormat="1" applyFont="1" applyFill="1" applyAlignment="1" applyProtection="1">
      <alignment vertical="center"/>
      <protection locked="0"/>
    </xf>
    <xf numFmtId="0" fontId="16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5" fillId="0" borderId="0" xfId="1" applyFont="1" applyAlignment="1">
      <alignment horizontal="left" vertical="top" wrapText="1"/>
    </xf>
    <xf numFmtId="2" fontId="2" fillId="0" borderId="0" xfId="1" applyNumberFormat="1" applyFont="1" applyAlignment="1" applyProtection="1">
      <alignment vertical="center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7" fillId="0" borderId="1" xfId="1" applyFont="1" applyBorder="1" applyAlignment="1">
      <alignment horizontal="center" vertical="top" wrapText="1"/>
    </xf>
    <xf numFmtId="0" fontId="0" fillId="0" borderId="16" xfId="0" applyBorder="1"/>
    <xf numFmtId="0" fontId="0" fillId="0" borderId="10" xfId="0" applyBorder="1"/>
    <xf numFmtId="0" fontId="10" fillId="0" borderId="1" xfId="1" applyFont="1" applyBorder="1" applyAlignment="1">
      <alignment horizontal="center" vertical="top" wrapText="1"/>
    </xf>
    <xf numFmtId="0" fontId="10" fillId="0" borderId="4" xfId="1" applyFont="1" applyBorder="1" applyAlignment="1">
      <alignment horizontal="center" vertical="top" wrapText="1"/>
    </xf>
    <xf numFmtId="0" fontId="0" fillId="0" borderId="2" xfId="0" applyBorder="1"/>
    <xf numFmtId="0" fontId="0" fillId="0" borderId="23" xfId="0" applyBorder="1"/>
    <xf numFmtId="0" fontId="10" fillId="0" borderId="22" xfId="1" applyFont="1" applyBorder="1" applyAlignment="1">
      <alignment horizontal="center" vertical="top" wrapText="1"/>
    </xf>
    <xf numFmtId="2" fontId="10" fillId="0" borderId="1" xfId="1" applyNumberFormat="1" applyFont="1" applyBorder="1" applyAlignment="1">
      <alignment horizontal="center" vertical="top" wrapText="1"/>
    </xf>
    <xf numFmtId="0" fontId="10" fillId="0" borderId="10" xfId="1" applyFont="1" applyBorder="1" applyAlignment="1">
      <alignment horizontal="center" vertical="top" wrapText="1"/>
    </xf>
    <xf numFmtId="0" fontId="0" fillId="0" borderId="24" xfId="0" applyBorder="1"/>
    <xf numFmtId="0" fontId="0" fillId="0" borderId="12" xfId="0" applyBorder="1"/>
    <xf numFmtId="0" fontId="3" fillId="0" borderId="1" xfId="1" applyFont="1" applyBorder="1" applyAlignment="1">
      <alignment horizontal="center" vertical="center" textRotation="90" wrapText="1"/>
    </xf>
    <xf numFmtId="0" fontId="3" fillId="0" borderId="4" xfId="1" applyFont="1" applyBorder="1" applyAlignment="1">
      <alignment horizontal="center" vertical="center" textRotation="90" wrapText="1"/>
    </xf>
    <xf numFmtId="0" fontId="0" fillId="0" borderId="19" xfId="0" applyBorder="1"/>
    <xf numFmtId="0" fontId="0" fillId="0" borderId="8" xfId="0" applyBorder="1"/>
    <xf numFmtId="0" fontId="10" fillId="0" borderId="3" xfId="1" applyFont="1" applyBorder="1" applyAlignment="1">
      <alignment horizontal="center" vertical="top" wrapText="1"/>
    </xf>
    <xf numFmtId="0" fontId="0" fillId="0" borderId="6" xfId="0" applyBorder="1"/>
    <xf numFmtId="0" fontId="3" fillId="0" borderId="1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0" fillId="0" borderId="17" xfId="0" applyBorder="1"/>
    <xf numFmtId="0" fontId="0" fillId="0" borderId="7" xfId="0" applyBorder="1"/>
    <xf numFmtId="0" fontId="10" fillId="0" borderId="1" xfId="1" applyFont="1" applyBorder="1" applyAlignment="1" applyProtection="1">
      <alignment horizontal="center" vertical="top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0" fontId="10" fillId="0" borderId="5" xfId="1" applyFont="1" applyBorder="1" applyAlignment="1" applyProtection="1">
      <alignment horizontal="center" vertical="center" wrapText="1"/>
      <protection locked="0"/>
    </xf>
    <xf numFmtId="0" fontId="3" fillId="0" borderId="5" xfId="1" applyFont="1" applyBorder="1" applyAlignment="1">
      <alignment horizontal="center" vertical="center" textRotation="90" wrapText="1"/>
    </xf>
    <xf numFmtId="0" fontId="0" fillId="0" borderId="18" xfId="0" applyBorder="1"/>
    <xf numFmtId="0" fontId="0" fillId="0" borderId="9" xfId="0" applyBorder="1"/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0" fontId="0" fillId="0" borderId="15" xfId="0" applyBorder="1"/>
    <xf numFmtId="0" fontId="0" fillId="0" borderId="14" xfId="0" applyBorder="1"/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7" fillId="0" borderId="0" xfId="4" applyFont="1" applyAlignment="1" applyProtection="1">
      <alignment horizontal="center" vertical="center" wrapText="1"/>
      <protection locked="0"/>
    </xf>
    <xf numFmtId="0" fontId="10" fillId="0" borderId="1" xfId="1" applyFont="1" applyBorder="1" applyAlignment="1" applyProtection="1">
      <alignment horizontal="left" vertical="center" wrapText="1"/>
      <protection locked="0"/>
    </xf>
    <xf numFmtId="0" fontId="7" fillId="0" borderId="1" xfId="1" applyFont="1" applyBorder="1" applyAlignment="1" applyProtection="1">
      <alignment horizontal="right" vertical="center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0" fontId="10" fillId="0" borderId="1" xfId="1" applyFont="1" applyBorder="1" applyAlignment="1" applyProtection="1">
      <alignment horizontal="left" vertical="center"/>
      <protection locked="0"/>
    </xf>
    <xf numFmtId="0" fontId="10" fillId="0" borderId="0" xfId="1" applyFont="1" applyAlignment="1">
      <alignment horizontal="center" vertical="top"/>
    </xf>
    <xf numFmtId="0" fontId="10" fillId="3" borderId="0" xfId="1" applyFont="1" applyFill="1" applyAlignment="1">
      <alignment horizontal="center" vertical="top"/>
    </xf>
    <xf numFmtId="0" fontId="2" fillId="5" borderId="0" xfId="1" applyFont="1" applyFill="1" applyAlignment="1" applyProtection="1">
      <alignment vertical="center"/>
      <protection locked="0"/>
    </xf>
    <xf numFmtId="0" fontId="7" fillId="0" borderId="0" xfId="1" applyFont="1" applyAlignment="1">
      <alignment horizontal="right" vertical="center"/>
    </xf>
    <xf numFmtId="0" fontId="7" fillId="3" borderId="0" xfId="1" applyFont="1" applyFill="1" applyAlignment="1">
      <alignment horizontal="right" vertical="center"/>
    </xf>
    <xf numFmtId="0" fontId="15" fillId="0" borderId="1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 wrapText="1"/>
      <protection locked="0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3" fillId="3" borderId="1" xfId="1" applyFont="1" applyFill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top" textRotation="90" wrapText="1"/>
    </xf>
    <xf numFmtId="0" fontId="3" fillId="5" borderId="1" xfId="1" applyFont="1" applyFill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top" wrapText="1"/>
    </xf>
    <xf numFmtId="0" fontId="12" fillId="0" borderId="1" xfId="1" applyFont="1" applyBorder="1" applyAlignment="1" applyProtection="1">
      <alignment horizontal="right" vertical="top"/>
      <protection locked="0"/>
    </xf>
    <xf numFmtId="0" fontId="10" fillId="0" borderId="1" xfId="1" applyFont="1" applyBorder="1" applyAlignment="1" applyProtection="1">
      <alignment horizontal="left" vertical="top"/>
      <protection locked="0"/>
    </xf>
    <xf numFmtId="0" fontId="7" fillId="0" borderId="1" xfId="1" applyFont="1" applyBorder="1" applyAlignment="1" applyProtection="1">
      <alignment horizontal="left" vertical="top"/>
      <protection locked="0"/>
    </xf>
    <xf numFmtId="0" fontId="10" fillId="0" borderId="1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right" vertical="top"/>
      <protection locked="0"/>
    </xf>
    <xf numFmtId="0" fontId="3" fillId="3" borderId="1" xfId="1" applyFont="1" applyFill="1" applyBorder="1" applyAlignment="1">
      <alignment horizontal="center" vertical="center" wrapText="1"/>
    </xf>
    <xf numFmtId="0" fontId="0" fillId="3" borderId="6" xfId="0" applyFill="1" applyBorder="1"/>
    <xf numFmtId="0" fontId="3" fillId="3" borderId="11" xfId="1" applyFont="1" applyFill="1" applyBorder="1" applyAlignment="1">
      <alignment horizontal="center" vertical="center" wrapText="1"/>
    </xf>
    <xf numFmtId="0" fontId="0" fillId="3" borderId="14" xfId="0" applyFill="1" applyBorder="1"/>
    <xf numFmtId="0" fontId="0" fillId="3" borderId="16" xfId="0" applyFill="1" applyBorder="1"/>
    <xf numFmtId="0" fontId="0" fillId="3" borderId="10" xfId="0" applyFill="1" applyBorder="1"/>
    <xf numFmtId="0" fontId="0" fillId="3" borderId="2" xfId="0" applyFill="1" applyBorder="1"/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0" xfId="1" applyFont="1" applyFill="1" applyAlignment="1" applyProtection="1">
      <alignment vertical="center"/>
      <protection locked="0"/>
    </xf>
    <xf numFmtId="0" fontId="3" fillId="3" borderId="1" xfId="1" applyFont="1" applyFill="1" applyBorder="1" applyAlignment="1">
      <alignment horizontal="center" vertical="center" textRotation="90" wrapText="1"/>
    </xf>
    <xf numFmtId="0" fontId="20" fillId="0" borderId="1" xfId="1" applyFont="1" applyBorder="1" applyAlignment="1">
      <alignment horizontal="center" vertical="center" wrapText="1"/>
    </xf>
    <xf numFmtId="0" fontId="22" fillId="0" borderId="0" xfId="1" applyFont="1" applyAlignment="1">
      <alignment horizontal="right" vertical="center"/>
    </xf>
    <xf numFmtId="164" fontId="2" fillId="0" borderId="0" xfId="1" applyNumberFormat="1" applyFont="1" applyAlignment="1" applyProtection="1">
      <alignment vertical="center"/>
      <protection locked="0"/>
    </xf>
    <xf numFmtId="0" fontId="20" fillId="0" borderId="0" xfId="1" applyFont="1" applyAlignment="1">
      <alignment horizontal="left" vertical="top" wrapText="1"/>
    </xf>
    <xf numFmtId="0" fontId="21" fillId="0" borderId="0" xfId="1" applyFont="1" applyAlignment="1" applyProtection="1">
      <alignment vertical="center"/>
      <protection locked="0"/>
    </xf>
    <xf numFmtId="0" fontId="20" fillId="0" borderId="24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center" vertical="center" wrapText="1"/>
    </xf>
    <xf numFmtId="2" fontId="20" fillId="4" borderId="1" xfId="1" applyNumberFormat="1" applyFont="1" applyFill="1" applyBorder="1" applyAlignment="1">
      <alignment horizontal="center" vertical="center" wrapText="1"/>
    </xf>
    <xf numFmtId="2" fontId="20" fillId="0" borderId="1" xfId="1" applyNumberFormat="1" applyFont="1" applyBorder="1" applyAlignment="1">
      <alignment horizontal="center" vertical="center" wrapText="1"/>
    </xf>
    <xf numFmtId="164" fontId="20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49" fontId="2" fillId="0" borderId="24" xfId="1" applyNumberFormat="1" applyFont="1" applyBorder="1" applyAlignment="1" applyProtection="1">
      <alignment horizontal="left" vertical="center"/>
      <protection locked="0"/>
    </xf>
    <xf numFmtId="49" fontId="2" fillId="0" borderId="24" xfId="1" applyNumberFormat="1" applyFont="1" applyBorder="1" applyAlignment="1" applyProtection="1">
      <alignment horizontal="center" vertical="center"/>
      <protection locked="0"/>
    </xf>
    <xf numFmtId="164" fontId="2" fillId="0" borderId="0" xfId="1" applyNumberFormat="1" applyFont="1" applyAlignment="1" applyProtection="1">
      <alignment horizontal="left" vertical="center"/>
      <protection locked="0"/>
    </xf>
    <xf numFmtId="0" fontId="7" fillId="0" borderId="1" xfId="1" applyFont="1" applyBorder="1" applyAlignment="1">
      <alignment horizontal="left" vertical="center" wrapText="1"/>
    </xf>
    <xf numFmtId="0" fontId="24" fillId="0" borderId="0" xfId="1" applyFont="1" applyAlignment="1">
      <alignment horizontal="center" vertical="center"/>
    </xf>
    <xf numFmtId="0" fontId="25" fillId="0" borderId="0" xfId="1" applyFont="1" applyAlignment="1" applyProtection="1">
      <alignment vertical="center"/>
      <protection locked="0"/>
    </xf>
    <xf numFmtId="0" fontId="10" fillId="0" borderId="0" xfId="1" applyFont="1" applyAlignment="1">
      <alignment horizontal="left" vertical="center" wrapText="1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7" fillId="0" borderId="0" xfId="1" applyFont="1" applyAlignment="1">
      <alignment horizontal="left" vertical="center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10" fillId="0" borderId="24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2" fontId="7" fillId="0" borderId="5" xfId="1" applyNumberFormat="1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 wrapText="1"/>
      <protection locked="0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36" fillId="0" borderId="0" xfId="5" applyNumberFormat="1" applyFont="1" applyAlignment="1">
      <alignment horizontal="center"/>
    </xf>
    <xf numFmtId="2" fontId="27" fillId="0" borderId="0" xfId="5" applyNumberFormat="1" applyAlignment="1">
      <alignment horizontal="center"/>
    </xf>
    <xf numFmtId="2" fontId="34" fillId="0" borderId="0" xfId="5" applyNumberFormat="1" applyFont="1" applyAlignment="1">
      <alignment horizontal="left" wrapText="1"/>
    </xf>
    <xf numFmtId="0" fontId="10" fillId="0" borderId="0" xfId="1" applyFont="1" applyAlignment="1">
      <alignment horizontal="right"/>
    </xf>
    <xf numFmtId="0" fontId="1" fillId="0" borderId="0" xfId="1"/>
    <xf numFmtId="0" fontId="15" fillId="0" borderId="0" xfId="1" applyFont="1" applyAlignment="1">
      <alignment horizontal="center"/>
    </xf>
    <xf numFmtId="0" fontId="7" fillId="0" borderId="26" xfId="1" applyFont="1" applyBorder="1" applyAlignment="1">
      <alignment horizontal="right"/>
    </xf>
    <xf numFmtId="0" fontId="0" fillId="0" borderId="26" xfId="0" applyBorder="1"/>
    <xf numFmtId="0" fontId="7" fillId="0" borderId="26" xfId="1" applyFont="1" applyBorder="1" applyAlignment="1">
      <alignment horizontal="center"/>
    </xf>
    <xf numFmtId="0" fontId="38" fillId="0" borderId="0" xfId="1" applyFont="1" applyAlignment="1">
      <alignment horizontal="right"/>
    </xf>
    <xf numFmtId="0" fontId="17" fillId="0" borderId="0" xfId="1" applyFont="1"/>
    <xf numFmtId="0" fontId="39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40" fillId="0" borderId="1" xfId="1" applyFont="1" applyBorder="1" applyAlignment="1">
      <alignment horizontal="center"/>
    </xf>
    <xf numFmtId="14" fontId="17" fillId="0" borderId="0" xfId="1" applyNumberFormat="1" applyFont="1" applyAlignment="1">
      <alignment horizontal="left"/>
    </xf>
  </cellXfs>
  <cellStyles count="8">
    <cellStyle name="Comma 2" xfId="2"/>
    <cellStyle name="Hyperlink" xfId="7" builtinId="8"/>
    <cellStyle name="Normal" xfId="0" builtinId="0"/>
    <cellStyle name="Normal 2" xfId="1"/>
    <cellStyle name="Normal 3" xfId="4"/>
    <cellStyle name="Normal 4" xfId="3"/>
    <cellStyle name="Normal_IRR of Gazna" xf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15"/>
  <sheetViews>
    <sheetView view="pageBreakPreview" topLeftCell="A62" zoomScale="85" zoomScaleNormal="85" zoomScaleSheetLayoutView="85" workbookViewId="0">
      <selection activeCell="O94" sqref="O94"/>
    </sheetView>
  </sheetViews>
  <sheetFormatPr defaultColWidth="9.140625" defaultRowHeight="12.75" x14ac:dyDescent="0.25"/>
  <cols>
    <col min="1" max="1" width="7.7109375" style="720" customWidth="1"/>
    <col min="2" max="2" width="12.85546875" style="720" customWidth="1"/>
    <col min="3" max="3" width="82.28515625" style="720" customWidth="1"/>
    <col min="4" max="4" width="5.85546875" style="720" customWidth="1"/>
    <col min="5" max="5" width="9" style="720" customWidth="1"/>
    <col min="6" max="6" width="12.140625" style="720" customWidth="1"/>
    <col min="7" max="7" width="12.7109375" style="721" customWidth="1"/>
    <col min="8" max="8" width="6.85546875" style="720" customWidth="1"/>
    <col min="9" max="9" width="12" style="720" customWidth="1"/>
    <col min="10" max="10" width="10.140625" style="720" customWidth="1"/>
    <col min="11" max="11" width="4.7109375" style="720" customWidth="1"/>
    <col min="12" max="12" width="4.85546875" style="720" customWidth="1"/>
    <col min="13" max="13" width="5.7109375" style="731" customWidth="1"/>
    <col min="14" max="14" width="10.7109375" style="731" customWidth="1"/>
    <col min="15" max="15" width="12.85546875" style="731" customWidth="1"/>
    <col min="16" max="16" width="12.140625" style="721" customWidth="1"/>
    <col min="17" max="17" width="7.7109375" style="720" customWidth="1"/>
    <col min="18" max="18" width="12.5703125" style="720" customWidth="1"/>
    <col min="19" max="19" width="11.140625" style="720" customWidth="1"/>
    <col min="20" max="20" width="4" style="720" customWidth="1"/>
    <col min="21" max="21" width="3.85546875" style="731" customWidth="1"/>
    <col min="22" max="22" width="6.140625" style="731" customWidth="1"/>
    <col min="23" max="23" width="9" style="721" customWidth="1"/>
    <col min="24" max="24" width="12.28515625" style="720" customWidth="1"/>
    <col min="25" max="25" width="14" style="720" customWidth="1"/>
    <col min="26" max="26" width="10.7109375" style="720" customWidth="1"/>
    <col min="27" max="27" width="10.5703125" style="731" customWidth="1"/>
    <col min="28" max="28" width="9.140625" style="720" customWidth="1"/>
    <col min="29" max="30" width="4.42578125" style="720" customWidth="1"/>
    <col min="31" max="31" width="12.85546875" style="720" customWidth="1"/>
    <col min="32" max="32" width="11.5703125" style="720" customWidth="1"/>
    <col min="33" max="34" width="9.140625" style="720" customWidth="1"/>
    <col min="35" max="35" width="12.28515625" style="720" customWidth="1"/>
    <col min="36" max="36" width="10.140625" style="720" customWidth="1"/>
    <col min="37" max="37" width="11.5703125" style="720" customWidth="1"/>
    <col min="38" max="215" width="9.140625" style="720" customWidth="1"/>
    <col min="216" max="16384" width="9.140625" style="720"/>
  </cols>
  <sheetData>
    <row r="1" spans="1:30" ht="29.25" customHeight="1" x14ac:dyDescent="0.25">
      <c r="S1" s="796"/>
      <c r="T1" s="797"/>
      <c r="U1" s="798"/>
      <c r="Z1" s="796"/>
      <c r="AA1" s="798"/>
    </row>
    <row r="2" spans="1:30" ht="22.5" customHeight="1" x14ac:dyDescent="0.25">
      <c r="A2" s="799" t="s">
        <v>0</v>
      </c>
      <c r="B2" s="797"/>
      <c r="C2" s="797"/>
      <c r="D2" s="797"/>
      <c r="E2" s="797"/>
      <c r="F2" s="797"/>
      <c r="G2" s="800"/>
      <c r="H2" s="797"/>
      <c r="I2" s="797"/>
      <c r="J2" s="797"/>
      <c r="K2" s="797"/>
      <c r="L2" s="797"/>
      <c r="M2" s="798"/>
      <c r="N2" s="798"/>
      <c r="O2" s="798"/>
      <c r="P2" s="800"/>
      <c r="Q2" s="797"/>
      <c r="R2" s="797"/>
      <c r="S2" s="797"/>
      <c r="T2" s="797"/>
      <c r="U2" s="798"/>
      <c r="V2" s="798"/>
      <c r="W2" s="800"/>
      <c r="X2" s="801"/>
      <c r="Y2" s="797"/>
      <c r="AB2" s="732"/>
      <c r="AC2" s="732" t="s">
        <v>1</v>
      </c>
    </row>
    <row r="3" spans="1:30" ht="9" customHeight="1" x14ac:dyDescent="0.25">
      <c r="A3" s="802"/>
      <c r="B3" s="797"/>
      <c r="C3" s="797"/>
      <c r="D3" s="797"/>
      <c r="E3" s="797"/>
      <c r="F3" s="797"/>
      <c r="G3" s="800"/>
      <c r="H3" s="797"/>
      <c r="I3" s="797"/>
      <c r="J3" s="797"/>
      <c r="K3" s="797"/>
      <c r="L3" s="797"/>
      <c r="M3" s="733"/>
      <c r="N3" s="733"/>
      <c r="O3" s="733"/>
      <c r="P3" s="720"/>
      <c r="U3" s="720"/>
      <c r="V3" s="733"/>
      <c r="W3" s="720"/>
      <c r="AA3" s="720"/>
    </row>
    <row r="4" spans="1:30" s="746" customFormat="1" ht="16.5" customHeight="1" x14ac:dyDescent="0.25">
      <c r="A4" s="803" t="s">
        <v>2</v>
      </c>
      <c r="B4" s="803" t="s">
        <v>3</v>
      </c>
      <c r="C4" s="806" t="s">
        <v>4</v>
      </c>
      <c r="D4" s="807" t="s">
        <v>5</v>
      </c>
      <c r="E4" s="808"/>
      <c r="F4" s="808"/>
      <c r="G4" s="808"/>
      <c r="H4" s="808"/>
      <c r="I4" s="808"/>
      <c r="J4" s="808"/>
      <c r="K4" s="808"/>
      <c r="L4" s="809"/>
      <c r="M4" s="810" t="s">
        <v>6</v>
      </c>
      <c r="N4" s="808"/>
      <c r="O4" s="808"/>
      <c r="P4" s="808"/>
      <c r="Q4" s="808"/>
      <c r="R4" s="808"/>
      <c r="S4" s="808"/>
      <c r="T4" s="808"/>
      <c r="U4" s="809"/>
      <c r="V4" s="819" t="s">
        <v>7</v>
      </c>
      <c r="W4" s="808"/>
      <c r="X4" s="808"/>
      <c r="Y4" s="808"/>
      <c r="Z4" s="808"/>
      <c r="AA4" s="808"/>
      <c r="AB4" s="808"/>
      <c r="AC4" s="808"/>
      <c r="AD4" s="820"/>
    </row>
    <row r="5" spans="1:30" s="746" customFormat="1" ht="15" customHeight="1" x14ac:dyDescent="0.25">
      <c r="A5" s="804"/>
      <c r="B5" s="804"/>
      <c r="C5" s="804"/>
      <c r="D5" s="821" t="s">
        <v>8</v>
      </c>
      <c r="E5" s="821" t="s">
        <v>9</v>
      </c>
      <c r="F5" s="821" t="s">
        <v>10</v>
      </c>
      <c r="G5" s="808"/>
      <c r="H5" s="808"/>
      <c r="I5" s="808"/>
      <c r="J5" s="808"/>
      <c r="K5" s="808"/>
      <c r="L5" s="820"/>
      <c r="M5" s="822" t="s">
        <v>8</v>
      </c>
      <c r="N5" s="821" t="s">
        <v>9</v>
      </c>
      <c r="O5" s="821" t="s">
        <v>10</v>
      </c>
      <c r="P5" s="808"/>
      <c r="Q5" s="808"/>
      <c r="R5" s="808"/>
      <c r="S5" s="808"/>
      <c r="T5" s="808"/>
      <c r="U5" s="820"/>
      <c r="V5" s="822" t="s">
        <v>8</v>
      </c>
      <c r="W5" s="821" t="s">
        <v>9</v>
      </c>
      <c r="X5" s="821" t="s">
        <v>10</v>
      </c>
      <c r="Y5" s="808"/>
      <c r="Z5" s="808"/>
      <c r="AA5" s="808"/>
      <c r="AB5" s="808"/>
      <c r="AC5" s="808"/>
      <c r="AD5" s="820"/>
    </row>
    <row r="6" spans="1:30" s="746" customFormat="1" ht="15" customHeight="1" x14ac:dyDescent="0.25">
      <c r="A6" s="804"/>
      <c r="B6" s="804"/>
      <c r="C6" s="804"/>
      <c r="D6" s="804"/>
      <c r="E6" s="804"/>
      <c r="F6" s="806" t="s">
        <v>11</v>
      </c>
      <c r="G6" s="811" t="s">
        <v>12</v>
      </c>
      <c r="H6" s="812" t="s">
        <v>13</v>
      </c>
      <c r="I6" s="813"/>
      <c r="J6" s="814"/>
      <c r="K6" s="815" t="s">
        <v>14</v>
      </c>
      <c r="L6" s="816" t="s">
        <v>15</v>
      </c>
      <c r="M6" s="823"/>
      <c r="N6" s="804"/>
      <c r="O6" s="806" t="s">
        <v>11</v>
      </c>
      <c r="P6" s="811" t="s">
        <v>12</v>
      </c>
      <c r="Q6" s="812" t="s">
        <v>13</v>
      </c>
      <c r="R6" s="813"/>
      <c r="S6" s="814"/>
      <c r="T6" s="815" t="s">
        <v>14</v>
      </c>
      <c r="U6" s="828" t="s">
        <v>15</v>
      </c>
      <c r="V6" s="823"/>
      <c r="W6" s="804"/>
      <c r="X6" s="806" t="s">
        <v>11</v>
      </c>
      <c r="Y6" s="811" t="s">
        <v>12</v>
      </c>
      <c r="Z6" s="812" t="s">
        <v>13</v>
      </c>
      <c r="AA6" s="813"/>
      <c r="AB6" s="814"/>
      <c r="AC6" s="815" t="s">
        <v>14</v>
      </c>
      <c r="AD6" s="815" t="s">
        <v>15</v>
      </c>
    </row>
    <row r="7" spans="1:30" s="746" customFormat="1" ht="15.75" customHeight="1" x14ac:dyDescent="0.25">
      <c r="A7" s="804"/>
      <c r="B7" s="804"/>
      <c r="C7" s="804"/>
      <c r="D7" s="804"/>
      <c r="E7" s="804"/>
      <c r="F7" s="804"/>
      <c r="G7" s="804"/>
      <c r="H7" s="806" t="s">
        <v>16</v>
      </c>
      <c r="I7" s="820"/>
      <c r="J7" s="806" t="s">
        <v>17</v>
      </c>
      <c r="K7" s="804"/>
      <c r="L7" s="817"/>
      <c r="M7" s="823"/>
      <c r="N7" s="804"/>
      <c r="O7" s="804"/>
      <c r="P7" s="804"/>
      <c r="Q7" s="806" t="s">
        <v>16</v>
      </c>
      <c r="R7" s="820"/>
      <c r="S7" s="806" t="s">
        <v>17</v>
      </c>
      <c r="T7" s="804"/>
      <c r="U7" s="829"/>
      <c r="V7" s="823"/>
      <c r="W7" s="804"/>
      <c r="X7" s="804"/>
      <c r="Y7" s="804"/>
      <c r="Z7" s="806" t="s">
        <v>16</v>
      </c>
      <c r="AA7" s="820"/>
      <c r="AB7" s="806" t="s">
        <v>17</v>
      </c>
      <c r="AC7" s="804"/>
      <c r="AD7" s="804"/>
    </row>
    <row r="8" spans="1:30" s="746" customFormat="1" ht="39" customHeight="1" x14ac:dyDescent="0.25">
      <c r="A8" s="805"/>
      <c r="B8" s="805"/>
      <c r="C8" s="805"/>
      <c r="D8" s="805"/>
      <c r="E8" s="805"/>
      <c r="F8" s="805"/>
      <c r="G8" s="805"/>
      <c r="H8" s="727" t="s">
        <v>18</v>
      </c>
      <c r="I8" s="727" t="s">
        <v>19</v>
      </c>
      <c r="J8" s="805"/>
      <c r="K8" s="805"/>
      <c r="L8" s="818"/>
      <c r="M8" s="824"/>
      <c r="N8" s="805"/>
      <c r="O8" s="805"/>
      <c r="P8" s="805"/>
      <c r="Q8" s="727" t="s">
        <v>18</v>
      </c>
      <c r="R8" s="727" t="s">
        <v>19</v>
      </c>
      <c r="S8" s="805"/>
      <c r="T8" s="805"/>
      <c r="U8" s="830"/>
      <c r="V8" s="824"/>
      <c r="W8" s="805"/>
      <c r="X8" s="805"/>
      <c r="Y8" s="805"/>
      <c r="Z8" s="727" t="s">
        <v>18</v>
      </c>
      <c r="AA8" s="727" t="s">
        <v>19</v>
      </c>
      <c r="AB8" s="805"/>
      <c r="AC8" s="805"/>
      <c r="AD8" s="805"/>
    </row>
    <row r="9" spans="1:30" s="99" customFormat="1" ht="16.5" customHeight="1" x14ac:dyDescent="0.25">
      <c r="A9" s="100">
        <v>1</v>
      </c>
      <c r="B9" s="100">
        <v>2</v>
      </c>
      <c r="C9" s="100">
        <v>3</v>
      </c>
      <c r="D9" s="100">
        <v>4</v>
      </c>
      <c r="E9" s="100">
        <v>5</v>
      </c>
      <c r="F9" s="103">
        <v>6</v>
      </c>
      <c r="G9" s="103">
        <v>7</v>
      </c>
      <c r="H9" s="103">
        <v>8</v>
      </c>
      <c r="I9" s="100">
        <v>9</v>
      </c>
      <c r="J9" s="100">
        <v>10</v>
      </c>
      <c r="K9" s="100">
        <v>11</v>
      </c>
      <c r="L9" s="102">
        <v>12</v>
      </c>
      <c r="M9" s="101">
        <v>13</v>
      </c>
      <c r="N9" s="100">
        <v>14</v>
      </c>
      <c r="O9" s="100">
        <v>15</v>
      </c>
      <c r="P9" s="100">
        <v>16</v>
      </c>
      <c r="Q9" s="100">
        <v>17</v>
      </c>
      <c r="R9" s="100">
        <v>18</v>
      </c>
      <c r="S9" s="100">
        <v>19</v>
      </c>
      <c r="T9" s="100">
        <v>20</v>
      </c>
      <c r="U9" s="102">
        <v>21</v>
      </c>
      <c r="V9" s="101">
        <v>22</v>
      </c>
      <c r="W9" s="100">
        <v>23</v>
      </c>
      <c r="X9" s="100">
        <v>24</v>
      </c>
      <c r="Y9" s="100">
        <v>25</v>
      </c>
      <c r="Z9" s="100">
        <v>26</v>
      </c>
      <c r="AA9" s="100">
        <v>27</v>
      </c>
      <c r="AB9" s="100">
        <v>28</v>
      </c>
      <c r="AC9" s="100">
        <v>29</v>
      </c>
      <c r="AD9" s="100">
        <v>30</v>
      </c>
    </row>
    <row r="10" spans="1:30" s="84" customFormat="1" ht="20.100000000000001" customHeight="1" x14ac:dyDescent="0.25">
      <c r="A10" s="41" t="s">
        <v>20</v>
      </c>
      <c r="B10" s="40"/>
      <c r="C10" s="40"/>
      <c r="D10" s="98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128"/>
      <c r="AC10" s="128"/>
      <c r="AD10" s="127"/>
    </row>
    <row r="11" spans="1:30" s="84" customFormat="1" ht="18.95" customHeight="1" x14ac:dyDescent="0.25">
      <c r="A11" s="825"/>
      <c r="B11" s="826" t="s">
        <v>21</v>
      </c>
      <c r="C11" s="808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41"/>
      <c r="W11" s="141"/>
      <c r="X11" s="141"/>
      <c r="Y11" s="141"/>
      <c r="Z11" s="141"/>
      <c r="AA11" s="141"/>
      <c r="AB11" s="128"/>
      <c r="AC11" s="128"/>
      <c r="AD11" s="127"/>
    </row>
    <row r="12" spans="1:30" s="484" customFormat="1" ht="18.95" customHeight="1" x14ac:dyDescent="0.25">
      <c r="A12" s="804"/>
      <c r="B12" s="470">
        <v>3111302</v>
      </c>
      <c r="C12" s="471" t="s">
        <v>22</v>
      </c>
      <c r="D12" s="472"/>
      <c r="E12" s="473" t="s">
        <v>23</v>
      </c>
      <c r="F12" s="474">
        <v>10</v>
      </c>
      <c r="G12" s="475">
        <v>10</v>
      </c>
      <c r="H12" s="475"/>
      <c r="I12" s="475">
        <v>0</v>
      </c>
      <c r="J12" s="475">
        <v>0</v>
      </c>
      <c r="K12" s="476"/>
      <c r="L12" s="476"/>
      <c r="M12" s="477"/>
      <c r="N12" s="478" t="s">
        <v>23</v>
      </c>
      <c r="O12" s="479">
        <v>5</v>
      </c>
      <c r="P12" s="475">
        <v>5</v>
      </c>
      <c r="Q12" s="475"/>
      <c r="R12" s="478">
        <v>0</v>
      </c>
      <c r="S12" s="475">
        <v>0</v>
      </c>
      <c r="T12" s="476"/>
      <c r="U12" s="480"/>
      <c r="V12" s="481"/>
      <c r="W12" s="482"/>
      <c r="X12" s="475">
        <v>-5</v>
      </c>
      <c r="Y12" s="475">
        <v>-5</v>
      </c>
      <c r="Z12" s="475"/>
      <c r="AA12" s="475">
        <v>0</v>
      </c>
      <c r="AB12" s="475">
        <v>0</v>
      </c>
      <c r="AC12" s="483"/>
      <c r="AD12" s="483"/>
    </row>
    <row r="13" spans="1:30" s="84" customFormat="1" ht="18.95" customHeight="1" x14ac:dyDescent="0.25">
      <c r="A13" s="804"/>
      <c r="B13" s="125">
        <v>3111327</v>
      </c>
      <c r="C13" s="124" t="s">
        <v>24</v>
      </c>
      <c r="D13" s="126"/>
      <c r="E13" s="421" t="s">
        <v>23</v>
      </c>
      <c r="F13" s="462">
        <v>10</v>
      </c>
      <c r="G13" s="86">
        <v>10</v>
      </c>
      <c r="H13" s="86"/>
      <c r="I13" s="86">
        <v>0</v>
      </c>
      <c r="J13" s="86">
        <v>0</v>
      </c>
      <c r="K13" s="88"/>
      <c r="L13" s="88"/>
      <c r="M13" s="142"/>
      <c r="N13" s="118" t="s">
        <v>23</v>
      </c>
      <c r="O13" s="42">
        <v>10</v>
      </c>
      <c r="P13" s="86">
        <v>10</v>
      </c>
      <c r="Q13" s="86"/>
      <c r="R13" s="118">
        <v>0</v>
      </c>
      <c r="S13" s="86">
        <v>0</v>
      </c>
      <c r="T13" s="88"/>
      <c r="U13" s="87"/>
      <c r="V13" s="122"/>
      <c r="W13" s="143"/>
      <c r="X13" s="475">
        <v>0</v>
      </c>
      <c r="Y13" s="475">
        <v>0</v>
      </c>
      <c r="Z13" s="86"/>
      <c r="AA13" s="475">
        <v>0</v>
      </c>
      <c r="AB13" s="86">
        <v>0</v>
      </c>
      <c r="AC13" s="85"/>
      <c r="AD13" s="85"/>
    </row>
    <row r="14" spans="1:30" s="84" customFormat="1" ht="18.95" customHeight="1" x14ac:dyDescent="0.25">
      <c r="A14" s="805"/>
      <c r="B14" s="125">
        <v>3111338</v>
      </c>
      <c r="C14" s="124" t="s">
        <v>25</v>
      </c>
      <c r="D14" s="126"/>
      <c r="E14" s="421" t="s">
        <v>23</v>
      </c>
      <c r="F14" s="462">
        <v>140</v>
      </c>
      <c r="G14" s="86">
        <v>140</v>
      </c>
      <c r="H14" s="86"/>
      <c r="I14" s="86">
        <v>0</v>
      </c>
      <c r="J14" s="86">
        <v>0</v>
      </c>
      <c r="K14" s="88"/>
      <c r="L14" s="88"/>
      <c r="M14" s="142"/>
      <c r="N14" s="118" t="s">
        <v>23</v>
      </c>
      <c r="O14" s="42">
        <v>140</v>
      </c>
      <c r="P14" s="86">
        <v>140</v>
      </c>
      <c r="Q14" s="86"/>
      <c r="R14" s="118">
        <v>0</v>
      </c>
      <c r="S14" s="86">
        <v>0</v>
      </c>
      <c r="T14" s="88"/>
      <c r="U14" s="87"/>
      <c r="V14" s="122"/>
      <c r="W14" s="143"/>
      <c r="X14" s="475">
        <v>0</v>
      </c>
      <c r="Y14" s="475">
        <v>0</v>
      </c>
      <c r="Z14" s="86"/>
      <c r="AA14" s="475">
        <v>0</v>
      </c>
      <c r="AB14" s="86">
        <v>0</v>
      </c>
      <c r="AC14" s="85"/>
      <c r="AD14" s="85"/>
    </row>
    <row r="15" spans="1:30" s="84" customFormat="1" ht="18.95" customHeight="1" x14ac:dyDescent="0.25">
      <c r="A15" s="723"/>
      <c r="B15" s="730" t="s">
        <v>26</v>
      </c>
      <c r="C15" s="72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30"/>
      <c r="Q15" s="129"/>
      <c r="R15" s="453"/>
      <c r="S15" s="129"/>
      <c r="T15" s="129"/>
      <c r="U15" s="129"/>
      <c r="V15" s="144"/>
      <c r="W15" s="144"/>
      <c r="X15" s="475"/>
      <c r="Y15" s="475"/>
      <c r="Z15" s="145"/>
      <c r="AA15" s="475"/>
      <c r="AB15" s="145"/>
      <c r="AC15" s="128"/>
      <c r="AD15" s="127"/>
    </row>
    <row r="16" spans="1:30" s="484" customFormat="1" ht="18.95" customHeight="1" x14ac:dyDescent="0.25">
      <c r="A16" s="561"/>
      <c r="B16" s="485">
        <v>3241101</v>
      </c>
      <c r="C16" s="486" t="s">
        <v>27</v>
      </c>
      <c r="D16" s="487"/>
      <c r="E16" s="473" t="s">
        <v>23</v>
      </c>
      <c r="F16" s="488">
        <v>100</v>
      </c>
      <c r="G16" s="489">
        <v>100</v>
      </c>
      <c r="H16" s="490"/>
      <c r="I16" s="490">
        <v>0</v>
      </c>
      <c r="J16" s="490">
        <v>0</v>
      </c>
      <c r="K16" s="491"/>
      <c r="L16" s="491"/>
      <c r="M16" s="477"/>
      <c r="N16" s="478" t="s">
        <v>23</v>
      </c>
      <c r="O16" s="479">
        <v>120</v>
      </c>
      <c r="P16" s="489">
        <v>120</v>
      </c>
      <c r="Q16" s="490"/>
      <c r="R16" s="492">
        <v>0</v>
      </c>
      <c r="S16" s="490">
        <v>0</v>
      </c>
      <c r="T16" s="489"/>
      <c r="U16" s="480"/>
      <c r="V16" s="481"/>
      <c r="W16" s="482"/>
      <c r="X16" s="475">
        <v>20</v>
      </c>
      <c r="Y16" s="475">
        <v>20</v>
      </c>
      <c r="Z16" s="475"/>
      <c r="AA16" s="475">
        <v>0</v>
      </c>
      <c r="AB16" s="475">
        <v>0</v>
      </c>
      <c r="AC16" s="483"/>
      <c r="AD16" s="483"/>
    </row>
    <row r="17" spans="1:30" s="84" customFormat="1" ht="17.25" customHeight="1" x14ac:dyDescent="0.25">
      <c r="A17" s="718"/>
      <c r="B17" s="421">
        <v>3211129</v>
      </c>
      <c r="C17" s="94" t="s">
        <v>28</v>
      </c>
      <c r="D17" s="121"/>
      <c r="E17" s="421" t="s">
        <v>23</v>
      </c>
      <c r="F17" s="135">
        <v>245</v>
      </c>
      <c r="G17" s="137">
        <v>245</v>
      </c>
      <c r="H17" s="138"/>
      <c r="I17" s="138">
        <v>0</v>
      </c>
      <c r="J17" s="138">
        <v>0</v>
      </c>
      <c r="K17" s="139"/>
      <c r="L17" s="139"/>
      <c r="M17" s="142"/>
      <c r="N17" s="118" t="s">
        <v>23</v>
      </c>
      <c r="O17" s="42">
        <v>245</v>
      </c>
      <c r="P17" s="137">
        <v>245</v>
      </c>
      <c r="Q17" s="138"/>
      <c r="R17" s="454">
        <v>0</v>
      </c>
      <c r="S17" s="138">
        <v>0</v>
      </c>
      <c r="T17" s="139"/>
      <c r="U17" s="87"/>
      <c r="V17" s="122"/>
      <c r="W17" s="143"/>
      <c r="X17" s="475">
        <v>0</v>
      </c>
      <c r="Y17" s="475">
        <v>0</v>
      </c>
      <c r="Z17" s="86"/>
      <c r="AA17" s="475">
        <v>0</v>
      </c>
      <c r="AB17" s="86">
        <v>0</v>
      </c>
      <c r="AC17" s="85"/>
      <c r="AD17" s="85"/>
    </row>
    <row r="18" spans="1:30" s="84" customFormat="1" ht="32.25" customHeight="1" x14ac:dyDescent="0.25">
      <c r="A18" s="718"/>
      <c r="B18" s="667">
        <v>3821103</v>
      </c>
      <c r="C18" s="698" t="s">
        <v>29</v>
      </c>
      <c r="D18" s="699"/>
      <c r="E18" s="667" t="s">
        <v>23</v>
      </c>
      <c r="F18" s="668">
        <v>2596.27</v>
      </c>
      <c r="G18" s="700">
        <v>2596.27</v>
      </c>
      <c r="H18" s="701"/>
      <c r="I18" s="701">
        <v>0</v>
      </c>
      <c r="J18" s="701">
        <v>0</v>
      </c>
      <c r="K18" s="702"/>
      <c r="L18" s="702"/>
      <c r="M18" s="670"/>
      <c r="N18" s="671" t="s">
        <v>23</v>
      </c>
      <c r="O18" s="656">
        <v>2874.35</v>
      </c>
      <c r="P18" s="700">
        <v>2874.35</v>
      </c>
      <c r="Q18" s="701"/>
      <c r="R18" s="703">
        <v>0</v>
      </c>
      <c r="S18" s="701">
        <v>0</v>
      </c>
      <c r="T18" s="702"/>
      <c r="U18" s="704"/>
      <c r="V18" s="705"/>
      <c r="W18" s="674"/>
      <c r="X18" s="655">
        <v>278.07999999999993</v>
      </c>
      <c r="Y18" s="655">
        <v>278.07999999999993</v>
      </c>
      <c r="Z18" s="655"/>
      <c r="AA18" s="655">
        <v>0</v>
      </c>
      <c r="AB18" s="655">
        <v>0</v>
      </c>
      <c r="AC18" s="85"/>
      <c r="AD18" s="85"/>
    </row>
    <row r="19" spans="1:30" s="484" customFormat="1" ht="18.95" customHeight="1" x14ac:dyDescent="0.25">
      <c r="A19" s="561"/>
      <c r="B19" s="473">
        <v>3211119</v>
      </c>
      <c r="C19" s="493" t="s">
        <v>30</v>
      </c>
      <c r="D19" s="494"/>
      <c r="E19" s="473" t="s">
        <v>23</v>
      </c>
      <c r="F19" s="488">
        <v>25</v>
      </c>
      <c r="G19" s="489">
        <v>25</v>
      </c>
      <c r="H19" s="490"/>
      <c r="I19" s="490">
        <v>0</v>
      </c>
      <c r="J19" s="490">
        <v>0</v>
      </c>
      <c r="K19" s="491"/>
      <c r="L19" s="491"/>
      <c r="M19" s="477"/>
      <c r="N19" s="478" t="s">
        <v>23</v>
      </c>
      <c r="O19" s="479">
        <v>5</v>
      </c>
      <c r="P19" s="489">
        <v>5</v>
      </c>
      <c r="Q19" s="490"/>
      <c r="R19" s="492">
        <v>0</v>
      </c>
      <c r="S19" s="490">
        <v>0</v>
      </c>
      <c r="T19" s="491"/>
      <c r="U19" s="480"/>
      <c r="V19" s="481"/>
      <c r="W19" s="482"/>
      <c r="X19" s="475">
        <v>-20</v>
      </c>
      <c r="Y19" s="475">
        <v>-20</v>
      </c>
      <c r="Z19" s="475"/>
      <c r="AA19" s="475">
        <v>0</v>
      </c>
      <c r="AB19" s="475">
        <v>0</v>
      </c>
      <c r="AC19" s="483"/>
      <c r="AD19" s="483"/>
    </row>
    <row r="20" spans="1:30" s="484" customFormat="1" ht="18.95" customHeight="1" x14ac:dyDescent="0.25">
      <c r="A20" s="561"/>
      <c r="B20" s="473">
        <v>3211120</v>
      </c>
      <c r="C20" s="495" t="s">
        <v>31</v>
      </c>
      <c r="D20" s="496"/>
      <c r="E20" s="473" t="s">
        <v>23</v>
      </c>
      <c r="F20" s="488">
        <v>25</v>
      </c>
      <c r="G20" s="489">
        <v>25</v>
      </c>
      <c r="H20" s="490"/>
      <c r="I20" s="490">
        <v>0</v>
      </c>
      <c r="J20" s="490">
        <v>0</v>
      </c>
      <c r="K20" s="491"/>
      <c r="L20" s="491"/>
      <c r="M20" s="477"/>
      <c r="N20" s="478" t="s">
        <v>23</v>
      </c>
      <c r="O20" s="479">
        <v>5</v>
      </c>
      <c r="P20" s="489">
        <v>5</v>
      </c>
      <c r="Q20" s="490"/>
      <c r="R20" s="492">
        <v>0</v>
      </c>
      <c r="S20" s="490">
        <v>0</v>
      </c>
      <c r="T20" s="491"/>
      <c r="U20" s="480"/>
      <c r="V20" s="481"/>
      <c r="W20" s="482"/>
      <c r="X20" s="475">
        <v>-20</v>
      </c>
      <c r="Y20" s="475">
        <v>-20</v>
      </c>
      <c r="Z20" s="475"/>
      <c r="AA20" s="475">
        <v>0</v>
      </c>
      <c r="AB20" s="475">
        <v>0</v>
      </c>
      <c r="AC20" s="483"/>
      <c r="AD20" s="483"/>
    </row>
    <row r="21" spans="1:30" s="484" customFormat="1" ht="18.95" customHeight="1" x14ac:dyDescent="0.25">
      <c r="A21" s="561"/>
      <c r="B21" s="473">
        <v>3211117</v>
      </c>
      <c r="C21" s="495" t="s">
        <v>32</v>
      </c>
      <c r="D21" s="496"/>
      <c r="E21" s="473" t="s">
        <v>23</v>
      </c>
      <c r="F21" s="488">
        <v>25</v>
      </c>
      <c r="G21" s="489">
        <v>25</v>
      </c>
      <c r="H21" s="489"/>
      <c r="I21" s="489">
        <v>0</v>
      </c>
      <c r="J21" s="489">
        <v>0</v>
      </c>
      <c r="K21" s="497"/>
      <c r="L21" s="497"/>
      <c r="M21" s="477"/>
      <c r="N21" s="478" t="s">
        <v>23</v>
      </c>
      <c r="O21" s="479">
        <v>5</v>
      </c>
      <c r="P21" s="489">
        <v>5</v>
      </c>
      <c r="Q21" s="489"/>
      <c r="R21" s="498">
        <v>0</v>
      </c>
      <c r="S21" s="489">
        <v>0</v>
      </c>
      <c r="T21" s="497"/>
      <c r="U21" s="480"/>
      <c r="V21" s="481"/>
      <c r="W21" s="482"/>
      <c r="X21" s="475">
        <v>-20</v>
      </c>
      <c r="Y21" s="475">
        <v>-20</v>
      </c>
      <c r="Z21" s="475"/>
      <c r="AA21" s="475">
        <v>0</v>
      </c>
      <c r="AB21" s="475">
        <v>0</v>
      </c>
      <c r="AC21" s="483"/>
      <c r="AD21" s="483"/>
    </row>
    <row r="22" spans="1:30" s="484" customFormat="1" ht="18.95" customHeight="1" x14ac:dyDescent="0.25">
      <c r="A22" s="561"/>
      <c r="B22" s="473">
        <v>3221104</v>
      </c>
      <c r="C22" s="495" t="s">
        <v>33</v>
      </c>
      <c r="D22" s="496"/>
      <c r="E22" s="473" t="s">
        <v>23</v>
      </c>
      <c r="F22" s="488">
        <v>15</v>
      </c>
      <c r="G22" s="489">
        <v>15</v>
      </c>
      <c r="H22" s="489"/>
      <c r="I22" s="489">
        <v>0</v>
      </c>
      <c r="J22" s="489">
        <v>0</v>
      </c>
      <c r="K22" s="497"/>
      <c r="L22" s="497"/>
      <c r="M22" s="477"/>
      <c r="N22" s="478" t="s">
        <v>23</v>
      </c>
      <c r="O22" s="479">
        <v>20</v>
      </c>
      <c r="P22" s="489">
        <v>20</v>
      </c>
      <c r="Q22" s="489"/>
      <c r="R22" s="498">
        <v>0</v>
      </c>
      <c r="S22" s="489">
        <v>0</v>
      </c>
      <c r="T22" s="497"/>
      <c r="U22" s="480"/>
      <c r="V22" s="481"/>
      <c r="W22" s="482"/>
      <c r="X22" s="475">
        <v>5</v>
      </c>
      <c r="Y22" s="475">
        <v>5</v>
      </c>
      <c r="Z22" s="475"/>
      <c r="AA22" s="475">
        <v>0</v>
      </c>
      <c r="AB22" s="475">
        <v>0</v>
      </c>
      <c r="AC22" s="483"/>
      <c r="AD22" s="483"/>
    </row>
    <row r="23" spans="1:30" s="484" customFormat="1" ht="18.95" customHeight="1" x14ac:dyDescent="0.25">
      <c r="A23" s="561"/>
      <c r="B23" s="473">
        <v>3211115</v>
      </c>
      <c r="C23" s="495" t="s">
        <v>34</v>
      </c>
      <c r="D23" s="496"/>
      <c r="E23" s="473" t="s">
        <v>23</v>
      </c>
      <c r="F23" s="488">
        <v>10</v>
      </c>
      <c r="G23" s="489">
        <v>10</v>
      </c>
      <c r="H23" s="489"/>
      <c r="I23" s="489">
        <v>0</v>
      </c>
      <c r="J23" s="489">
        <v>0</v>
      </c>
      <c r="K23" s="497"/>
      <c r="L23" s="497"/>
      <c r="M23" s="477"/>
      <c r="N23" s="478" t="s">
        <v>23</v>
      </c>
      <c r="O23" s="479">
        <v>5</v>
      </c>
      <c r="P23" s="489">
        <v>5</v>
      </c>
      <c r="Q23" s="489"/>
      <c r="R23" s="498">
        <v>0</v>
      </c>
      <c r="S23" s="489">
        <v>0</v>
      </c>
      <c r="T23" s="497"/>
      <c r="U23" s="480"/>
      <c r="V23" s="481"/>
      <c r="W23" s="482"/>
      <c r="X23" s="475">
        <v>-5</v>
      </c>
      <c r="Y23" s="475">
        <v>-5</v>
      </c>
      <c r="Z23" s="475"/>
      <c r="AA23" s="475">
        <v>0</v>
      </c>
      <c r="AB23" s="475">
        <v>0</v>
      </c>
      <c r="AC23" s="483"/>
      <c r="AD23" s="483"/>
    </row>
    <row r="24" spans="1:30" s="484" customFormat="1" ht="18.95" customHeight="1" x14ac:dyDescent="0.25">
      <c r="A24" s="561"/>
      <c r="B24" s="473">
        <v>3211113</v>
      </c>
      <c r="C24" s="495" t="s">
        <v>35</v>
      </c>
      <c r="D24" s="496"/>
      <c r="E24" s="473" t="s">
        <v>23</v>
      </c>
      <c r="F24" s="488">
        <v>15</v>
      </c>
      <c r="G24" s="489">
        <v>15</v>
      </c>
      <c r="H24" s="489"/>
      <c r="I24" s="489">
        <v>0</v>
      </c>
      <c r="J24" s="489">
        <v>0</v>
      </c>
      <c r="K24" s="497"/>
      <c r="L24" s="497"/>
      <c r="M24" s="477"/>
      <c r="N24" s="478" t="s">
        <v>23</v>
      </c>
      <c r="O24" s="479">
        <v>20</v>
      </c>
      <c r="P24" s="489">
        <v>20</v>
      </c>
      <c r="Q24" s="489"/>
      <c r="R24" s="498">
        <v>0</v>
      </c>
      <c r="S24" s="489">
        <v>0</v>
      </c>
      <c r="T24" s="497"/>
      <c r="U24" s="480"/>
      <c r="V24" s="481"/>
      <c r="W24" s="482"/>
      <c r="X24" s="475">
        <v>5</v>
      </c>
      <c r="Y24" s="475">
        <v>5</v>
      </c>
      <c r="Z24" s="475"/>
      <c r="AA24" s="475">
        <v>0</v>
      </c>
      <c r="AB24" s="475">
        <v>0</v>
      </c>
      <c r="AC24" s="483"/>
      <c r="AD24" s="483"/>
    </row>
    <row r="25" spans="1:30" s="484" customFormat="1" ht="18.95" customHeight="1" x14ac:dyDescent="0.25">
      <c r="A25" s="561"/>
      <c r="B25" s="664">
        <v>3243102</v>
      </c>
      <c r="C25" s="665" t="s">
        <v>36</v>
      </c>
      <c r="D25" s="666"/>
      <c r="E25" s="667" t="s">
        <v>23</v>
      </c>
      <c r="F25" s="668">
        <v>200</v>
      </c>
      <c r="G25" s="668">
        <v>200</v>
      </c>
      <c r="H25" s="668"/>
      <c r="I25" s="668">
        <v>0</v>
      </c>
      <c r="J25" s="668">
        <v>0</v>
      </c>
      <c r="K25" s="669"/>
      <c r="L25" s="669"/>
      <c r="M25" s="670"/>
      <c r="N25" s="671" t="s">
        <v>23</v>
      </c>
      <c r="O25" s="656">
        <v>40</v>
      </c>
      <c r="P25" s="668">
        <v>40</v>
      </c>
      <c r="Q25" s="668"/>
      <c r="R25" s="671">
        <v>0</v>
      </c>
      <c r="S25" s="668">
        <v>0</v>
      </c>
      <c r="T25" s="669"/>
      <c r="U25" s="672"/>
      <c r="V25" s="673"/>
      <c r="W25" s="674"/>
      <c r="X25" s="655">
        <v>-160</v>
      </c>
      <c r="Y25" s="655">
        <v>-160</v>
      </c>
      <c r="Z25" s="655"/>
      <c r="AA25" s="655">
        <v>0</v>
      </c>
      <c r="AB25" s="655">
        <v>0</v>
      </c>
      <c r="AC25" s="675"/>
      <c r="AD25" s="675"/>
    </row>
    <row r="26" spans="1:30" s="484" customFormat="1" ht="18.95" customHeight="1" x14ac:dyDescent="0.25">
      <c r="A26" s="561"/>
      <c r="B26" s="664">
        <v>3243101</v>
      </c>
      <c r="C26" s="665" t="s">
        <v>37</v>
      </c>
      <c r="D26" s="666"/>
      <c r="E26" s="667" t="s">
        <v>23</v>
      </c>
      <c r="F26" s="668">
        <v>150</v>
      </c>
      <c r="G26" s="668">
        <v>150</v>
      </c>
      <c r="H26" s="668"/>
      <c r="I26" s="668">
        <v>0</v>
      </c>
      <c r="J26" s="668">
        <v>0</v>
      </c>
      <c r="K26" s="669"/>
      <c r="L26" s="669"/>
      <c r="M26" s="670"/>
      <c r="N26" s="671" t="s">
        <v>23</v>
      </c>
      <c r="O26" s="656">
        <v>170</v>
      </c>
      <c r="P26" s="668">
        <v>170</v>
      </c>
      <c r="Q26" s="668"/>
      <c r="R26" s="671">
        <v>0</v>
      </c>
      <c r="S26" s="668">
        <v>0</v>
      </c>
      <c r="T26" s="669"/>
      <c r="U26" s="672"/>
      <c r="V26" s="673"/>
      <c r="W26" s="674"/>
      <c r="X26" s="655">
        <v>20</v>
      </c>
      <c r="Y26" s="655">
        <v>20</v>
      </c>
      <c r="Z26" s="655"/>
      <c r="AA26" s="655">
        <v>0</v>
      </c>
      <c r="AB26" s="655">
        <v>0</v>
      </c>
      <c r="AC26" s="675"/>
      <c r="AD26" s="675"/>
    </row>
    <row r="27" spans="1:30" s="84" customFormat="1" ht="18.95" customHeight="1" x14ac:dyDescent="0.25">
      <c r="A27" s="718"/>
      <c r="B27" s="125">
        <v>3221108</v>
      </c>
      <c r="C27" s="124" t="s">
        <v>38</v>
      </c>
      <c r="D27" s="126"/>
      <c r="E27" s="421" t="s">
        <v>23</v>
      </c>
      <c r="F27" s="135">
        <v>3</v>
      </c>
      <c r="G27" s="135">
        <v>3</v>
      </c>
      <c r="H27" s="134"/>
      <c r="I27" s="134">
        <v>0</v>
      </c>
      <c r="J27" s="134">
        <v>0</v>
      </c>
      <c r="K27" s="136"/>
      <c r="L27" s="136"/>
      <c r="M27" s="142"/>
      <c r="N27" s="118" t="s">
        <v>23</v>
      </c>
      <c r="O27" s="42">
        <v>3</v>
      </c>
      <c r="P27" s="135">
        <v>3</v>
      </c>
      <c r="Q27" s="134"/>
      <c r="R27" s="455">
        <v>0</v>
      </c>
      <c r="S27" s="134">
        <v>0</v>
      </c>
      <c r="T27" s="136"/>
      <c r="U27" s="133"/>
      <c r="V27" s="132"/>
      <c r="W27" s="143"/>
      <c r="X27" s="475">
        <v>0</v>
      </c>
      <c r="Y27" s="475">
        <v>0</v>
      </c>
      <c r="Z27" s="86"/>
      <c r="AA27" s="475">
        <v>0</v>
      </c>
      <c r="AB27" s="86">
        <v>0</v>
      </c>
      <c r="AC27" s="85"/>
      <c r="AD27" s="85"/>
    </row>
    <row r="28" spans="1:30" s="484" customFormat="1" ht="18.95" customHeight="1" x14ac:dyDescent="0.25">
      <c r="A28" s="561"/>
      <c r="B28" s="470">
        <v>3255102</v>
      </c>
      <c r="C28" s="471" t="s">
        <v>39</v>
      </c>
      <c r="D28" s="472"/>
      <c r="E28" s="473" t="s">
        <v>23</v>
      </c>
      <c r="F28" s="488">
        <v>35</v>
      </c>
      <c r="G28" s="475">
        <v>35</v>
      </c>
      <c r="H28" s="475"/>
      <c r="I28" s="475">
        <v>0</v>
      </c>
      <c r="J28" s="475">
        <v>0</v>
      </c>
      <c r="K28" s="476"/>
      <c r="L28" s="476"/>
      <c r="M28" s="477"/>
      <c r="N28" s="478" t="s">
        <v>23</v>
      </c>
      <c r="O28" s="479">
        <v>50</v>
      </c>
      <c r="P28" s="475">
        <v>50</v>
      </c>
      <c r="Q28" s="475"/>
      <c r="R28" s="478">
        <v>0</v>
      </c>
      <c r="S28" s="475">
        <v>0</v>
      </c>
      <c r="T28" s="476"/>
      <c r="U28" s="480"/>
      <c r="V28" s="481"/>
      <c r="W28" s="482"/>
      <c r="X28" s="475">
        <v>15</v>
      </c>
      <c r="Y28" s="475">
        <v>15</v>
      </c>
      <c r="Z28" s="475"/>
      <c r="AA28" s="475">
        <v>0</v>
      </c>
      <c r="AB28" s="475">
        <v>0</v>
      </c>
      <c r="AC28" s="483"/>
      <c r="AD28" s="483"/>
    </row>
    <row r="29" spans="1:30" s="484" customFormat="1" ht="18.95" customHeight="1" x14ac:dyDescent="0.25">
      <c r="A29" s="561"/>
      <c r="B29" s="470">
        <v>3255104</v>
      </c>
      <c r="C29" s="471" t="s">
        <v>40</v>
      </c>
      <c r="D29" s="472"/>
      <c r="E29" s="473" t="s">
        <v>23</v>
      </c>
      <c r="F29" s="488">
        <v>150</v>
      </c>
      <c r="G29" s="475">
        <v>150</v>
      </c>
      <c r="H29" s="475"/>
      <c r="I29" s="475">
        <v>0</v>
      </c>
      <c r="J29" s="475">
        <v>0</v>
      </c>
      <c r="K29" s="476"/>
      <c r="L29" s="476"/>
      <c r="M29" s="477"/>
      <c r="N29" s="478" t="s">
        <v>23</v>
      </c>
      <c r="O29" s="479">
        <v>120</v>
      </c>
      <c r="P29" s="475">
        <v>120</v>
      </c>
      <c r="Q29" s="475"/>
      <c r="R29" s="478">
        <v>0</v>
      </c>
      <c r="S29" s="475">
        <v>0</v>
      </c>
      <c r="T29" s="476"/>
      <c r="U29" s="480"/>
      <c r="V29" s="481"/>
      <c r="W29" s="482"/>
      <c r="X29" s="475">
        <v>-30</v>
      </c>
      <c r="Y29" s="475">
        <v>-30</v>
      </c>
      <c r="Z29" s="475"/>
      <c r="AA29" s="475">
        <v>0</v>
      </c>
      <c r="AB29" s="475">
        <v>0</v>
      </c>
      <c r="AC29" s="483"/>
      <c r="AD29" s="483"/>
    </row>
    <row r="30" spans="1:30" s="84" customFormat="1" ht="18.95" customHeight="1" x14ac:dyDescent="0.25">
      <c r="A30" s="718"/>
      <c r="B30" s="125">
        <v>3211127</v>
      </c>
      <c r="C30" s="124" t="s">
        <v>41</v>
      </c>
      <c r="D30" s="126"/>
      <c r="E30" s="421" t="s">
        <v>23</v>
      </c>
      <c r="F30" s="135">
        <v>2</v>
      </c>
      <c r="G30" s="86">
        <v>2</v>
      </c>
      <c r="H30" s="86"/>
      <c r="I30" s="86">
        <v>0</v>
      </c>
      <c r="J30" s="86">
        <v>0</v>
      </c>
      <c r="K30" s="88"/>
      <c r="L30" s="88"/>
      <c r="M30" s="142"/>
      <c r="N30" s="118" t="s">
        <v>23</v>
      </c>
      <c r="O30" s="42">
        <v>2</v>
      </c>
      <c r="P30" s="86">
        <v>2</v>
      </c>
      <c r="Q30" s="86"/>
      <c r="R30" s="118">
        <v>0</v>
      </c>
      <c r="S30" s="86">
        <v>0</v>
      </c>
      <c r="T30" s="88"/>
      <c r="U30" s="87"/>
      <c r="V30" s="122"/>
      <c r="W30" s="143"/>
      <c r="X30" s="475">
        <v>0</v>
      </c>
      <c r="Y30" s="475">
        <v>0</v>
      </c>
      <c r="Z30" s="86"/>
      <c r="AA30" s="475">
        <v>0</v>
      </c>
      <c r="AB30" s="86">
        <v>0</v>
      </c>
      <c r="AC30" s="85"/>
      <c r="AD30" s="85"/>
    </row>
    <row r="31" spans="1:30" s="84" customFormat="1" ht="18.95" customHeight="1" x14ac:dyDescent="0.25">
      <c r="A31" s="718"/>
      <c r="B31" s="125"/>
      <c r="C31" s="131" t="s">
        <v>42</v>
      </c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29"/>
      <c r="R31" s="453"/>
      <c r="S31" s="129"/>
      <c r="T31" s="129"/>
      <c r="U31" s="129"/>
      <c r="V31" s="129"/>
      <c r="W31" s="129"/>
      <c r="X31" s="475"/>
      <c r="Y31" s="475"/>
      <c r="Z31" s="86"/>
      <c r="AA31" s="475"/>
      <c r="AB31" s="86"/>
      <c r="AC31" s="128"/>
      <c r="AD31" s="127"/>
    </row>
    <row r="32" spans="1:30" s="484" customFormat="1" ht="20.25" customHeight="1" x14ac:dyDescent="0.25">
      <c r="A32" s="561"/>
      <c r="B32" s="470">
        <v>3231201</v>
      </c>
      <c r="C32" s="471" t="s">
        <v>43</v>
      </c>
      <c r="D32" s="472"/>
      <c r="E32" s="473" t="s">
        <v>23</v>
      </c>
      <c r="F32" s="488">
        <v>238.54</v>
      </c>
      <c r="G32" s="475">
        <v>0</v>
      </c>
      <c r="H32" s="475"/>
      <c r="I32" s="475">
        <v>238.54</v>
      </c>
      <c r="J32" s="475">
        <v>0</v>
      </c>
      <c r="K32" s="476"/>
      <c r="L32" s="476"/>
      <c r="M32" s="477"/>
      <c r="N32" s="478" t="s">
        <v>23</v>
      </c>
      <c r="O32" s="479">
        <v>119</v>
      </c>
      <c r="P32" s="499">
        <v>0</v>
      </c>
      <c r="Q32" s="475"/>
      <c r="R32" s="478">
        <v>119</v>
      </c>
      <c r="S32" s="475">
        <v>0</v>
      </c>
      <c r="T32" s="476"/>
      <c r="U32" s="480"/>
      <c r="V32" s="481"/>
      <c r="W32" s="482"/>
      <c r="X32" s="475">
        <v>-119.54</v>
      </c>
      <c r="Y32" s="475">
        <v>0</v>
      </c>
      <c r="Z32" s="475"/>
      <c r="AA32" s="475">
        <v>-119.54</v>
      </c>
      <c r="AB32" s="482">
        <v>0</v>
      </c>
      <c r="AC32" s="483"/>
      <c r="AD32" s="483"/>
    </row>
    <row r="33" spans="1:30" s="484" customFormat="1" ht="24.75" customHeight="1" x14ac:dyDescent="0.25">
      <c r="A33" s="561"/>
      <c r="B33" s="470">
        <v>3231201</v>
      </c>
      <c r="C33" s="472" t="s">
        <v>44</v>
      </c>
      <c r="D33" s="500"/>
      <c r="E33" s="500" t="s">
        <v>23</v>
      </c>
      <c r="F33" s="488">
        <v>398.41</v>
      </c>
      <c r="G33" s="475">
        <v>47.81</v>
      </c>
      <c r="H33" s="501"/>
      <c r="I33" s="501">
        <v>350.6</v>
      </c>
      <c r="J33" s="501">
        <v>0</v>
      </c>
      <c r="K33" s="502"/>
      <c r="L33" s="502"/>
      <c r="M33" s="481"/>
      <c r="N33" s="478" t="s">
        <v>23</v>
      </c>
      <c r="O33" s="479">
        <v>536.70000000000005</v>
      </c>
      <c r="P33" s="475">
        <v>64.400000000000006</v>
      </c>
      <c r="Q33" s="501"/>
      <c r="R33" s="503">
        <v>472.3</v>
      </c>
      <c r="S33" s="501">
        <v>0</v>
      </c>
      <c r="T33" s="502"/>
      <c r="U33" s="480"/>
      <c r="V33" s="481"/>
      <c r="W33" s="482"/>
      <c r="X33" s="475">
        <v>138.29</v>
      </c>
      <c r="Y33" s="475">
        <v>16.59</v>
      </c>
      <c r="Z33" s="475"/>
      <c r="AA33" s="475">
        <v>121.7</v>
      </c>
      <c r="AB33" s="475">
        <v>0</v>
      </c>
      <c r="AC33" s="483"/>
      <c r="AD33" s="483"/>
    </row>
    <row r="34" spans="1:30" s="484" customFormat="1" ht="39.75" customHeight="1" x14ac:dyDescent="0.25">
      <c r="A34" s="561"/>
      <c r="B34" s="470">
        <v>3231201</v>
      </c>
      <c r="C34" s="494" t="s">
        <v>45</v>
      </c>
      <c r="D34" s="494"/>
      <c r="E34" s="494" t="s">
        <v>23</v>
      </c>
      <c r="F34" s="504">
        <v>2533.34</v>
      </c>
      <c r="G34" s="505">
        <v>304</v>
      </c>
      <c r="H34" s="505"/>
      <c r="I34" s="505">
        <v>2229.34</v>
      </c>
      <c r="J34" s="505">
        <v>0</v>
      </c>
      <c r="K34" s="506"/>
      <c r="L34" s="506"/>
      <c r="M34" s="507"/>
      <c r="N34" s="478" t="s">
        <v>23</v>
      </c>
      <c r="O34" s="479">
        <v>2957.63</v>
      </c>
      <c r="P34" s="505">
        <v>354.92</v>
      </c>
      <c r="Q34" s="505"/>
      <c r="R34" s="508">
        <v>2602.71</v>
      </c>
      <c r="S34" s="505">
        <v>0</v>
      </c>
      <c r="T34" s="506"/>
      <c r="U34" s="509"/>
      <c r="V34" s="507"/>
      <c r="W34" s="482"/>
      <c r="X34" s="475">
        <v>424.29</v>
      </c>
      <c r="Y34" s="475">
        <v>50.920000000000023</v>
      </c>
      <c r="Z34" s="475"/>
      <c r="AA34" s="475">
        <v>373.36999999999989</v>
      </c>
      <c r="AB34" s="475">
        <v>0</v>
      </c>
      <c r="AC34" s="483"/>
      <c r="AD34" s="483"/>
    </row>
    <row r="35" spans="1:30" s="520" customFormat="1" ht="39" customHeight="1" x14ac:dyDescent="0.25">
      <c r="A35" s="510"/>
      <c r="B35" s="511">
        <v>3231201</v>
      </c>
      <c r="C35" s="512" t="s">
        <v>46</v>
      </c>
      <c r="D35" s="512"/>
      <c r="E35" s="512" t="s">
        <v>23</v>
      </c>
      <c r="F35" s="513">
        <v>1321.68</v>
      </c>
      <c r="G35" s="514">
        <v>158.6</v>
      </c>
      <c r="H35" s="514"/>
      <c r="I35" s="514">
        <v>1163.08</v>
      </c>
      <c r="J35" s="514">
        <v>0</v>
      </c>
      <c r="K35" s="515"/>
      <c r="L35" s="515"/>
      <c r="M35" s="516"/>
      <c r="N35" s="514" t="s">
        <v>23</v>
      </c>
      <c r="O35" s="517">
        <v>1043.6099999999999</v>
      </c>
      <c r="P35" s="514">
        <v>125.23</v>
      </c>
      <c r="Q35" s="514"/>
      <c r="R35" s="514">
        <v>918.38</v>
      </c>
      <c r="S35" s="514">
        <v>0</v>
      </c>
      <c r="T35" s="515"/>
      <c r="U35" s="518"/>
      <c r="V35" s="516"/>
      <c r="W35" s="511"/>
      <c r="X35" s="475">
        <v>-278.07000000000022</v>
      </c>
      <c r="Y35" s="475">
        <v>-33.36999999999999</v>
      </c>
      <c r="Z35" s="514"/>
      <c r="AA35" s="475">
        <v>-244.6999999999999</v>
      </c>
      <c r="AB35" s="514">
        <v>0</v>
      </c>
      <c r="AC35" s="519"/>
      <c r="AD35" s="519"/>
    </row>
    <row r="36" spans="1:30" s="484" customFormat="1" ht="20.25" customHeight="1" x14ac:dyDescent="0.25">
      <c r="A36" s="561"/>
      <c r="B36" s="470">
        <v>3211109</v>
      </c>
      <c r="C36" s="471" t="s">
        <v>47</v>
      </c>
      <c r="D36" s="500"/>
      <c r="E36" s="500" t="s">
        <v>23</v>
      </c>
      <c r="F36" s="504">
        <v>15</v>
      </c>
      <c r="G36" s="475">
        <v>15</v>
      </c>
      <c r="H36" s="501"/>
      <c r="I36" s="501">
        <v>0</v>
      </c>
      <c r="J36" s="501">
        <v>0</v>
      </c>
      <c r="K36" s="502"/>
      <c r="L36" s="502"/>
      <c r="M36" s="507"/>
      <c r="N36" s="478" t="s">
        <v>23</v>
      </c>
      <c r="O36" s="479">
        <v>22</v>
      </c>
      <c r="P36" s="475">
        <v>22</v>
      </c>
      <c r="Q36" s="501"/>
      <c r="R36" s="503">
        <v>0</v>
      </c>
      <c r="S36" s="501">
        <v>0</v>
      </c>
      <c r="T36" s="502"/>
      <c r="U36" s="509"/>
      <c r="V36" s="507"/>
      <c r="W36" s="482"/>
      <c r="X36" s="475">
        <v>7</v>
      </c>
      <c r="Y36" s="475">
        <v>7</v>
      </c>
      <c r="Z36" s="475"/>
      <c r="AA36" s="475">
        <v>0</v>
      </c>
      <c r="AB36" s="475">
        <v>0</v>
      </c>
      <c r="AC36" s="483"/>
      <c r="AD36" s="483"/>
    </row>
    <row r="37" spans="1:30" s="484" customFormat="1" ht="20.100000000000001" customHeight="1" x14ac:dyDescent="0.25">
      <c r="A37" s="561"/>
      <c r="B37" s="470">
        <v>3256103</v>
      </c>
      <c r="C37" s="471" t="s">
        <v>48</v>
      </c>
      <c r="D37" s="500"/>
      <c r="E37" s="500" t="s">
        <v>23</v>
      </c>
      <c r="F37" s="504">
        <v>25</v>
      </c>
      <c r="G37" s="475">
        <v>25</v>
      </c>
      <c r="H37" s="501"/>
      <c r="I37" s="501">
        <v>0</v>
      </c>
      <c r="J37" s="501">
        <v>0</v>
      </c>
      <c r="K37" s="502"/>
      <c r="L37" s="502"/>
      <c r="M37" s="507"/>
      <c r="N37" s="478" t="s">
        <v>23</v>
      </c>
      <c r="O37" s="479">
        <v>15</v>
      </c>
      <c r="P37" s="475">
        <v>15</v>
      </c>
      <c r="Q37" s="501"/>
      <c r="R37" s="503">
        <v>0</v>
      </c>
      <c r="S37" s="501">
        <v>0</v>
      </c>
      <c r="T37" s="502"/>
      <c r="U37" s="509"/>
      <c r="V37" s="507"/>
      <c r="W37" s="482"/>
      <c r="X37" s="475">
        <v>-10</v>
      </c>
      <c r="Y37" s="475">
        <v>-10</v>
      </c>
      <c r="Z37" s="475"/>
      <c r="AA37" s="475">
        <v>0</v>
      </c>
      <c r="AB37" s="475">
        <v>0</v>
      </c>
      <c r="AC37" s="483"/>
      <c r="AD37" s="483"/>
    </row>
    <row r="38" spans="1:30" s="84" customFormat="1" ht="33" customHeight="1" x14ac:dyDescent="0.25">
      <c r="A38" s="718"/>
      <c r="B38" s="421">
        <v>3257101</v>
      </c>
      <c r="C38" s="124" t="s">
        <v>49</v>
      </c>
      <c r="D38" s="123" t="s">
        <v>50</v>
      </c>
      <c r="E38" s="118" t="s">
        <v>51</v>
      </c>
      <c r="F38" s="135">
        <v>7901.4</v>
      </c>
      <c r="G38" s="86">
        <v>0</v>
      </c>
      <c r="H38" s="119"/>
      <c r="I38" s="119">
        <v>0</v>
      </c>
      <c r="J38" s="119">
        <v>7901.4</v>
      </c>
      <c r="K38" s="120"/>
      <c r="L38" s="120"/>
      <c r="M38" s="142" t="s">
        <v>50</v>
      </c>
      <c r="N38" s="118" t="s">
        <v>52</v>
      </c>
      <c r="O38" s="42">
        <v>7901.4</v>
      </c>
      <c r="P38" s="86">
        <v>0</v>
      </c>
      <c r="Q38" s="119"/>
      <c r="R38" s="456">
        <v>0</v>
      </c>
      <c r="S38" s="119">
        <v>7901.4</v>
      </c>
      <c r="T38" s="120"/>
      <c r="U38" s="87"/>
      <c r="V38" s="122" t="s">
        <v>50</v>
      </c>
      <c r="W38" s="143"/>
      <c r="X38" s="475">
        <v>0</v>
      </c>
      <c r="Y38" s="475">
        <v>0</v>
      </c>
      <c r="Z38" s="86"/>
      <c r="AA38" s="475">
        <v>0</v>
      </c>
      <c r="AB38" s="86">
        <v>0</v>
      </c>
      <c r="AC38" s="85"/>
      <c r="AD38" s="85"/>
    </row>
    <row r="39" spans="1:30" s="484" customFormat="1" ht="19.5" customHeight="1" x14ac:dyDescent="0.25">
      <c r="A39" s="561"/>
      <c r="B39" s="473">
        <v>3111332</v>
      </c>
      <c r="C39" s="493" t="s">
        <v>53</v>
      </c>
      <c r="D39" s="494"/>
      <c r="E39" s="473" t="s">
        <v>23</v>
      </c>
      <c r="F39" s="488">
        <v>25</v>
      </c>
      <c r="G39" s="475">
        <v>25</v>
      </c>
      <c r="H39" s="501"/>
      <c r="I39" s="501">
        <v>0</v>
      </c>
      <c r="J39" s="501">
        <v>0</v>
      </c>
      <c r="K39" s="502"/>
      <c r="L39" s="502"/>
      <c r="M39" s="477"/>
      <c r="N39" s="478" t="s">
        <v>23</v>
      </c>
      <c r="O39" s="479">
        <v>30</v>
      </c>
      <c r="P39" s="475">
        <v>30</v>
      </c>
      <c r="Q39" s="501"/>
      <c r="R39" s="503">
        <v>0</v>
      </c>
      <c r="S39" s="501">
        <v>0</v>
      </c>
      <c r="T39" s="502"/>
      <c r="U39" s="480"/>
      <c r="V39" s="481"/>
      <c r="W39" s="482"/>
      <c r="X39" s="475">
        <v>5</v>
      </c>
      <c r="Y39" s="475">
        <v>5</v>
      </c>
      <c r="Z39" s="475"/>
      <c r="AA39" s="475">
        <v>0</v>
      </c>
      <c r="AB39" s="475">
        <v>0</v>
      </c>
      <c r="AC39" s="483"/>
      <c r="AD39" s="483"/>
    </row>
    <row r="40" spans="1:30" s="84" customFormat="1" ht="18" customHeight="1" x14ac:dyDescent="0.25">
      <c r="A40" s="718"/>
      <c r="B40" s="421">
        <v>3111332</v>
      </c>
      <c r="C40" s="94" t="s">
        <v>54</v>
      </c>
      <c r="D40" s="121"/>
      <c r="E40" s="421" t="s">
        <v>23</v>
      </c>
      <c r="F40" s="135">
        <v>10</v>
      </c>
      <c r="G40" s="86">
        <v>10</v>
      </c>
      <c r="H40" s="119"/>
      <c r="I40" s="119">
        <v>0</v>
      </c>
      <c r="J40" s="119">
        <v>0</v>
      </c>
      <c r="K40" s="120"/>
      <c r="L40" s="120"/>
      <c r="M40" s="142"/>
      <c r="N40" s="118" t="s">
        <v>23</v>
      </c>
      <c r="O40" s="42">
        <v>10</v>
      </c>
      <c r="P40" s="86">
        <v>10</v>
      </c>
      <c r="Q40" s="119"/>
      <c r="R40" s="456">
        <v>0</v>
      </c>
      <c r="S40" s="119">
        <v>0</v>
      </c>
      <c r="T40" s="120"/>
      <c r="U40" s="87"/>
      <c r="V40" s="122"/>
      <c r="W40" s="143"/>
      <c r="X40" s="475">
        <v>0</v>
      </c>
      <c r="Y40" s="475">
        <v>0</v>
      </c>
      <c r="Z40" s="86"/>
      <c r="AA40" s="475">
        <v>0</v>
      </c>
      <c r="AB40" s="86">
        <v>0</v>
      </c>
      <c r="AC40" s="85"/>
      <c r="AD40" s="85"/>
    </row>
    <row r="41" spans="1:30" s="84" customFormat="1" ht="19.5" customHeight="1" x14ac:dyDescent="0.25">
      <c r="A41" s="718"/>
      <c r="B41" s="421">
        <v>3111332</v>
      </c>
      <c r="C41" s="94" t="s">
        <v>55</v>
      </c>
      <c r="D41" s="121"/>
      <c r="E41" s="421" t="s">
        <v>23</v>
      </c>
      <c r="F41" s="135">
        <v>10</v>
      </c>
      <c r="G41" s="86">
        <v>10</v>
      </c>
      <c r="H41" s="119"/>
      <c r="I41" s="119">
        <v>0</v>
      </c>
      <c r="J41" s="119">
        <v>0</v>
      </c>
      <c r="K41" s="120"/>
      <c r="L41" s="120"/>
      <c r="M41" s="142"/>
      <c r="N41" s="118" t="s">
        <v>23</v>
      </c>
      <c r="O41" s="42">
        <v>10</v>
      </c>
      <c r="P41" s="86">
        <v>10</v>
      </c>
      <c r="Q41" s="119"/>
      <c r="R41" s="456">
        <v>0</v>
      </c>
      <c r="S41" s="119">
        <v>0</v>
      </c>
      <c r="T41" s="120"/>
      <c r="U41" s="87"/>
      <c r="V41" s="122"/>
      <c r="W41" s="143"/>
      <c r="X41" s="475">
        <v>0</v>
      </c>
      <c r="Y41" s="475">
        <v>0</v>
      </c>
      <c r="Z41" s="86"/>
      <c r="AA41" s="475">
        <v>0</v>
      </c>
      <c r="AB41" s="86">
        <v>0</v>
      </c>
      <c r="AC41" s="85"/>
      <c r="AD41" s="85"/>
    </row>
    <row r="42" spans="1:30" s="484" customFormat="1" ht="17.25" customHeight="1" x14ac:dyDescent="0.25">
      <c r="A42" s="561"/>
      <c r="B42" s="473">
        <v>3257104</v>
      </c>
      <c r="C42" s="493" t="s">
        <v>56</v>
      </c>
      <c r="D42" s="494"/>
      <c r="E42" s="473" t="s">
        <v>23</v>
      </c>
      <c r="F42" s="488">
        <v>162</v>
      </c>
      <c r="G42" s="475">
        <v>162</v>
      </c>
      <c r="H42" s="501"/>
      <c r="I42" s="501">
        <v>0</v>
      </c>
      <c r="J42" s="501">
        <v>0</v>
      </c>
      <c r="K42" s="502"/>
      <c r="L42" s="502"/>
      <c r="M42" s="477"/>
      <c r="N42" s="478" t="s">
        <v>23</v>
      </c>
      <c r="O42" s="479">
        <v>162</v>
      </c>
      <c r="P42" s="475">
        <v>162</v>
      </c>
      <c r="Q42" s="501"/>
      <c r="R42" s="503">
        <v>0</v>
      </c>
      <c r="S42" s="501">
        <v>0</v>
      </c>
      <c r="T42" s="502"/>
      <c r="U42" s="480"/>
      <c r="V42" s="481"/>
      <c r="W42" s="482"/>
      <c r="X42" s="475">
        <v>0</v>
      </c>
      <c r="Y42" s="475">
        <v>0</v>
      </c>
      <c r="Z42" s="475"/>
      <c r="AA42" s="475">
        <v>0</v>
      </c>
      <c r="AB42" s="475">
        <v>0</v>
      </c>
      <c r="AC42" s="483"/>
      <c r="AD42" s="483"/>
    </row>
    <row r="43" spans="1:30" s="529" customFormat="1" ht="20.100000000000001" customHeight="1" x14ac:dyDescent="0.25">
      <c r="A43" s="561"/>
      <c r="B43" s="473">
        <v>3255101</v>
      </c>
      <c r="C43" s="521" t="s">
        <v>57</v>
      </c>
      <c r="D43" s="522"/>
      <c r="E43" s="473" t="s">
        <v>23</v>
      </c>
      <c r="F43" s="488">
        <v>50</v>
      </c>
      <c r="G43" s="505">
        <v>50</v>
      </c>
      <c r="H43" s="523"/>
      <c r="I43" s="523">
        <v>0</v>
      </c>
      <c r="J43" s="523">
        <v>0</v>
      </c>
      <c r="K43" s="524"/>
      <c r="L43" s="524"/>
      <c r="M43" s="525"/>
      <c r="N43" s="478" t="s">
        <v>23</v>
      </c>
      <c r="O43" s="479">
        <v>60</v>
      </c>
      <c r="P43" s="505">
        <v>60</v>
      </c>
      <c r="Q43" s="523"/>
      <c r="R43" s="526">
        <v>0</v>
      </c>
      <c r="S43" s="523">
        <v>0</v>
      </c>
      <c r="T43" s="524"/>
      <c r="U43" s="480"/>
      <c r="V43" s="481"/>
      <c r="W43" s="527"/>
      <c r="X43" s="475">
        <v>10</v>
      </c>
      <c r="Y43" s="475">
        <v>10</v>
      </c>
      <c r="Z43" s="475"/>
      <c r="AA43" s="475">
        <v>0</v>
      </c>
      <c r="AB43" s="475">
        <v>0</v>
      </c>
      <c r="AC43" s="528"/>
      <c r="AD43" s="528"/>
    </row>
    <row r="44" spans="1:30" s="529" customFormat="1" ht="20.100000000000001" customHeight="1" x14ac:dyDescent="0.25">
      <c r="A44" s="563"/>
      <c r="B44" s="530">
        <v>3256101</v>
      </c>
      <c r="C44" s="521" t="s">
        <v>58</v>
      </c>
      <c r="D44" s="522"/>
      <c r="E44" s="473" t="s">
        <v>23</v>
      </c>
      <c r="F44" s="504">
        <v>1700</v>
      </c>
      <c r="G44" s="505">
        <v>1700</v>
      </c>
      <c r="H44" s="505"/>
      <c r="I44" s="505">
        <v>0</v>
      </c>
      <c r="J44" s="505">
        <v>0</v>
      </c>
      <c r="K44" s="506"/>
      <c r="L44" s="506"/>
      <c r="M44" s="525"/>
      <c r="N44" s="478" t="s">
        <v>23</v>
      </c>
      <c r="O44" s="479">
        <v>1700</v>
      </c>
      <c r="P44" s="505">
        <v>1700</v>
      </c>
      <c r="Q44" s="505"/>
      <c r="R44" s="508">
        <v>0</v>
      </c>
      <c r="S44" s="505">
        <v>0</v>
      </c>
      <c r="T44" s="506"/>
      <c r="U44" s="509"/>
      <c r="V44" s="507"/>
      <c r="W44" s="527"/>
      <c r="X44" s="475">
        <v>0</v>
      </c>
      <c r="Y44" s="475">
        <v>0</v>
      </c>
      <c r="Z44" s="475"/>
      <c r="AA44" s="475">
        <v>0</v>
      </c>
      <c r="AB44" s="475">
        <v>0</v>
      </c>
      <c r="AC44" s="528"/>
      <c r="AD44" s="528"/>
    </row>
    <row r="45" spans="1:30" s="746" customFormat="1" ht="20.100000000000001" customHeight="1" x14ac:dyDescent="0.25">
      <c r="A45" s="117"/>
      <c r="B45" s="827" t="s">
        <v>59</v>
      </c>
      <c r="C45" s="808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457"/>
      <c r="S45" s="80"/>
      <c r="T45" s="80"/>
      <c r="U45" s="80"/>
      <c r="V45" s="147"/>
      <c r="W45" s="147"/>
      <c r="X45" s="475"/>
      <c r="Y45" s="475"/>
      <c r="Z45" s="147"/>
      <c r="AA45" s="475"/>
      <c r="AB45" s="148"/>
      <c r="AC45" s="79"/>
      <c r="AD45" s="78"/>
    </row>
    <row r="46" spans="1:30" s="529" customFormat="1" ht="20.100000000000001" customHeight="1" x14ac:dyDescent="0.25">
      <c r="A46" s="531"/>
      <c r="B46" s="532">
        <v>3258101</v>
      </c>
      <c r="C46" s="533" t="s">
        <v>60</v>
      </c>
      <c r="D46" s="534"/>
      <c r="E46" s="535" t="s">
        <v>61</v>
      </c>
      <c r="F46" s="504">
        <v>100</v>
      </c>
      <c r="G46" s="505">
        <v>100</v>
      </c>
      <c r="H46" s="536"/>
      <c r="I46" s="536">
        <v>0</v>
      </c>
      <c r="J46" s="536">
        <v>0</v>
      </c>
      <c r="K46" s="537"/>
      <c r="L46" s="537"/>
      <c r="M46" s="525"/>
      <c r="N46" s="478" t="s">
        <v>61</v>
      </c>
      <c r="O46" s="479">
        <v>125</v>
      </c>
      <c r="P46" s="536">
        <v>125</v>
      </c>
      <c r="Q46" s="536"/>
      <c r="R46" s="538">
        <v>0</v>
      </c>
      <c r="S46" s="536">
        <v>0</v>
      </c>
      <c r="T46" s="537"/>
      <c r="U46" s="509"/>
      <c r="V46" s="507"/>
      <c r="W46" s="527"/>
      <c r="X46" s="475">
        <v>25</v>
      </c>
      <c r="Y46" s="475">
        <v>25</v>
      </c>
      <c r="Z46" s="475"/>
      <c r="AA46" s="475">
        <v>0</v>
      </c>
      <c r="AB46" s="475">
        <v>0</v>
      </c>
      <c r="AC46" s="528"/>
      <c r="AD46" s="528"/>
    </row>
    <row r="47" spans="1:30" s="529" customFormat="1" ht="20.100000000000001" customHeight="1" x14ac:dyDescent="0.25">
      <c r="A47" s="531"/>
      <c r="B47" s="532">
        <v>3258102</v>
      </c>
      <c r="C47" s="521" t="s">
        <v>62</v>
      </c>
      <c r="D47" s="534"/>
      <c r="E47" s="535" t="s">
        <v>61</v>
      </c>
      <c r="F47" s="504">
        <v>15</v>
      </c>
      <c r="G47" s="505">
        <v>15</v>
      </c>
      <c r="H47" s="536"/>
      <c r="I47" s="536">
        <v>0</v>
      </c>
      <c r="J47" s="536">
        <v>0</v>
      </c>
      <c r="K47" s="537"/>
      <c r="L47" s="537"/>
      <c r="M47" s="525"/>
      <c r="N47" s="478" t="s">
        <v>61</v>
      </c>
      <c r="O47" s="479">
        <v>10</v>
      </c>
      <c r="P47" s="505">
        <v>10</v>
      </c>
      <c r="Q47" s="536"/>
      <c r="R47" s="538">
        <v>0</v>
      </c>
      <c r="S47" s="536">
        <v>0</v>
      </c>
      <c r="T47" s="537"/>
      <c r="U47" s="509"/>
      <c r="V47" s="507"/>
      <c r="W47" s="527"/>
      <c r="X47" s="475">
        <v>-5</v>
      </c>
      <c r="Y47" s="475">
        <v>-5</v>
      </c>
      <c r="Z47" s="475"/>
      <c r="AA47" s="475">
        <v>0</v>
      </c>
      <c r="AB47" s="475">
        <v>0</v>
      </c>
      <c r="AC47" s="528"/>
      <c r="AD47" s="528"/>
    </row>
    <row r="48" spans="1:30" s="529" customFormat="1" ht="20.100000000000001" customHeight="1" x14ac:dyDescent="0.25">
      <c r="A48" s="531"/>
      <c r="B48" s="532">
        <v>3258103</v>
      </c>
      <c r="C48" s="521" t="s">
        <v>63</v>
      </c>
      <c r="D48" s="534"/>
      <c r="E48" s="535" t="s">
        <v>61</v>
      </c>
      <c r="F48" s="504">
        <v>25</v>
      </c>
      <c r="G48" s="505">
        <v>25</v>
      </c>
      <c r="H48" s="505"/>
      <c r="I48" s="505">
        <v>0</v>
      </c>
      <c r="J48" s="505">
        <v>0</v>
      </c>
      <c r="K48" s="506"/>
      <c r="L48" s="506"/>
      <c r="M48" s="525"/>
      <c r="N48" s="478" t="s">
        <v>61</v>
      </c>
      <c r="O48" s="479">
        <v>15</v>
      </c>
      <c r="P48" s="505">
        <v>15</v>
      </c>
      <c r="Q48" s="505"/>
      <c r="R48" s="508">
        <v>0</v>
      </c>
      <c r="S48" s="505">
        <v>0</v>
      </c>
      <c r="T48" s="506"/>
      <c r="U48" s="509"/>
      <c r="V48" s="507"/>
      <c r="W48" s="527"/>
      <c r="X48" s="475">
        <v>-10</v>
      </c>
      <c r="Y48" s="475">
        <v>-10</v>
      </c>
      <c r="Z48" s="475"/>
      <c r="AA48" s="475">
        <v>0</v>
      </c>
      <c r="AB48" s="475">
        <v>0</v>
      </c>
      <c r="AC48" s="528"/>
      <c r="AD48" s="528"/>
    </row>
    <row r="49" spans="1:32" s="529" customFormat="1" ht="20.100000000000001" customHeight="1" x14ac:dyDescent="0.25">
      <c r="A49" s="531"/>
      <c r="B49" s="532">
        <v>3258105</v>
      </c>
      <c r="C49" s="521" t="s">
        <v>64</v>
      </c>
      <c r="D49" s="534"/>
      <c r="E49" s="535" t="s">
        <v>61</v>
      </c>
      <c r="F49" s="504">
        <v>25</v>
      </c>
      <c r="G49" s="505">
        <v>25</v>
      </c>
      <c r="H49" s="536"/>
      <c r="I49" s="536">
        <v>0</v>
      </c>
      <c r="J49" s="536">
        <v>0</v>
      </c>
      <c r="K49" s="537"/>
      <c r="L49" s="537"/>
      <c r="M49" s="525"/>
      <c r="N49" s="478" t="s">
        <v>61</v>
      </c>
      <c r="O49" s="479">
        <v>10</v>
      </c>
      <c r="P49" s="505">
        <v>10</v>
      </c>
      <c r="Q49" s="536"/>
      <c r="R49" s="538">
        <v>0</v>
      </c>
      <c r="S49" s="536">
        <v>0</v>
      </c>
      <c r="T49" s="537"/>
      <c r="U49" s="509"/>
      <c r="V49" s="507"/>
      <c r="W49" s="527"/>
      <c r="X49" s="475">
        <v>-15</v>
      </c>
      <c r="Y49" s="475">
        <v>-15</v>
      </c>
      <c r="Z49" s="475"/>
      <c r="AA49" s="475">
        <v>0</v>
      </c>
      <c r="AB49" s="475">
        <v>0</v>
      </c>
      <c r="AC49" s="528"/>
      <c r="AD49" s="528"/>
    </row>
    <row r="50" spans="1:32" s="529" customFormat="1" ht="20.100000000000001" customHeight="1" x14ac:dyDescent="0.25">
      <c r="A50" s="531"/>
      <c r="B50" s="532">
        <v>3258107</v>
      </c>
      <c r="C50" s="521" t="s">
        <v>65</v>
      </c>
      <c r="D50" s="534"/>
      <c r="E50" s="535" t="s">
        <v>61</v>
      </c>
      <c r="F50" s="504">
        <v>20</v>
      </c>
      <c r="G50" s="505">
        <v>20</v>
      </c>
      <c r="H50" s="536"/>
      <c r="I50" s="536">
        <v>0</v>
      </c>
      <c r="J50" s="536">
        <v>0</v>
      </c>
      <c r="K50" s="537"/>
      <c r="L50" s="537"/>
      <c r="M50" s="525"/>
      <c r="N50" s="478" t="s">
        <v>61</v>
      </c>
      <c r="O50" s="479">
        <v>25</v>
      </c>
      <c r="P50" s="505">
        <v>25</v>
      </c>
      <c r="Q50" s="536"/>
      <c r="R50" s="538">
        <v>0</v>
      </c>
      <c r="S50" s="536">
        <v>0</v>
      </c>
      <c r="T50" s="537"/>
      <c r="U50" s="509"/>
      <c r="V50" s="507"/>
      <c r="W50" s="527"/>
      <c r="X50" s="475">
        <v>5</v>
      </c>
      <c r="Y50" s="475">
        <v>5</v>
      </c>
      <c r="Z50" s="475"/>
      <c r="AA50" s="475">
        <v>0</v>
      </c>
      <c r="AB50" s="475">
        <v>0</v>
      </c>
      <c r="AC50" s="528"/>
      <c r="AD50" s="528"/>
    </row>
    <row r="51" spans="1:32" s="529" customFormat="1" ht="20.100000000000001" customHeight="1" x14ac:dyDescent="0.25">
      <c r="A51" s="531"/>
      <c r="B51" s="532">
        <v>3258106</v>
      </c>
      <c r="C51" s="521" t="s">
        <v>66</v>
      </c>
      <c r="D51" s="534"/>
      <c r="E51" s="535" t="s">
        <v>61</v>
      </c>
      <c r="F51" s="504">
        <v>20</v>
      </c>
      <c r="G51" s="505">
        <v>20</v>
      </c>
      <c r="H51" s="536"/>
      <c r="I51" s="536">
        <v>0</v>
      </c>
      <c r="J51" s="536">
        <v>0</v>
      </c>
      <c r="K51" s="537"/>
      <c r="L51" s="537"/>
      <c r="M51" s="525"/>
      <c r="N51" s="478" t="s">
        <v>61</v>
      </c>
      <c r="O51" s="479">
        <v>40</v>
      </c>
      <c r="P51" s="505">
        <v>40</v>
      </c>
      <c r="Q51" s="536"/>
      <c r="R51" s="538">
        <v>0</v>
      </c>
      <c r="S51" s="536">
        <v>0</v>
      </c>
      <c r="T51" s="537"/>
      <c r="U51" s="509"/>
      <c r="V51" s="507"/>
      <c r="W51" s="527"/>
      <c r="X51" s="475">
        <v>20</v>
      </c>
      <c r="Y51" s="475">
        <v>20</v>
      </c>
      <c r="Z51" s="475"/>
      <c r="AA51" s="475">
        <v>0</v>
      </c>
      <c r="AB51" s="475">
        <v>0</v>
      </c>
      <c r="AC51" s="528"/>
      <c r="AD51" s="528"/>
    </row>
    <row r="52" spans="1:32" s="529" customFormat="1" ht="20.100000000000001" customHeight="1" x14ac:dyDescent="0.25">
      <c r="A52" s="531"/>
      <c r="B52" s="532">
        <v>3258105</v>
      </c>
      <c r="C52" s="521" t="s">
        <v>67</v>
      </c>
      <c r="D52" s="534"/>
      <c r="E52" s="535" t="s">
        <v>61</v>
      </c>
      <c r="F52" s="504">
        <v>25</v>
      </c>
      <c r="G52" s="505">
        <v>25</v>
      </c>
      <c r="H52" s="536"/>
      <c r="I52" s="536">
        <v>0</v>
      </c>
      <c r="J52" s="536">
        <v>0</v>
      </c>
      <c r="K52" s="537"/>
      <c r="L52" s="537"/>
      <c r="M52" s="525"/>
      <c r="N52" s="478" t="s">
        <v>61</v>
      </c>
      <c r="O52" s="479">
        <v>20</v>
      </c>
      <c r="P52" s="505">
        <v>20</v>
      </c>
      <c r="Q52" s="536"/>
      <c r="R52" s="538">
        <v>0</v>
      </c>
      <c r="S52" s="536">
        <v>0</v>
      </c>
      <c r="T52" s="537"/>
      <c r="U52" s="509"/>
      <c r="V52" s="507"/>
      <c r="W52" s="527"/>
      <c r="X52" s="475">
        <v>-5</v>
      </c>
      <c r="Y52" s="475">
        <v>-5</v>
      </c>
      <c r="Z52" s="475"/>
      <c r="AA52" s="475">
        <v>0</v>
      </c>
      <c r="AB52" s="475">
        <v>0</v>
      </c>
      <c r="AC52" s="528"/>
      <c r="AD52" s="528"/>
    </row>
    <row r="53" spans="1:32" s="746" customFormat="1" ht="20.100000000000001" customHeight="1" x14ac:dyDescent="0.25">
      <c r="A53" s="76"/>
      <c r="B53" s="143"/>
      <c r="C53" s="115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458"/>
      <c r="S53" s="114"/>
      <c r="T53" s="114"/>
      <c r="U53" s="114"/>
      <c r="V53" s="147"/>
      <c r="W53" s="147"/>
      <c r="X53" s="475"/>
      <c r="Y53" s="475"/>
      <c r="Z53" s="147"/>
      <c r="AA53" s="475"/>
      <c r="AB53" s="66"/>
      <c r="AC53" s="90"/>
      <c r="AD53" s="90"/>
    </row>
    <row r="54" spans="1:32" s="529" customFormat="1" ht="20.100000000000001" customHeight="1" x14ac:dyDescent="0.25">
      <c r="A54" s="531"/>
      <c r="B54" s="532">
        <v>3258114</v>
      </c>
      <c r="C54" s="495" t="s">
        <v>68</v>
      </c>
      <c r="D54" s="496"/>
      <c r="E54" s="473">
        <v>104</v>
      </c>
      <c r="F54" s="504">
        <v>362.5</v>
      </c>
      <c r="G54" s="505">
        <v>43.5</v>
      </c>
      <c r="H54" s="505"/>
      <c r="I54" s="505">
        <v>319</v>
      </c>
      <c r="J54" s="505">
        <v>0</v>
      </c>
      <c r="K54" s="506"/>
      <c r="L54" s="509"/>
      <c r="M54" s="539"/>
      <c r="N54" s="478">
        <v>86</v>
      </c>
      <c r="O54" s="479">
        <v>404.24</v>
      </c>
      <c r="P54" s="505">
        <v>56.593600000000009</v>
      </c>
      <c r="Q54" s="505"/>
      <c r="R54" s="508">
        <v>347.64640000000003</v>
      </c>
      <c r="S54" s="505">
        <v>0</v>
      </c>
      <c r="T54" s="506"/>
      <c r="U54" s="509"/>
      <c r="V54" s="507"/>
      <c r="W54" s="527"/>
      <c r="X54" s="475">
        <v>41.740000000000009</v>
      </c>
      <c r="Y54" s="475">
        <v>13.093600000000009</v>
      </c>
      <c r="Z54" s="475"/>
      <c r="AA54" s="475">
        <v>28.646400000000028</v>
      </c>
      <c r="AB54" s="475">
        <v>0</v>
      </c>
      <c r="AC54" s="528"/>
      <c r="AD54" s="528"/>
    </row>
    <row r="55" spans="1:32" s="529" customFormat="1" ht="20.100000000000001" customHeight="1" x14ac:dyDescent="0.25">
      <c r="A55" s="531"/>
      <c r="B55" s="530">
        <v>3258128</v>
      </c>
      <c r="C55" s="521" t="s">
        <v>69</v>
      </c>
      <c r="D55" s="496"/>
      <c r="E55" s="473" t="s">
        <v>61</v>
      </c>
      <c r="F55" s="504">
        <v>10</v>
      </c>
      <c r="G55" s="505">
        <v>10</v>
      </c>
      <c r="H55" s="536"/>
      <c r="I55" s="536">
        <v>0</v>
      </c>
      <c r="J55" s="536">
        <v>0</v>
      </c>
      <c r="K55" s="537"/>
      <c r="L55" s="540"/>
      <c r="M55" s="539"/>
      <c r="N55" s="478" t="s">
        <v>61</v>
      </c>
      <c r="O55" s="479">
        <v>5</v>
      </c>
      <c r="P55" s="505">
        <v>5</v>
      </c>
      <c r="Q55" s="536"/>
      <c r="R55" s="538">
        <v>0</v>
      </c>
      <c r="S55" s="536">
        <v>0</v>
      </c>
      <c r="T55" s="537"/>
      <c r="U55" s="509"/>
      <c r="V55" s="541"/>
      <c r="W55" s="527"/>
      <c r="X55" s="475">
        <v>-5</v>
      </c>
      <c r="Y55" s="475">
        <v>-5</v>
      </c>
      <c r="Z55" s="475"/>
      <c r="AA55" s="475">
        <v>0</v>
      </c>
      <c r="AB55" s="475">
        <v>0</v>
      </c>
      <c r="AC55" s="528"/>
      <c r="AD55" s="528"/>
    </row>
    <row r="56" spans="1:32" s="529" customFormat="1" ht="20.100000000000001" customHeight="1" x14ac:dyDescent="0.25">
      <c r="A56" s="531"/>
      <c r="B56" s="530">
        <v>3258107</v>
      </c>
      <c r="C56" s="495" t="s">
        <v>70</v>
      </c>
      <c r="D56" s="487"/>
      <c r="E56" s="535" t="s">
        <v>61</v>
      </c>
      <c r="F56" s="504">
        <v>25</v>
      </c>
      <c r="G56" s="505">
        <v>25</v>
      </c>
      <c r="H56" s="536"/>
      <c r="I56" s="536">
        <v>0</v>
      </c>
      <c r="J56" s="536">
        <v>0</v>
      </c>
      <c r="K56" s="537"/>
      <c r="L56" s="537"/>
      <c r="M56" s="525"/>
      <c r="N56" s="478" t="s">
        <v>61</v>
      </c>
      <c r="O56" s="479">
        <v>40</v>
      </c>
      <c r="P56" s="505">
        <v>40</v>
      </c>
      <c r="Q56" s="536"/>
      <c r="R56" s="538">
        <v>0</v>
      </c>
      <c r="S56" s="536">
        <v>0</v>
      </c>
      <c r="T56" s="537"/>
      <c r="U56" s="509"/>
      <c r="V56" s="541"/>
      <c r="W56" s="527"/>
      <c r="X56" s="475">
        <v>15</v>
      </c>
      <c r="Y56" s="475">
        <v>15</v>
      </c>
      <c r="Z56" s="475"/>
      <c r="AA56" s="475">
        <v>0</v>
      </c>
      <c r="AB56" s="475">
        <v>0</v>
      </c>
      <c r="AC56" s="528"/>
      <c r="AD56" s="528"/>
    </row>
    <row r="57" spans="1:32" s="746" customFormat="1" ht="20.100000000000001" customHeight="1" x14ac:dyDescent="0.25">
      <c r="A57" s="832" t="s">
        <v>71</v>
      </c>
      <c r="B57" s="833"/>
      <c r="C57" s="834"/>
      <c r="D57" s="112"/>
      <c r="E57" s="112"/>
      <c r="F57" s="831">
        <f>SUM(F12:F56)</f>
        <v>18774.14</v>
      </c>
      <c r="G57" s="831">
        <f>SUM(G12:G56)</f>
        <v>6572.18</v>
      </c>
      <c r="H57" s="110"/>
      <c r="I57" s="831">
        <f>SUM(I12:I56)</f>
        <v>4300.5599999999995</v>
      </c>
      <c r="J57" s="831">
        <f>SUM(J12:J56)</f>
        <v>7901.4</v>
      </c>
      <c r="K57" s="111"/>
      <c r="L57" s="111" t="s">
        <v>72</v>
      </c>
      <c r="M57" s="835"/>
      <c r="N57" s="831"/>
      <c r="O57" s="831">
        <f>SUM(O12:O56)</f>
        <v>19100.930000000004</v>
      </c>
      <c r="P57" s="831">
        <f>SUM(P12:P56)</f>
        <v>6739.4935999999998</v>
      </c>
      <c r="Q57" s="110"/>
      <c r="R57" s="831">
        <f>SUM(R12:R56)</f>
        <v>4460.0364</v>
      </c>
      <c r="S57" s="831">
        <f>SUM(S12:S56)</f>
        <v>7901.4</v>
      </c>
      <c r="T57" s="111"/>
      <c r="U57" s="109"/>
      <c r="V57" s="108"/>
      <c r="W57" s="153"/>
      <c r="X57" s="831">
        <f>SUM(X12:X56)</f>
        <v>326.78999999999968</v>
      </c>
      <c r="Y57" s="831">
        <f>SUM(Y12:Y56)</f>
        <v>167.31359999999998</v>
      </c>
      <c r="Z57" s="110"/>
      <c r="AA57" s="831">
        <f>SUM(AA12:AA56)</f>
        <v>159.47639999999998</v>
      </c>
      <c r="AB57" s="831">
        <f>SUM(AB12:AB56)</f>
        <v>0</v>
      </c>
      <c r="AC57" s="107"/>
      <c r="AD57" s="107"/>
      <c r="AF57" s="10"/>
    </row>
    <row r="58" spans="1:32" s="746" customFormat="1" ht="6" customHeight="1" x14ac:dyDescent="0.25">
      <c r="A58" s="830"/>
      <c r="B58" s="813"/>
      <c r="C58" s="814"/>
      <c r="D58" s="106"/>
      <c r="E58" s="106"/>
      <c r="F58" s="805"/>
      <c r="G58" s="805"/>
      <c r="H58" s="48"/>
      <c r="I58" s="805"/>
      <c r="J58" s="805"/>
      <c r="K58" s="105"/>
      <c r="L58" s="105"/>
      <c r="M58" s="824"/>
      <c r="N58" s="805"/>
      <c r="O58" s="805"/>
      <c r="P58" s="805"/>
      <c r="Q58" s="48"/>
      <c r="R58" s="805"/>
      <c r="S58" s="805"/>
      <c r="T58" s="105"/>
      <c r="U58" s="47"/>
      <c r="V58" s="49"/>
      <c r="W58" s="152"/>
      <c r="X58" s="805"/>
      <c r="Y58" s="805"/>
      <c r="Z58" s="48"/>
      <c r="AA58" s="805"/>
      <c r="AB58" s="805"/>
      <c r="AC58" s="104"/>
      <c r="AD58" s="104"/>
    </row>
    <row r="59" spans="1:32" s="746" customFormat="1" ht="16.5" customHeight="1" x14ac:dyDescent="0.25">
      <c r="A59" s="803" t="s">
        <v>2</v>
      </c>
      <c r="B59" s="803" t="s">
        <v>3</v>
      </c>
      <c r="C59" s="806" t="s">
        <v>4</v>
      </c>
      <c r="D59" s="807" t="s">
        <v>5</v>
      </c>
      <c r="E59" s="808"/>
      <c r="F59" s="808"/>
      <c r="G59" s="808"/>
      <c r="H59" s="808"/>
      <c r="I59" s="808"/>
      <c r="J59" s="808"/>
      <c r="K59" s="808"/>
      <c r="L59" s="809"/>
      <c r="M59" s="810" t="s">
        <v>6</v>
      </c>
      <c r="N59" s="808"/>
      <c r="O59" s="808"/>
      <c r="P59" s="808"/>
      <c r="Q59" s="808"/>
      <c r="R59" s="808"/>
      <c r="S59" s="808"/>
      <c r="T59" s="808"/>
      <c r="U59" s="809"/>
      <c r="V59" s="819" t="s">
        <v>7</v>
      </c>
      <c r="W59" s="808"/>
      <c r="X59" s="808"/>
      <c r="Y59" s="808"/>
      <c r="Z59" s="808"/>
      <c r="AA59" s="808"/>
      <c r="AB59" s="808"/>
      <c r="AC59" s="808"/>
      <c r="AD59" s="820"/>
    </row>
    <row r="60" spans="1:32" s="746" customFormat="1" ht="15" customHeight="1" x14ac:dyDescent="0.25">
      <c r="A60" s="804"/>
      <c r="B60" s="804"/>
      <c r="C60" s="804"/>
      <c r="D60" s="821" t="s">
        <v>8</v>
      </c>
      <c r="E60" s="821" t="s">
        <v>9</v>
      </c>
      <c r="F60" s="821" t="s">
        <v>10</v>
      </c>
      <c r="G60" s="808"/>
      <c r="H60" s="808"/>
      <c r="I60" s="808"/>
      <c r="J60" s="808"/>
      <c r="K60" s="808"/>
      <c r="L60" s="820"/>
      <c r="M60" s="822" t="s">
        <v>8</v>
      </c>
      <c r="N60" s="821" t="s">
        <v>9</v>
      </c>
      <c r="O60" s="821" t="s">
        <v>10</v>
      </c>
      <c r="P60" s="808"/>
      <c r="Q60" s="808"/>
      <c r="R60" s="808"/>
      <c r="S60" s="808"/>
      <c r="T60" s="808"/>
      <c r="U60" s="820"/>
      <c r="V60" s="822" t="s">
        <v>8</v>
      </c>
      <c r="W60" s="821" t="s">
        <v>9</v>
      </c>
      <c r="X60" s="821" t="s">
        <v>10</v>
      </c>
      <c r="Y60" s="808"/>
      <c r="Z60" s="808"/>
      <c r="AA60" s="808"/>
      <c r="AB60" s="808"/>
      <c r="AC60" s="808"/>
      <c r="AD60" s="820"/>
    </row>
    <row r="61" spans="1:32" s="746" customFormat="1" ht="15" customHeight="1" x14ac:dyDescent="0.25">
      <c r="A61" s="804"/>
      <c r="B61" s="804"/>
      <c r="C61" s="804"/>
      <c r="D61" s="804"/>
      <c r="E61" s="804"/>
      <c r="F61" s="806" t="s">
        <v>11</v>
      </c>
      <c r="G61" s="811" t="s">
        <v>12</v>
      </c>
      <c r="H61" s="812" t="s">
        <v>13</v>
      </c>
      <c r="I61" s="813"/>
      <c r="J61" s="814"/>
      <c r="K61" s="815" t="s">
        <v>14</v>
      </c>
      <c r="L61" s="816" t="s">
        <v>15</v>
      </c>
      <c r="M61" s="823"/>
      <c r="N61" s="804"/>
      <c r="O61" s="806" t="s">
        <v>11</v>
      </c>
      <c r="P61" s="811" t="s">
        <v>12</v>
      </c>
      <c r="Q61" s="812" t="s">
        <v>13</v>
      </c>
      <c r="R61" s="813"/>
      <c r="S61" s="814"/>
      <c r="T61" s="815" t="s">
        <v>14</v>
      </c>
      <c r="U61" s="828" t="s">
        <v>15</v>
      </c>
      <c r="V61" s="823"/>
      <c r="W61" s="804"/>
      <c r="X61" s="806" t="s">
        <v>11</v>
      </c>
      <c r="Y61" s="811" t="s">
        <v>12</v>
      </c>
      <c r="Z61" s="812" t="s">
        <v>13</v>
      </c>
      <c r="AA61" s="813"/>
      <c r="AB61" s="814"/>
      <c r="AC61" s="815" t="s">
        <v>14</v>
      </c>
      <c r="AD61" s="815" t="s">
        <v>15</v>
      </c>
    </row>
    <row r="62" spans="1:32" s="746" customFormat="1" ht="15.75" customHeight="1" x14ac:dyDescent="0.25">
      <c r="A62" s="804"/>
      <c r="B62" s="804"/>
      <c r="C62" s="804"/>
      <c r="D62" s="804"/>
      <c r="E62" s="804"/>
      <c r="F62" s="804"/>
      <c r="G62" s="804"/>
      <c r="H62" s="806" t="s">
        <v>16</v>
      </c>
      <c r="I62" s="820"/>
      <c r="J62" s="806" t="s">
        <v>17</v>
      </c>
      <c r="K62" s="804"/>
      <c r="L62" s="817"/>
      <c r="M62" s="823"/>
      <c r="N62" s="804"/>
      <c r="O62" s="804"/>
      <c r="P62" s="804"/>
      <c r="Q62" s="806" t="s">
        <v>16</v>
      </c>
      <c r="R62" s="820"/>
      <c r="S62" s="806" t="s">
        <v>17</v>
      </c>
      <c r="T62" s="804"/>
      <c r="U62" s="829"/>
      <c r="V62" s="823"/>
      <c r="W62" s="804"/>
      <c r="X62" s="804"/>
      <c r="Y62" s="804"/>
      <c r="Z62" s="806" t="s">
        <v>16</v>
      </c>
      <c r="AA62" s="820"/>
      <c r="AB62" s="806" t="s">
        <v>17</v>
      </c>
      <c r="AC62" s="804"/>
      <c r="AD62" s="804"/>
    </row>
    <row r="63" spans="1:32" s="746" customFormat="1" ht="39" customHeight="1" x14ac:dyDescent="0.25">
      <c r="A63" s="805"/>
      <c r="B63" s="805"/>
      <c r="C63" s="805"/>
      <c r="D63" s="805"/>
      <c r="E63" s="805"/>
      <c r="F63" s="805"/>
      <c r="G63" s="805"/>
      <c r="H63" s="727" t="s">
        <v>18</v>
      </c>
      <c r="I63" s="727" t="s">
        <v>19</v>
      </c>
      <c r="J63" s="805"/>
      <c r="K63" s="805"/>
      <c r="L63" s="818"/>
      <c r="M63" s="824"/>
      <c r="N63" s="805"/>
      <c r="O63" s="805"/>
      <c r="P63" s="805"/>
      <c r="Q63" s="727" t="s">
        <v>18</v>
      </c>
      <c r="R63" s="727" t="s">
        <v>19</v>
      </c>
      <c r="S63" s="805"/>
      <c r="T63" s="805"/>
      <c r="U63" s="830"/>
      <c r="V63" s="824"/>
      <c r="W63" s="805"/>
      <c r="X63" s="805"/>
      <c r="Y63" s="805"/>
      <c r="Z63" s="727" t="s">
        <v>18</v>
      </c>
      <c r="AA63" s="727" t="s">
        <v>19</v>
      </c>
      <c r="AB63" s="805"/>
      <c r="AC63" s="805"/>
      <c r="AD63" s="805"/>
    </row>
    <row r="64" spans="1:32" s="99" customFormat="1" ht="16.5" customHeight="1" x14ac:dyDescent="0.25">
      <c r="A64" s="100">
        <v>1</v>
      </c>
      <c r="B64" s="100">
        <v>2</v>
      </c>
      <c r="C64" s="100">
        <v>3</v>
      </c>
      <c r="D64" s="100">
        <v>4</v>
      </c>
      <c r="E64" s="100">
        <v>5</v>
      </c>
      <c r="F64" s="103">
        <v>6</v>
      </c>
      <c r="G64" s="103">
        <v>7</v>
      </c>
      <c r="H64" s="103">
        <v>8</v>
      </c>
      <c r="I64" s="100">
        <v>9</v>
      </c>
      <c r="J64" s="100">
        <v>10</v>
      </c>
      <c r="K64" s="100">
        <v>11</v>
      </c>
      <c r="L64" s="102">
        <v>12</v>
      </c>
      <c r="M64" s="101">
        <v>13</v>
      </c>
      <c r="N64" s="100">
        <v>14</v>
      </c>
      <c r="O64" s="100">
        <v>15</v>
      </c>
      <c r="P64" s="100">
        <v>16</v>
      </c>
      <c r="Q64" s="100">
        <v>17</v>
      </c>
      <c r="R64" s="100">
        <v>18</v>
      </c>
      <c r="S64" s="100">
        <v>19</v>
      </c>
      <c r="T64" s="100">
        <v>20</v>
      </c>
      <c r="U64" s="100">
        <v>21</v>
      </c>
      <c r="V64" s="100">
        <v>22</v>
      </c>
      <c r="W64" s="100">
        <v>23</v>
      </c>
      <c r="X64" s="100">
        <v>24</v>
      </c>
      <c r="Y64" s="100">
        <v>25</v>
      </c>
      <c r="Z64" s="100">
        <v>26</v>
      </c>
      <c r="AA64" s="100">
        <v>27</v>
      </c>
      <c r="AB64" s="100">
        <v>28</v>
      </c>
      <c r="AC64" s="100">
        <v>29</v>
      </c>
      <c r="AD64" s="100">
        <v>30</v>
      </c>
    </row>
    <row r="65" spans="1:31" s="746" customFormat="1" ht="20.100000000000001" customHeight="1" x14ac:dyDescent="0.25">
      <c r="A65" s="41" t="s">
        <v>73</v>
      </c>
      <c r="B65" s="40"/>
      <c r="C65" s="40"/>
      <c r="D65" s="98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79"/>
      <c r="AC65" s="79"/>
      <c r="AD65" s="78"/>
    </row>
    <row r="66" spans="1:31" s="746" customFormat="1" ht="20.100000000000001" customHeight="1" x14ac:dyDescent="0.25">
      <c r="A66" s="76"/>
      <c r="B66" s="841" t="s">
        <v>74</v>
      </c>
      <c r="C66" s="808"/>
      <c r="D66" s="808"/>
      <c r="E66" s="808"/>
      <c r="F66" s="808"/>
      <c r="G66" s="808"/>
      <c r="H66" s="808"/>
      <c r="I66" s="808"/>
      <c r="J66" s="808"/>
      <c r="K66" s="808"/>
      <c r="L66" s="808"/>
      <c r="M66" s="808"/>
      <c r="N66" s="808"/>
      <c r="O66" s="808"/>
      <c r="P66" s="808"/>
      <c r="Q66" s="808"/>
      <c r="R66" s="808"/>
      <c r="S66" s="808"/>
      <c r="T66" s="808"/>
      <c r="U66" s="808"/>
      <c r="V66" s="808"/>
      <c r="W66" s="808"/>
      <c r="X66" s="808"/>
      <c r="Y66" s="808"/>
      <c r="Z66" s="808"/>
      <c r="AA66" s="820"/>
      <c r="AB66" s="79"/>
      <c r="AC66" s="79"/>
      <c r="AD66" s="78"/>
    </row>
    <row r="67" spans="1:31" s="746" customFormat="1" ht="20.100000000000001" customHeight="1" x14ac:dyDescent="0.25">
      <c r="A67" s="76"/>
      <c r="B67" s="143"/>
      <c r="C67" s="837" t="s">
        <v>75</v>
      </c>
      <c r="D67" s="808"/>
      <c r="E67" s="808"/>
      <c r="F67" s="808"/>
      <c r="G67" s="808"/>
      <c r="H67" s="808"/>
      <c r="I67" s="808"/>
      <c r="J67" s="808"/>
      <c r="K67" s="808"/>
      <c r="L67" s="808"/>
      <c r="M67" s="808"/>
      <c r="N67" s="808"/>
      <c r="O67" s="808"/>
      <c r="P67" s="808"/>
      <c r="Q67" s="808"/>
      <c r="R67" s="808"/>
      <c r="S67" s="808"/>
      <c r="T67" s="808"/>
      <c r="U67" s="808"/>
      <c r="V67" s="808"/>
      <c r="W67" s="808"/>
      <c r="X67" s="808"/>
      <c r="Y67" s="808"/>
      <c r="Z67" s="808"/>
      <c r="AA67" s="820"/>
      <c r="AB67" s="79"/>
      <c r="AC67" s="79"/>
      <c r="AD67" s="78"/>
    </row>
    <row r="68" spans="1:31" s="84" customFormat="1" ht="47.25" customHeight="1" x14ac:dyDescent="0.25">
      <c r="A68" s="76"/>
      <c r="B68" s="143">
        <v>4112101</v>
      </c>
      <c r="C68" s="94" t="s">
        <v>76</v>
      </c>
      <c r="D68" s="149" t="s">
        <v>77</v>
      </c>
      <c r="E68" s="420">
        <v>10</v>
      </c>
      <c r="F68" s="118">
        <v>702.5</v>
      </c>
      <c r="G68" s="86">
        <v>702.5</v>
      </c>
      <c r="H68" s="96"/>
      <c r="I68" s="96">
        <v>0</v>
      </c>
      <c r="J68" s="96">
        <v>0</v>
      </c>
      <c r="K68" s="97"/>
      <c r="L68" s="87"/>
      <c r="M68" s="149" t="s">
        <v>77</v>
      </c>
      <c r="N68" s="118">
        <v>10</v>
      </c>
      <c r="O68" s="479">
        <v>702.5</v>
      </c>
      <c r="P68" s="96">
        <v>702.5</v>
      </c>
      <c r="Q68" s="96"/>
      <c r="R68" s="96">
        <v>0</v>
      </c>
      <c r="S68" s="96">
        <v>0</v>
      </c>
      <c r="T68" s="97"/>
      <c r="U68" s="87"/>
      <c r="V68" s="122" t="s">
        <v>77</v>
      </c>
      <c r="W68" s="143"/>
      <c r="X68" s="118">
        <v>0</v>
      </c>
      <c r="Y68" s="118">
        <v>0</v>
      </c>
      <c r="Z68" s="118"/>
      <c r="AA68" s="118">
        <v>0</v>
      </c>
      <c r="AB68" s="118">
        <v>0</v>
      </c>
      <c r="AC68" s="85"/>
      <c r="AD68" s="85"/>
    </row>
    <row r="69" spans="1:31" s="484" customFormat="1" ht="34.5" customHeight="1" x14ac:dyDescent="0.25">
      <c r="A69" s="531"/>
      <c r="B69" s="482">
        <v>4112101</v>
      </c>
      <c r="C69" s="493" t="s">
        <v>78</v>
      </c>
      <c r="D69" s="542" t="s">
        <v>77</v>
      </c>
      <c r="E69" s="485">
        <v>35</v>
      </c>
      <c r="F69" s="478">
        <v>68.25</v>
      </c>
      <c r="G69" s="475">
        <v>68.25</v>
      </c>
      <c r="H69" s="475"/>
      <c r="I69" s="475">
        <v>0</v>
      </c>
      <c r="J69" s="475">
        <v>0</v>
      </c>
      <c r="K69" s="476"/>
      <c r="L69" s="480"/>
      <c r="M69" s="542" t="s">
        <v>77</v>
      </c>
      <c r="N69" s="543">
        <v>45</v>
      </c>
      <c r="O69" s="479">
        <v>68.25</v>
      </c>
      <c r="P69" s="475">
        <v>68.25</v>
      </c>
      <c r="Q69" s="475"/>
      <c r="R69" s="475">
        <v>0</v>
      </c>
      <c r="S69" s="475">
        <v>0</v>
      </c>
      <c r="T69" s="476"/>
      <c r="U69" s="480"/>
      <c r="V69" s="481" t="s">
        <v>77</v>
      </c>
      <c r="W69" s="482"/>
      <c r="X69" s="478">
        <v>0</v>
      </c>
      <c r="Y69" s="478">
        <v>0</v>
      </c>
      <c r="Z69" s="478"/>
      <c r="AA69" s="478">
        <v>0</v>
      </c>
      <c r="AB69" s="478">
        <v>0</v>
      </c>
      <c r="AC69" s="483"/>
      <c r="AD69" s="483"/>
      <c r="AE69" s="544"/>
    </row>
    <row r="70" spans="1:31" s="746" customFormat="1" ht="20.100000000000001" customHeight="1" x14ac:dyDescent="0.25">
      <c r="A70" s="76"/>
      <c r="B70" s="124"/>
      <c r="C70" s="839" t="s">
        <v>79</v>
      </c>
      <c r="D70" s="808"/>
      <c r="E70" s="808"/>
      <c r="F70" s="808"/>
      <c r="G70" s="808"/>
      <c r="H70" s="808"/>
      <c r="I70" s="808"/>
      <c r="J70" s="808"/>
      <c r="K70" s="808"/>
      <c r="L70" s="808"/>
      <c r="M70" s="808"/>
      <c r="N70" s="808"/>
      <c r="O70" s="808"/>
      <c r="P70" s="808"/>
      <c r="Q70" s="808"/>
      <c r="R70" s="808"/>
      <c r="S70" s="808"/>
      <c r="T70" s="808"/>
      <c r="U70" s="808"/>
      <c r="V70" s="808"/>
      <c r="W70" s="808"/>
      <c r="X70" s="808"/>
      <c r="Y70" s="808"/>
      <c r="Z70" s="808"/>
      <c r="AA70" s="820"/>
      <c r="AB70" s="79"/>
      <c r="AC70" s="79"/>
      <c r="AD70" s="78"/>
    </row>
    <row r="71" spans="1:31" s="529" customFormat="1" ht="20.100000000000001" customHeight="1" x14ac:dyDescent="0.25">
      <c r="A71" s="531"/>
      <c r="B71" s="482">
        <v>4112102</v>
      </c>
      <c r="C71" s="545" t="s">
        <v>80</v>
      </c>
      <c r="D71" s="542" t="s">
        <v>77</v>
      </c>
      <c r="E71" s="485">
        <v>6</v>
      </c>
      <c r="F71" s="508">
        <v>100</v>
      </c>
      <c r="G71" s="505">
        <v>100</v>
      </c>
      <c r="H71" s="505"/>
      <c r="I71" s="505">
        <v>0</v>
      </c>
      <c r="J71" s="505">
        <v>0</v>
      </c>
      <c r="K71" s="506"/>
      <c r="L71" s="509"/>
      <c r="M71" s="542" t="s">
        <v>77</v>
      </c>
      <c r="N71" s="543">
        <v>5</v>
      </c>
      <c r="O71" s="479">
        <v>90</v>
      </c>
      <c r="P71" s="505">
        <v>90</v>
      </c>
      <c r="Q71" s="505"/>
      <c r="R71" s="505">
        <v>0</v>
      </c>
      <c r="S71" s="505">
        <v>0</v>
      </c>
      <c r="T71" s="506"/>
      <c r="U71" s="509"/>
      <c r="V71" s="507" t="s">
        <v>77</v>
      </c>
      <c r="W71" s="482"/>
      <c r="X71" s="475">
        <v>-10</v>
      </c>
      <c r="Y71" s="475">
        <v>-10</v>
      </c>
      <c r="Z71" s="475"/>
      <c r="AA71" s="475">
        <v>0</v>
      </c>
      <c r="AB71" s="475">
        <v>0</v>
      </c>
      <c r="AC71" s="528"/>
      <c r="AD71" s="528"/>
    </row>
    <row r="72" spans="1:31" s="746" customFormat="1" ht="20.100000000000001" customHeight="1" x14ac:dyDescent="0.25">
      <c r="A72" s="76"/>
      <c r="B72" s="124"/>
      <c r="C72" s="839"/>
      <c r="D72" s="808"/>
      <c r="E72" s="808"/>
      <c r="F72" s="808"/>
      <c r="G72" s="808"/>
      <c r="H72" s="808"/>
      <c r="I72" s="808"/>
      <c r="J72" s="808"/>
      <c r="K72" s="808"/>
      <c r="L72" s="808"/>
      <c r="M72" s="808"/>
      <c r="N72" s="808"/>
      <c r="O72" s="808"/>
      <c r="P72" s="808"/>
      <c r="Q72" s="808"/>
      <c r="R72" s="808"/>
      <c r="S72" s="808"/>
      <c r="T72" s="808"/>
      <c r="U72" s="808"/>
      <c r="V72" s="808"/>
      <c r="W72" s="808"/>
      <c r="X72" s="808"/>
      <c r="Y72" s="808"/>
      <c r="Z72" s="808"/>
      <c r="AA72" s="820"/>
      <c r="AB72" s="90"/>
      <c r="AC72" s="90"/>
      <c r="AD72" s="90"/>
    </row>
    <row r="73" spans="1:31" s="84" customFormat="1" ht="35.25" customHeight="1" x14ac:dyDescent="0.25">
      <c r="A73" s="76"/>
      <c r="B73" s="124">
        <v>4112316</v>
      </c>
      <c r="C73" s="94" t="s">
        <v>81</v>
      </c>
      <c r="D73" s="149" t="s">
        <v>77</v>
      </c>
      <c r="E73" s="420">
        <v>7</v>
      </c>
      <c r="F73" s="118">
        <v>8.9700000000000006</v>
      </c>
      <c r="G73" s="86">
        <v>8.9700000000000006</v>
      </c>
      <c r="H73" s="86"/>
      <c r="I73" s="86">
        <v>0</v>
      </c>
      <c r="J73" s="86">
        <v>0</v>
      </c>
      <c r="K73" s="88"/>
      <c r="L73" s="87"/>
      <c r="M73" s="149" t="s">
        <v>77</v>
      </c>
      <c r="N73" s="422">
        <v>7</v>
      </c>
      <c r="O73" s="479">
        <v>8.9700000000000006</v>
      </c>
      <c r="P73" s="86">
        <v>8.9700000000000006</v>
      </c>
      <c r="Q73" s="86"/>
      <c r="R73" s="86">
        <v>0</v>
      </c>
      <c r="S73" s="86">
        <v>0</v>
      </c>
      <c r="T73" s="88"/>
      <c r="U73" s="87"/>
      <c r="V73" s="122" t="s">
        <v>77</v>
      </c>
      <c r="W73" s="143"/>
      <c r="X73" s="86">
        <v>0</v>
      </c>
      <c r="Y73" s="86">
        <v>0</v>
      </c>
      <c r="Z73" s="86"/>
      <c r="AA73" s="86">
        <v>0</v>
      </c>
      <c r="AB73" s="86">
        <v>0</v>
      </c>
      <c r="AC73" s="85"/>
      <c r="AD73" s="85"/>
    </row>
    <row r="74" spans="1:31" s="484" customFormat="1" ht="36" customHeight="1" x14ac:dyDescent="0.25">
      <c r="A74" s="531"/>
      <c r="B74" s="471">
        <v>4112316</v>
      </c>
      <c r="C74" s="493" t="s">
        <v>82</v>
      </c>
      <c r="D74" s="542" t="s">
        <v>77</v>
      </c>
      <c r="E74" s="485">
        <v>7</v>
      </c>
      <c r="F74" s="478">
        <v>5</v>
      </c>
      <c r="G74" s="475">
        <v>5</v>
      </c>
      <c r="H74" s="475"/>
      <c r="I74" s="475">
        <v>0</v>
      </c>
      <c r="J74" s="475">
        <v>0</v>
      </c>
      <c r="K74" s="476"/>
      <c r="L74" s="480"/>
      <c r="M74" s="542" t="s">
        <v>77</v>
      </c>
      <c r="N74" s="543">
        <v>2</v>
      </c>
      <c r="O74" s="479">
        <v>1</v>
      </c>
      <c r="P74" s="475">
        <v>1</v>
      </c>
      <c r="Q74" s="475"/>
      <c r="R74" s="475">
        <v>0</v>
      </c>
      <c r="S74" s="475">
        <v>0</v>
      </c>
      <c r="T74" s="476"/>
      <c r="U74" s="480"/>
      <c r="V74" s="481" t="s">
        <v>77</v>
      </c>
      <c r="W74" s="482"/>
      <c r="X74" s="475">
        <v>-4</v>
      </c>
      <c r="Y74" s="475">
        <v>-4</v>
      </c>
      <c r="Z74" s="475"/>
      <c r="AA74" s="475">
        <v>0</v>
      </c>
      <c r="AB74" s="475">
        <v>0</v>
      </c>
      <c r="AC74" s="483"/>
      <c r="AD74" s="483"/>
    </row>
    <row r="75" spans="1:31" s="746" customFormat="1" ht="20.100000000000001" customHeight="1" x14ac:dyDescent="0.25">
      <c r="A75" s="76"/>
      <c r="B75" s="124"/>
      <c r="C75" s="840" t="s">
        <v>67</v>
      </c>
      <c r="D75" s="808"/>
      <c r="E75" s="808"/>
      <c r="F75" s="808"/>
      <c r="G75" s="808"/>
      <c r="H75" s="808"/>
      <c r="I75" s="808"/>
      <c r="J75" s="808"/>
      <c r="K75" s="808"/>
      <c r="L75" s="808"/>
      <c r="M75" s="808"/>
      <c r="N75" s="808"/>
      <c r="O75" s="808"/>
      <c r="P75" s="808"/>
      <c r="Q75" s="808"/>
      <c r="R75" s="808"/>
      <c r="S75" s="808"/>
      <c r="T75" s="808"/>
      <c r="U75" s="808"/>
      <c r="V75" s="808"/>
      <c r="W75" s="808"/>
      <c r="X75" s="808"/>
      <c r="Y75" s="808"/>
      <c r="Z75" s="808"/>
      <c r="AA75" s="820"/>
      <c r="AB75" s="79"/>
      <c r="AC75" s="79"/>
      <c r="AD75" s="78"/>
    </row>
    <row r="76" spans="1:31" s="484" customFormat="1" ht="35.25" customHeight="1" x14ac:dyDescent="0.25">
      <c r="A76" s="531"/>
      <c r="B76" s="471">
        <v>4112304</v>
      </c>
      <c r="C76" s="493" t="s">
        <v>83</v>
      </c>
      <c r="D76" s="542" t="s">
        <v>77</v>
      </c>
      <c r="E76" s="485">
        <v>17</v>
      </c>
      <c r="F76" s="478">
        <v>20.5</v>
      </c>
      <c r="G76" s="475">
        <v>20.5</v>
      </c>
      <c r="H76" s="475"/>
      <c r="I76" s="475">
        <v>0</v>
      </c>
      <c r="J76" s="475">
        <v>0</v>
      </c>
      <c r="K76" s="476"/>
      <c r="L76" s="480"/>
      <c r="M76" s="542" t="s">
        <v>77</v>
      </c>
      <c r="N76" s="543">
        <v>17</v>
      </c>
      <c r="O76" s="479">
        <v>20.5</v>
      </c>
      <c r="P76" s="475">
        <v>20.5</v>
      </c>
      <c r="Q76" s="475"/>
      <c r="R76" s="475">
        <v>0</v>
      </c>
      <c r="S76" s="475">
        <v>0</v>
      </c>
      <c r="T76" s="476"/>
      <c r="U76" s="480"/>
      <c r="V76" s="481" t="s">
        <v>77</v>
      </c>
      <c r="W76" s="482"/>
      <c r="X76" s="475">
        <v>0</v>
      </c>
      <c r="Y76" s="475">
        <v>0</v>
      </c>
      <c r="Z76" s="475"/>
      <c r="AA76" s="475">
        <v>0</v>
      </c>
      <c r="AB76" s="475">
        <v>0</v>
      </c>
      <c r="AC76" s="483"/>
      <c r="AD76" s="483"/>
    </row>
    <row r="77" spans="1:31" s="484" customFormat="1" ht="35.25" customHeight="1" x14ac:dyDescent="0.25">
      <c r="A77" s="531"/>
      <c r="B77" s="471">
        <v>4112304</v>
      </c>
      <c r="C77" s="493" t="s">
        <v>84</v>
      </c>
      <c r="D77" s="542" t="s">
        <v>77</v>
      </c>
      <c r="E77" s="485">
        <v>6</v>
      </c>
      <c r="F77" s="543">
        <v>6</v>
      </c>
      <c r="G77" s="475">
        <v>6</v>
      </c>
      <c r="H77" s="475"/>
      <c r="I77" s="475">
        <v>0</v>
      </c>
      <c r="J77" s="475">
        <v>0</v>
      </c>
      <c r="K77" s="476"/>
      <c r="L77" s="480"/>
      <c r="M77" s="542" t="s">
        <v>77</v>
      </c>
      <c r="N77" s="543">
        <v>3</v>
      </c>
      <c r="O77" s="479">
        <v>3</v>
      </c>
      <c r="P77" s="475">
        <v>3</v>
      </c>
      <c r="Q77" s="475"/>
      <c r="R77" s="475">
        <v>0</v>
      </c>
      <c r="S77" s="475">
        <v>0</v>
      </c>
      <c r="T77" s="476"/>
      <c r="U77" s="480"/>
      <c r="V77" s="481" t="s">
        <v>77</v>
      </c>
      <c r="W77" s="482"/>
      <c r="X77" s="475">
        <v>-3</v>
      </c>
      <c r="Y77" s="475">
        <v>-3</v>
      </c>
      <c r="Z77" s="475"/>
      <c r="AA77" s="475">
        <v>0</v>
      </c>
      <c r="AB77" s="475">
        <v>0</v>
      </c>
      <c r="AC77" s="483"/>
      <c r="AD77" s="483"/>
    </row>
    <row r="78" spans="1:31" s="84" customFormat="1" ht="18" customHeight="1" x14ac:dyDescent="0.25">
      <c r="A78" s="76"/>
      <c r="B78" s="124">
        <v>4112304</v>
      </c>
      <c r="C78" s="94" t="s">
        <v>85</v>
      </c>
      <c r="D78" s="149"/>
      <c r="E78" s="420" t="s">
        <v>86</v>
      </c>
      <c r="F78" s="118">
        <v>50</v>
      </c>
      <c r="G78" s="86">
        <v>50</v>
      </c>
      <c r="H78" s="86"/>
      <c r="I78" s="86">
        <v>0</v>
      </c>
      <c r="J78" s="86">
        <v>0</v>
      </c>
      <c r="K78" s="88"/>
      <c r="L78" s="87"/>
      <c r="M78" s="149"/>
      <c r="N78" s="118" t="s">
        <v>86</v>
      </c>
      <c r="O78" s="479">
        <v>50</v>
      </c>
      <c r="P78" s="86">
        <v>50</v>
      </c>
      <c r="Q78" s="86"/>
      <c r="R78" s="86">
        <v>0</v>
      </c>
      <c r="S78" s="86">
        <v>0</v>
      </c>
      <c r="T78" s="88"/>
      <c r="U78" s="87"/>
      <c r="V78" s="122"/>
      <c r="W78" s="143"/>
      <c r="X78" s="86">
        <v>0</v>
      </c>
      <c r="Y78" s="86">
        <v>0</v>
      </c>
      <c r="Z78" s="86"/>
      <c r="AA78" s="86">
        <v>0</v>
      </c>
      <c r="AB78" s="86">
        <v>0</v>
      </c>
      <c r="AC78" s="85"/>
      <c r="AD78" s="85"/>
    </row>
    <row r="79" spans="1:31" s="746" customFormat="1" ht="20.100000000000001" customHeight="1" x14ac:dyDescent="0.25">
      <c r="A79" s="76"/>
      <c r="B79" s="124"/>
      <c r="C79" s="837" t="s">
        <v>87</v>
      </c>
      <c r="D79" s="808"/>
      <c r="E79" s="808"/>
      <c r="F79" s="808"/>
      <c r="G79" s="808"/>
      <c r="H79" s="808"/>
      <c r="I79" s="808"/>
      <c r="J79" s="808"/>
      <c r="K79" s="808"/>
      <c r="L79" s="808"/>
      <c r="M79" s="808"/>
      <c r="N79" s="808"/>
      <c r="O79" s="808"/>
      <c r="P79" s="808"/>
      <c r="Q79" s="808"/>
      <c r="R79" s="808"/>
      <c r="S79" s="808"/>
      <c r="T79" s="808"/>
      <c r="U79" s="808"/>
      <c r="V79" s="808"/>
      <c r="W79" s="808"/>
      <c r="X79" s="808"/>
      <c r="Y79" s="808"/>
      <c r="Z79" s="808"/>
      <c r="AA79" s="820"/>
      <c r="AB79" s="79"/>
      <c r="AC79" s="79"/>
      <c r="AD79" s="78"/>
    </row>
    <row r="80" spans="1:31" s="484" customFormat="1" ht="67.5" customHeight="1" x14ac:dyDescent="0.25">
      <c r="A80" s="531"/>
      <c r="B80" s="471">
        <v>4112202</v>
      </c>
      <c r="C80" s="493" t="s">
        <v>88</v>
      </c>
      <c r="D80" s="542" t="s">
        <v>77</v>
      </c>
      <c r="E80" s="485">
        <v>30</v>
      </c>
      <c r="F80" s="478">
        <v>19.5</v>
      </c>
      <c r="G80" s="475">
        <v>19.5</v>
      </c>
      <c r="H80" s="475"/>
      <c r="I80" s="475">
        <v>0</v>
      </c>
      <c r="J80" s="475">
        <v>0</v>
      </c>
      <c r="K80" s="476"/>
      <c r="L80" s="480"/>
      <c r="M80" s="542" t="s">
        <v>77</v>
      </c>
      <c r="N80" s="543">
        <v>33</v>
      </c>
      <c r="O80" s="479">
        <v>22.5</v>
      </c>
      <c r="P80" s="475">
        <v>22.5</v>
      </c>
      <c r="Q80" s="475"/>
      <c r="R80" s="475">
        <v>0</v>
      </c>
      <c r="S80" s="475">
        <v>0</v>
      </c>
      <c r="T80" s="476"/>
      <c r="U80" s="480"/>
      <c r="V80" s="481" t="s">
        <v>77</v>
      </c>
      <c r="W80" s="482"/>
      <c r="X80" s="475">
        <v>3</v>
      </c>
      <c r="Y80" s="475">
        <v>3</v>
      </c>
      <c r="Z80" s="475"/>
      <c r="AA80" s="475">
        <v>0</v>
      </c>
      <c r="AB80" s="475">
        <v>0</v>
      </c>
      <c r="AC80" s="483"/>
      <c r="AD80" s="483"/>
    </row>
    <row r="81" spans="1:42" s="84" customFormat="1" ht="36" customHeight="1" x14ac:dyDescent="0.25">
      <c r="A81" s="76"/>
      <c r="B81" s="124">
        <v>4112202</v>
      </c>
      <c r="C81" s="94" t="s">
        <v>89</v>
      </c>
      <c r="D81" s="149" t="s">
        <v>77</v>
      </c>
      <c r="E81" s="420">
        <v>11</v>
      </c>
      <c r="F81" s="118">
        <v>13.75</v>
      </c>
      <c r="G81" s="86">
        <v>13.75</v>
      </c>
      <c r="H81" s="86"/>
      <c r="I81" s="86">
        <v>0</v>
      </c>
      <c r="J81" s="86">
        <v>0</v>
      </c>
      <c r="K81" s="88"/>
      <c r="L81" s="87"/>
      <c r="M81" s="149" t="s">
        <v>77</v>
      </c>
      <c r="N81" s="422">
        <v>14</v>
      </c>
      <c r="O81" s="42">
        <v>13.75</v>
      </c>
      <c r="P81" s="86">
        <v>13.75</v>
      </c>
      <c r="Q81" s="86"/>
      <c r="R81" s="86">
        <v>0</v>
      </c>
      <c r="S81" s="86">
        <v>0</v>
      </c>
      <c r="T81" s="88"/>
      <c r="U81" s="87"/>
      <c r="V81" s="122" t="s">
        <v>77</v>
      </c>
      <c r="W81" s="143"/>
      <c r="X81" s="86">
        <v>0</v>
      </c>
      <c r="Y81" s="86">
        <v>0</v>
      </c>
      <c r="Z81" s="86"/>
      <c r="AA81" s="86">
        <v>0</v>
      </c>
      <c r="AB81" s="86">
        <v>0</v>
      </c>
      <c r="AC81" s="85"/>
      <c r="AD81" s="85"/>
    </row>
    <row r="82" spans="1:42" s="746" customFormat="1" ht="20.100000000000001" customHeight="1" x14ac:dyDescent="0.25">
      <c r="A82" s="76"/>
      <c r="B82" s="124">
        <v>4112202</v>
      </c>
      <c r="C82" s="94" t="s">
        <v>90</v>
      </c>
      <c r="D82" s="149" t="s">
        <v>77</v>
      </c>
      <c r="E82" s="420">
        <v>2</v>
      </c>
      <c r="F82" s="432">
        <v>1.5</v>
      </c>
      <c r="G82" s="68">
        <v>1.5</v>
      </c>
      <c r="H82" s="68"/>
      <c r="I82" s="68">
        <v>0</v>
      </c>
      <c r="J82" s="68">
        <v>0</v>
      </c>
      <c r="K82" s="70"/>
      <c r="L82" s="69"/>
      <c r="M82" s="149" t="s">
        <v>77</v>
      </c>
      <c r="N82" s="422">
        <v>2</v>
      </c>
      <c r="O82" s="42">
        <v>1.5</v>
      </c>
      <c r="P82" s="68">
        <v>1.5</v>
      </c>
      <c r="Q82" s="68"/>
      <c r="R82" s="68">
        <v>0</v>
      </c>
      <c r="S82" s="68">
        <v>0</v>
      </c>
      <c r="T82" s="70"/>
      <c r="U82" s="69"/>
      <c r="V82" s="67" t="s">
        <v>77</v>
      </c>
      <c r="W82" s="143"/>
      <c r="X82" s="86">
        <v>0</v>
      </c>
      <c r="Y82" s="86">
        <v>0</v>
      </c>
      <c r="Z82" s="86"/>
      <c r="AA82" s="86">
        <v>0</v>
      </c>
      <c r="AB82" s="86">
        <v>0</v>
      </c>
      <c r="AC82" s="90"/>
      <c r="AD82" s="90"/>
    </row>
    <row r="83" spans="1:42" s="84" customFormat="1" ht="34.5" customHeight="1" x14ac:dyDescent="0.25">
      <c r="A83" s="76"/>
      <c r="B83" s="124">
        <v>4112202</v>
      </c>
      <c r="C83" s="94" t="s">
        <v>91</v>
      </c>
      <c r="D83" s="149" t="s">
        <v>77</v>
      </c>
      <c r="E83" s="420">
        <v>11</v>
      </c>
      <c r="F83" s="118">
        <v>5.25</v>
      </c>
      <c r="G83" s="86">
        <v>5.25</v>
      </c>
      <c r="H83" s="86"/>
      <c r="I83" s="86">
        <v>0</v>
      </c>
      <c r="J83" s="86">
        <v>0</v>
      </c>
      <c r="K83" s="88"/>
      <c r="L83" s="87"/>
      <c r="M83" s="149" t="s">
        <v>77</v>
      </c>
      <c r="N83" s="422">
        <v>17</v>
      </c>
      <c r="O83" s="42">
        <v>5.25</v>
      </c>
      <c r="P83" s="86">
        <v>5.25</v>
      </c>
      <c r="Q83" s="86"/>
      <c r="R83" s="86">
        <v>0</v>
      </c>
      <c r="S83" s="86">
        <v>0</v>
      </c>
      <c r="T83" s="88"/>
      <c r="U83" s="87"/>
      <c r="V83" s="122" t="s">
        <v>77</v>
      </c>
      <c r="W83" s="143"/>
      <c r="X83" s="86">
        <v>0</v>
      </c>
      <c r="Y83" s="86">
        <v>0</v>
      </c>
      <c r="Z83" s="86"/>
      <c r="AA83" s="86">
        <v>0</v>
      </c>
      <c r="AB83" s="86">
        <v>0</v>
      </c>
      <c r="AC83" s="85"/>
      <c r="AD83" s="85"/>
    </row>
    <row r="84" spans="1:42" s="746" customFormat="1" ht="20.100000000000001" customHeight="1" x14ac:dyDescent="0.25">
      <c r="A84" s="76"/>
      <c r="B84" s="124">
        <v>4112314</v>
      </c>
      <c r="C84" s="93" t="s">
        <v>62</v>
      </c>
      <c r="D84" s="93"/>
      <c r="E84" s="91" t="s">
        <v>92</v>
      </c>
      <c r="F84" s="432">
        <v>50</v>
      </c>
      <c r="G84" s="68">
        <v>50</v>
      </c>
      <c r="H84" s="68"/>
      <c r="I84" s="68">
        <v>0</v>
      </c>
      <c r="J84" s="68">
        <v>0</v>
      </c>
      <c r="K84" s="70"/>
      <c r="L84" s="69"/>
      <c r="M84" s="146"/>
      <c r="N84" s="91" t="s">
        <v>92</v>
      </c>
      <c r="O84" s="42">
        <v>50</v>
      </c>
      <c r="P84" s="68">
        <v>50</v>
      </c>
      <c r="Q84" s="68"/>
      <c r="R84" s="68">
        <v>0</v>
      </c>
      <c r="S84" s="68">
        <v>0</v>
      </c>
      <c r="T84" s="70"/>
      <c r="U84" s="69"/>
      <c r="V84" s="67"/>
      <c r="W84" s="66"/>
      <c r="X84" s="86">
        <v>0</v>
      </c>
      <c r="Y84" s="86">
        <v>0</v>
      </c>
      <c r="Z84" s="86"/>
      <c r="AA84" s="86">
        <v>0</v>
      </c>
      <c r="AB84" s="86">
        <v>0</v>
      </c>
      <c r="AC84" s="90"/>
      <c r="AD84" s="90"/>
    </row>
    <row r="85" spans="1:42" s="746" customFormat="1" ht="20.100000000000001" customHeight="1" x14ac:dyDescent="0.25">
      <c r="A85" s="73"/>
      <c r="B85" s="124">
        <v>4112303</v>
      </c>
      <c r="C85" s="93" t="s">
        <v>93</v>
      </c>
      <c r="D85" s="93" t="s">
        <v>77</v>
      </c>
      <c r="E85" s="91">
        <v>15</v>
      </c>
      <c r="F85" s="432">
        <v>15</v>
      </c>
      <c r="G85" s="68">
        <v>15</v>
      </c>
      <c r="H85" s="68"/>
      <c r="I85" s="68">
        <v>0</v>
      </c>
      <c r="J85" s="68">
        <v>0</v>
      </c>
      <c r="K85" s="70"/>
      <c r="L85" s="69"/>
      <c r="M85" s="149" t="s">
        <v>77</v>
      </c>
      <c r="N85" s="422">
        <v>15</v>
      </c>
      <c r="O85" s="42">
        <v>15</v>
      </c>
      <c r="P85" s="68">
        <v>15</v>
      </c>
      <c r="Q85" s="611"/>
      <c r="R85" s="68">
        <v>0</v>
      </c>
      <c r="S85" s="68">
        <v>0</v>
      </c>
      <c r="T85" s="70"/>
      <c r="U85" s="69"/>
      <c r="V85" s="67" t="s">
        <v>77</v>
      </c>
      <c r="W85" s="143"/>
      <c r="X85" s="86">
        <v>0</v>
      </c>
      <c r="Y85" s="86">
        <v>0</v>
      </c>
      <c r="Z85" s="86"/>
      <c r="AA85" s="86">
        <v>0</v>
      </c>
      <c r="AB85" s="86">
        <v>0</v>
      </c>
      <c r="AC85" s="90"/>
      <c r="AD85" s="90"/>
      <c r="AH85" s="90"/>
      <c r="AI85" s="90" t="s">
        <v>94</v>
      </c>
      <c r="AJ85" s="90"/>
      <c r="AK85" s="90"/>
      <c r="AL85" s="90"/>
      <c r="AM85" s="90" t="s">
        <v>95</v>
      </c>
      <c r="AN85" s="90"/>
      <c r="AO85" s="746" t="s">
        <v>96</v>
      </c>
    </row>
    <row r="86" spans="1:42" s="746" customFormat="1" ht="23.25" customHeight="1" x14ac:dyDescent="0.25">
      <c r="A86" s="825"/>
      <c r="B86" s="124"/>
      <c r="C86" s="837" t="s">
        <v>97</v>
      </c>
      <c r="D86" s="808"/>
      <c r="E86" s="808"/>
      <c r="F86" s="808"/>
      <c r="G86" s="808"/>
      <c r="H86" s="808"/>
      <c r="I86" s="808"/>
      <c r="J86" s="808"/>
      <c r="K86" s="808"/>
      <c r="L86" s="808"/>
      <c r="M86" s="808"/>
      <c r="N86" s="808"/>
      <c r="O86" s="808"/>
      <c r="P86" s="808"/>
      <c r="Q86" s="808"/>
      <c r="R86" s="808"/>
      <c r="S86" s="808"/>
      <c r="T86" s="808"/>
      <c r="U86" s="808"/>
      <c r="V86" s="808"/>
      <c r="W86" s="808"/>
      <c r="X86" s="808"/>
      <c r="Y86" s="808"/>
      <c r="Z86" s="808"/>
      <c r="AA86" s="820"/>
      <c r="AB86" s="79"/>
      <c r="AC86" s="79"/>
      <c r="AD86" s="78"/>
      <c r="AG86" s="84"/>
      <c r="AH86" s="85"/>
      <c r="AI86" s="85"/>
      <c r="AJ86" s="85"/>
      <c r="AK86" s="85"/>
      <c r="AL86" s="85"/>
      <c r="AM86" s="85"/>
      <c r="AN86" s="85"/>
      <c r="AO86" s="84"/>
      <c r="AP86" s="84"/>
    </row>
    <row r="87" spans="1:42" s="484" customFormat="1" ht="20.100000000000001" customHeight="1" x14ac:dyDescent="0.25">
      <c r="A87" s="805"/>
      <c r="B87" s="471">
        <v>4141101</v>
      </c>
      <c r="C87" s="495" t="s">
        <v>98</v>
      </c>
      <c r="D87" s="495" t="s">
        <v>99</v>
      </c>
      <c r="E87" s="473">
        <v>470</v>
      </c>
      <c r="F87" s="655">
        <v>24000</v>
      </c>
      <c r="G87" s="475">
        <v>24000</v>
      </c>
      <c r="H87" s="475"/>
      <c r="I87" s="475">
        <v>0</v>
      </c>
      <c r="J87" s="475">
        <v>0</v>
      </c>
      <c r="K87" s="476"/>
      <c r="L87" s="480"/>
      <c r="M87" s="477" t="s">
        <v>99</v>
      </c>
      <c r="N87" s="478">
        <v>470</v>
      </c>
      <c r="O87" s="656">
        <v>20000</v>
      </c>
      <c r="P87" s="475">
        <v>20000</v>
      </c>
      <c r="Q87" s="475"/>
      <c r="R87" s="475">
        <v>0</v>
      </c>
      <c r="S87" s="475">
        <v>0</v>
      </c>
      <c r="T87" s="476"/>
      <c r="U87" s="480"/>
      <c r="V87" s="481" t="s">
        <v>99</v>
      </c>
      <c r="W87" s="482"/>
      <c r="X87" s="475">
        <v>-4000</v>
      </c>
      <c r="Y87" s="475">
        <v>-4000</v>
      </c>
      <c r="Z87" s="475"/>
      <c r="AA87" s="475">
        <v>0</v>
      </c>
      <c r="AB87" s="475">
        <v>0</v>
      </c>
      <c r="AC87" s="483"/>
      <c r="AD87" s="483"/>
      <c r="AG87" s="529"/>
      <c r="AH87" s="546" t="e">
        <f>#REF!</f>
        <v>#REF!</v>
      </c>
      <c r="AI87" s="546" t="e">
        <f>#REF!</f>
        <v>#REF!</v>
      </c>
      <c r="AJ87" s="546" t="e">
        <f>AI87+AH87</f>
        <v>#REF!</v>
      </c>
      <c r="AK87" s="528"/>
      <c r="AL87" s="528">
        <v>50</v>
      </c>
      <c r="AM87" s="505">
        <v>371</v>
      </c>
      <c r="AN87" s="546">
        <f>AM87+AL87</f>
        <v>421</v>
      </c>
      <c r="AO87" s="547" t="e">
        <f>AN87-AJ87</f>
        <v>#REF!</v>
      </c>
      <c r="AP87" s="529"/>
    </row>
    <row r="88" spans="1:42" s="746" customFormat="1" ht="20.100000000000001" customHeight="1" x14ac:dyDescent="0.25">
      <c r="A88" s="89"/>
      <c r="B88" s="729"/>
      <c r="C88" s="837" t="s">
        <v>100</v>
      </c>
      <c r="D88" s="808"/>
      <c r="E88" s="808"/>
      <c r="F88" s="808"/>
      <c r="G88" s="808"/>
      <c r="H88" s="808"/>
      <c r="I88" s="808"/>
      <c r="J88" s="808"/>
      <c r="K88" s="808"/>
      <c r="L88" s="808"/>
      <c r="M88" s="808"/>
      <c r="N88" s="808"/>
      <c r="O88" s="808"/>
      <c r="P88" s="808"/>
      <c r="Q88" s="808"/>
      <c r="R88" s="808"/>
      <c r="S88" s="808"/>
      <c r="T88" s="808"/>
      <c r="U88" s="808"/>
      <c r="V88" s="808"/>
      <c r="W88" s="808"/>
      <c r="X88" s="808"/>
      <c r="Y88" s="808"/>
      <c r="Z88" s="808"/>
      <c r="AA88" s="820"/>
      <c r="AB88" s="79"/>
      <c r="AC88" s="79"/>
      <c r="AD88" s="78"/>
      <c r="AH88" s="90"/>
      <c r="AI88" s="90"/>
      <c r="AJ88" s="90"/>
      <c r="AK88" s="90"/>
      <c r="AL88" s="90"/>
      <c r="AM88" s="90"/>
      <c r="AN88" s="90"/>
    </row>
    <row r="89" spans="1:42" s="746" customFormat="1" ht="15" customHeight="1" x14ac:dyDescent="0.25">
      <c r="A89" s="76"/>
      <c r="B89" s="124"/>
      <c r="C89" s="81" t="s">
        <v>101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2"/>
      <c r="W89" s="82"/>
      <c r="X89" s="82"/>
      <c r="Y89" s="82"/>
      <c r="Z89" s="82"/>
      <c r="AA89" s="82"/>
      <c r="AB89" s="79"/>
      <c r="AC89" s="79"/>
      <c r="AD89" s="78"/>
      <c r="AG89" s="77" t="e">
        <f>P90/U90</f>
        <v>#DIV/0!</v>
      </c>
      <c r="AH89" s="68">
        <v>46.5</v>
      </c>
      <c r="AI89" s="68">
        <v>895.5</v>
      </c>
      <c r="AJ89" s="74">
        <f>AI89+AH89</f>
        <v>942</v>
      </c>
      <c r="AK89" s="90"/>
      <c r="AL89" s="90">
        <v>161</v>
      </c>
      <c r="AM89" s="75">
        <v>1182</v>
      </c>
      <c r="AN89" s="74">
        <f>AM89+AL89</f>
        <v>1343</v>
      </c>
      <c r="AO89" s="10">
        <f>AN89-AJ89</f>
        <v>401</v>
      </c>
    </row>
    <row r="90" spans="1:42" s="529" customFormat="1" ht="18.75" customHeight="1" x14ac:dyDescent="0.25">
      <c r="A90" s="531"/>
      <c r="B90" s="471">
        <v>4111306</v>
      </c>
      <c r="C90" s="495" t="s">
        <v>102</v>
      </c>
      <c r="D90" s="542" t="s">
        <v>77</v>
      </c>
      <c r="E90" s="495">
        <v>131</v>
      </c>
      <c r="F90" s="657">
        <v>1261</v>
      </c>
      <c r="G90" s="505">
        <v>151.32</v>
      </c>
      <c r="H90" s="505"/>
      <c r="I90" s="505">
        <v>1109.68</v>
      </c>
      <c r="J90" s="505">
        <v>0</v>
      </c>
      <c r="K90" s="506"/>
      <c r="L90" s="509"/>
      <c r="M90" s="542" t="s">
        <v>77</v>
      </c>
      <c r="N90" s="543">
        <v>117</v>
      </c>
      <c r="O90" s="658">
        <v>1209.54</v>
      </c>
      <c r="P90" s="549">
        <v>169.3356</v>
      </c>
      <c r="Q90" s="505"/>
      <c r="R90" s="549">
        <v>1040.2044000000001</v>
      </c>
      <c r="S90" s="505">
        <v>0</v>
      </c>
      <c r="T90" s="506"/>
      <c r="U90" s="509"/>
      <c r="V90" s="507" t="s">
        <v>77</v>
      </c>
      <c r="W90" s="543"/>
      <c r="X90" s="478">
        <v>-51.460000000000043</v>
      </c>
      <c r="Y90" s="478">
        <v>18.01560000000001</v>
      </c>
      <c r="Z90" s="478"/>
      <c r="AA90" s="478">
        <v>-69.475599999999986</v>
      </c>
      <c r="AB90" s="478">
        <v>0</v>
      </c>
      <c r="AC90" s="528"/>
      <c r="AD90" s="528"/>
      <c r="AH90" s="528"/>
      <c r="AI90" s="528"/>
      <c r="AJ90" s="528"/>
      <c r="AK90" s="528"/>
      <c r="AL90" s="528"/>
      <c r="AM90" s="528"/>
      <c r="AN90" s="528"/>
    </row>
    <row r="91" spans="1:42" s="746" customFormat="1" ht="15" customHeight="1" x14ac:dyDescent="0.25">
      <c r="A91" s="76"/>
      <c r="B91" s="124"/>
      <c r="C91" s="81" t="s">
        <v>103</v>
      </c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150"/>
      <c r="W91" s="478"/>
      <c r="X91" s="156"/>
      <c r="Y91" s="156"/>
      <c r="Z91" s="156"/>
      <c r="AA91" s="156"/>
      <c r="AB91" s="157"/>
      <c r="AC91" s="79"/>
      <c r="AD91" s="78"/>
      <c r="AG91" s="77" t="e">
        <f>P92/U92</f>
        <v>#DIV/0!</v>
      </c>
      <c r="AH91" s="68">
        <v>46.5</v>
      </c>
      <c r="AI91" s="68">
        <v>895.5</v>
      </c>
      <c r="AJ91" s="74">
        <f>AI91+AH91</f>
        <v>942</v>
      </c>
      <c r="AK91" s="90"/>
      <c r="AL91" s="90">
        <v>161</v>
      </c>
      <c r="AM91" s="75">
        <v>1182</v>
      </c>
      <c r="AN91" s="74">
        <f>AM91+AL91</f>
        <v>1343</v>
      </c>
      <c r="AO91" s="10">
        <f>AN91-AJ91</f>
        <v>401</v>
      </c>
    </row>
    <row r="92" spans="1:42" s="529" customFormat="1" ht="24" customHeight="1" x14ac:dyDescent="0.25">
      <c r="A92" s="531"/>
      <c r="B92" s="471">
        <v>4111307</v>
      </c>
      <c r="C92" s="495" t="s">
        <v>104</v>
      </c>
      <c r="D92" s="542" t="s">
        <v>77</v>
      </c>
      <c r="E92" s="473" t="s">
        <v>105</v>
      </c>
      <c r="F92" s="657">
        <v>1515</v>
      </c>
      <c r="G92" s="505">
        <v>181.8</v>
      </c>
      <c r="H92" s="505"/>
      <c r="I92" s="505">
        <v>1333.2</v>
      </c>
      <c r="J92" s="505">
        <v>0</v>
      </c>
      <c r="K92" s="506"/>
      <c r="L92" s="509"/>
      <c r="M92" s="542" t="s">
        <v>77</v>
      </c>
      <c r="N92" s="543">
        <v>5</v>
      </c>
      <c r="O92" s="656">
        <v>1175.5</v>
      </c>
      <c r="P92" s="549">
        <v>164.57</v>
      </c>
      <c r="Q92" s="505"/>
      <c r="R92" s="549">
        <v>1010.93</v>
      </c>
      <c r="S92" s="505">
        <v>0</v>
      </c>
      <c r="T92" s="506"/>
      <c r="U92" s="509"/>
      <c r="V92" s="507" t="s">
        <v>77</v>
      </c>
      <c r="W92" s="543"/>
      <c r="X92" s="478">
        <v>-339.5</v>
      </c>
      <c r="Y92" s="478">
        <v>-17.230000000000022</v>
      </c>
      <c r="Z92" s="478"/>
      <c r="AA92" s="478">
        <v>-322.2700000000001</v>
      </c>
      <c r="AB92" s="478">
        <v>0</v>
      </c>
      <c r="AC92" s="528"/>
      <c r="AD92" s="528"/>
      <c r="AG92" s="550" t="e">
        <f>P93/U93</f>
        <v>#DIV/0!</v>
      </c>
      <c r="AH92" s="505">
        <v>978.5</v>
      </c>
      <c r="AI92" s="505">
        <v>18871.5</v>
      </c>
      <c r="AJ92" s="546">
        <f>AI92+AH92</f>
        <v>19850</v>
      </c>
      <c r="AK92" s="528"/>
      <c r="AL92" s="528">
        <v>3398</v>
      </c>
      <c r="AM92" s="549">
        <v>24917</v>
      </c>
      <c r="AN92" s="546">
        <f>AM92+AL92</f>
        <v>28315</v>
      </c>
      <c r="AO92" s="547">
        <f>AN92-AJ92</f>
        <v>8465</v>
      </c>
    </row>
    <row r="93" spans="1:42" s="529" customFormat="1" ht="32.25" customHeight="1" x14ac:dyDescent="0.25">
      <c r="A93" s="531"/>
      <c r="B93" s="471">
        <v>4111307</v>
      </c>
      <c r="C93" s="495" t="s">
        <v>106</v>
      </c>
      <c r="D93" s="542" t="s">
        <v>77</v>
      </c>
      <c r="E93" s="473" t="s">
        <v>107</v>
      </c>
      <c r="F93" s="657">
        <v>20311</v>
      </c>
      <c r="G93" s="505">
        <v>2437.3200000000002</v>
      </c>
      <c r="H93" s="505"/>
      <c r="I93" s="505">
        <v>17873.68</v>
      </c>
      <c r="J93" s="505">
        <v>0</v>
      </c>
      <c r="K93" s="506"/>
      <c r="L93" s="509"/>
      <c r="M93" s="542" t="s">
        <v>77</v>
      </c>
      <c r="N93" s="543">
        <v>111</v>
      </c>
      <c r="O93" s="658">
        <v>18595.490000000002</v>
      </c>
      <c r="P93" s="549">
        <v>2603.3686000000012</v>
      </c>
      <c r="Q93" s="505"/>
      <c r="R93" s="549">
        <v>15992.1214</v>
      </c>
      <c r="S93" s="505">
        <v>0</v>
      </c>
      <c r="T93" s="506"/>
      <c r="U93" s="509"/>
      <c r="V93" s="507" t="s">
        <v>77</v>
      </c>
      <c r="W93" s="478"/>
      <c r="X93" s="478">
        <v>-1715.5099999999979</v>
      </c>
      <c r="Y93" s="478">
        <v>166.04860000000099</v>
      </c>
      <c r="Z93" s="478"/>
      <c r="AA93" s="478">
        <v>-1881.5586000000001</v>
      </c>
      <c r="AB93" s="478">
        <v>0</v>
      </c>
      <c r="AC93" s="528"/>
      <c r="AD93" s="528"/>
      <c r="AG93" s="550" t="e">
        <f>P94/U94</f>
        <v>#DIV/0!</v>
      </c>
      <c r="AH93" s="505">
        <v>131</v>
      </c>
      <c r="AI93" s="505">
        <v>2528</v>
      </c>
      <c r="AJ93" s="546">
        <f>AI93+AH93</f>
        <v>2659</v>
      </c>
      <c r="AK93" s="528"/>
      <c r="AL93" s="528">
        <v>455</v>
      </c>
      <c r="AM93" s="549">
        <v>3337</v>
      </c>
      <c r="AN93" s="546">
        <f>AM93+AL93</f>
        <v>3792</v>
      </c>
      <c r="AO93" s="547">
        <f>AN93-AJ93</f>
        <v>1133</v>
      </c>
    </row>
    <row r="94" spans="1:42" s="529" customFormat="1" ht="19.5" customHeight="1" x14ac:dyDescent="0.25">
      <c r="A94" s="531"/>
      <c r="B94" s="471">
        <v>4111307</v>
      </c>
      <c r="C94" s="495" t="s">
        <v>108</v>
      </c>
      <c r="D94" s="495" t="s">
        <v>109</v>
      </c>
      <c r="E94" s="551">
        <v>318</v>
      </c>
      <c r="F94" s="659">
        <v>9729</v>
      </c>
      <c r="G94" s="505">
        <v>1167.48</v>
      </c>
      <c r="H94" s="505"/>
      <c r="I94" s="505">
        <v>8561.52</v>
      </c>
      <c r="J94" s="505">
        <v>0</v>
      </c>
      <c r="K94" s="506"/>
      <c r="L94" s="509"/>
      <c r="M94" s="525" t="s">
        <v>109</v>
      </c>
      <c r="N94" s="552">
        <v>335.36399999999998</v>
      </c>
      <c r="O94" s="660">
        <v>10194.129999999999</v>
      </c>
      <c r="P94" s="549">
        <v>1427.1782000000001</v>
      </c>
      <c r="Q94" s="505"/>
      <c r="R94" s="549">
        <v>8766.9517999999989</v>
      </c>
      <c r="S94" s="505">
        <v>0</v>
      </c>
      <c r="T94" s="506"/>
      <c r="U94" s="509"/>
      <c r="V94" s="507" t="s">
        <v>109</v>
      </c>
      <c r="W94" s="478"/>
      <c r="X94" s="478">
        <v>465.1299999999992</v>
      </c>
      <c r="Y94" s="478">
        <v>259.69819999999999</v>
      </c>
      <c r="Z94" s="478"/>
      <c r="AA94" s="478">
        <v>205.4317999999985</v>
      </c>
      <c r="AB94" s="478">
        <v>0</v>
      </c>
      <c r="AC94" s="528"/>
      <c r="AD94" s="528"/>
      <c r="AG94" s="550" t="e">
        <f>#REF!/#REF!</f>
        <v>#REF!</v>
      </c>
      <c r="AH94" s="505"/>
      <c r="AI94" s="505"/>
      <c r="AJ94" s="546"/>
      <c r="AK94" s="528"/>
      <c r="AL94" s="528"/>
      <c r="AM94" s="549"/>
      <c r="AN94" s="546"/>
      <c r="AO94" s="547"/>
    </row>
    <row r="95" spans="1:42" s="746" customFormat="1" ht="15" customHeight="1" x14ac:dyDescent="0.25">
      <c r="A95" s="76"/>
      <c r="B95" s="143"/>
      <c r="C95" s="81" t="s">
        <v>15</v>
      </c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461"/>
      <c r="O95" s="80"/>
      <c r="P95" s="80"/>
      <c r="Q95" s="80"/>
      <c r="R95" s="80"/>
      <c r="S95" s="80"/>
      <c r="T95" s="80"/>
      <c r="U95" s="80"/>
      <c r="V95" s="151"/>
      <c r="W95" s="478">
        <f>N95-E95</f>
        <v>0</v>
      </c>
      <c r="X95" s="158"/>
      <c r="Y95" s="158"/>
      <c r="Z95" s="158"/>
      <c r="AA95" s="118"/>
      <c r="AB95" s="157"/>
      <c r="AC95" s="79"/>
      <c r="AD95" s="78"/>
      <c r="AG95" s="77" t="e">
        <f>P96/U96</f>
        <v>#DIV/0!</v>
      </c>
      <c r="AH95" s="68">
        <v>18</v>
      </c>
      <c r="AI95" s="68">
        <v>360</v>
      </c>
      <c r="AJ95" s="74">
        <f>AI95+AH95</f>
        <v>378</v>
      </c>
      <c r="AK95" s="90"/>
      <c r="AL95" s="90">
        <v>65</v>
      </c>
      <c r="AM95" s="75">
        <v>475.36</v>
      </c>
      <c r="AN95" s="74">
        <f>AM95+AL95</f>
        <v>540.36</v>
      </c>
      <c r="AO95" s="10">
        <f>AN95-AJ95</f>
        <v>162.36000000000001</v>
      </c>
    </row>
    <row r="96" spans="1:42" s="529" customFormat="1" ht="33.75" customHeight="1" x14ac:dyDescent="0.25">
      <c r="A96" s="531"/>
      <c r="B96" s="482">
        <v>4111201</v>
      </c>
      <c r="C96" s="495" t="s">
        <v>110</v>
      </c>
      <c r="D96" s="495" t="s">
        <v>109</v>
      </c>
      <c r="E96" s="661">
        <v>143</v>
      </c>
      <c r="F96" s="659">
        <v>2515</v>
      </c>
      <c r="G96" s="505">
        <v>301.8</v>
      </c>
      <c r="H96" s="553"/>
      <c r="I96" s="505">
        <v>2213.1999999999998</v>
      </c>
      <c r="J96" s="505">
        <v>0</v>
      </c>
      <c r="K96" s="506"/>
      <c r="L96" s="509"/>
      <c r="M96" s="525" t="s">
        <v>109</v>
      </c>
      <c r="N96" s="662">
        <v>108.974</v>
      </c>
      <c r="O96" s="660">
        <v>3397.94</v>
      </c>
      <c r="P96" s="549">
        <v>475.71159999999998</v>
      </c>
      <c r="Q96" s="505"/>
      <c r="R96" s="549">
        <v>2922.2284</v>
      </c>
      <c r="S96" s="505">
        <v>0</v>
      </c>
      <c r="T96" s="506"/>
      <c r="U96" s="509"/>
      <c r="V96" s="507" t="s">
        <v>109</v>
      </c>
      <c r="W96" s="478"/>
      <c r="X96" s="478">
        <v>882.94</v>
      </c>
      <c r="Y96" s="478">
        <v>173.91159999999999</v>
      </c>
      <c r="Z96" s="478"/>
      <c r="AA96" s="478">
        <v>709.02840000000015</v>
      </c>
      <c r="AB96" s="478">
        <v>0</v>
      </c>
      <c r="AC96" s="528"/>
      <c r="AD96" s="528"/>
      <c r="AG96" s="550" t="e">
        <f>P97/U97</f>
        <v>#DIV/0!</v>
      </c>
      <c r="AH96" s="505">
        <v>3</v>
      </c>
      <c r="AI96" s="505">
        <v>60</v>
      </c>
      <c r="AJ96" s="546">
        <f>AI96+AH96</f>
        <v>63</v>
      </c>
      <c r="AK96" s="528"/>
      <c r="AL96" s="528">
        <v>11</v>
      </c>
      <c r="AM96" s="549">
        <v>80</v>
      </c>
      <c r="AN96" s="546">
        <f>AM96+AL96</f>
        <v>91</v>
      </c>
      <c r="AO96" s="547">
        <f>AN96-AJ96</f>
        <v>28</v>
      </c>
    </row>
    <row r="97" spans="1:42" s="529" customFormat="1" ht="34.5" customHeight="1" x14ac:dyDescent="0.25">
      <c r="A97" s="531"/>
      <c r="B97" s="482">
        <v>4111201</v>
      </c>
      <c r="C97" s="495" t="s">
        <v>111</v>
      </c>
      <c r="D97" s="495" t="s">
        <v>109</v>
      </c>
      <c r="E97" s="554">
        <v>84.31</v>
      </c>
      <c r="F97" s="657">
        <v>2550</v>
      </c>
      <c r="G97" s="505">
        <v>306</v>
      </c>
      <c r="H97" s="553"/>
      <c r="I97" s="505">
        <v>2244</v>
      </c>
      <c r="J97" s="505">
        <v>0</v>
      </c>
      <c r="K97" s="506"/>
      <c r="L97" s="509"/>
      <c r="M97" s="525" t="s">
        <v>109</v>
      </c>
      <c r="N97" s="552">
        <v>67.11</v>
      </c>
      <c r="O97" s="658">
        <v>2035.43</v>
      </c>
      <c r="P97" s="549">
        <v>284.96019999999999</v>
      </c>
      <c r="Q97" s="505"/>
      <c r="R97" s="549">
        <v>1750.4698000000001</v>
      </c>
      <c r="S97" s="505">
        <v>0</v>
      </c>
      <c r="T97" s="506"/>
      <c r="U97" s="509"/>
      <c r="V97" s="507" t="s">
        <v>109</v>
      </c>
      <c r="W97" s="478"/>
      <c r="X97" s="478">
        <v>-514.56999999999994</v>
      </c>
      <c r="Y97" s="478">
        <v>-21.03980000000001</v>
      </c>
      <c r="Z97" s="478"/>
      <c r="AA97" s="478">
        <v>-493.53019999999992</v>
      </c>
      <c r="AB97" s="478">
        <v>0</v>
      </c>
      <c r="AC97" s="528"/>
      <c r="AD97" s="528"/>
      <c r="AG97" s="550" t="e">
        <f>P98/U98</f>
        <v>#DIV/0!</v>
      </c>
      <c r="AH97" s="505">
        <v>8.25</v>
      </c>
      <c r="AI97" s="505">
        <v>170.25</v>
      </c>
      <c r="AJ97" s="546">
        <f>AI97+AH97</f>
        <v>178.5</v>
      </c>
      <c r="AK97" s="528"/>
      <c r="AL97" s="528">
        <v>31</v>
      </c>
      <c r="AM97" s="549">
        <v>225</v>
      </c>
      <c r="AN97" s="546">
        <f>AM97+AL97</f>
        <v>256</v>
      </c>
      <c r="AO97" s="547">
        <f>AN97-AJ97</f>
        <v>77.5</v>
      </c>
    </row>
    <row r="98" spans="1:42" s="529" customFormat="1" ht="33" customHeight="1" x14ac:dyDescent="0.25">
      <c r="A98" s="531"/>
      <c r="B98" s="482">
        <v>4111201</v>
      </c>
      <c r="C98" s="495" t="s">
        <v>112</v>
      </c>
      <c r="D98" s="495" t="s">
        <v>109</v>
      </c>
      <c r="E98" s="554">
        <v>87.03</v>
      </c>
      <c r="F98" s="657">
        <v>1785</v>
      </c>
      <c r="G98" s="505">
        <v>214.2</v>
      </c>
      <c r="H98" s="553"/>
      <c r="I98" s="505">
        <v>1570.8</v>
      </c>
      <c r="J98" s="505">
        <v>0</v>
      </c>
      <c r="K98" s="506"/>
      <c r="L98" s="509"/>
      <c r="M98" s="525" t="s">
        <v>109</v>
      </c>
      <c r="N98" s="552">
        <v>61.210000000000008</v>
      </c>
      <c r="O98" s="658">
        <v>1747.81</v>
      </c>
      <c r="P98" s="549">
        <v>244.6934</v>
      </c>
      <c r="Q98" s="505"/>
      <c r="R98" s="549">
        <v>1503.1166000000001</v>
      </c>
      <c r="S98" s="505">
        <v>0</v>
      </c>
      <c r="T98" s="506"/>
      <c r="U98" s="509"/>
      <c r="V98" s="507" t="s">
        <v>109</v>
      </c>
      <c r="W98" s="478"/>
      <c r="X98" s="478">
        <v>-37.190000000000047</v>
      </c>
      <c r="Y98" s="478">
        <v>30.493400000000008</v>
      </c>
      <c r="Z98" s="478"/>
      <c r="AA98" s="478">
        <v>-67.683399999999892</v>
      </c>
      <c r="AB98" s="478">
        <v>0</v>
      </c>
      <c r="AC98" s="528"/>
      <c r="AD98" s="528"/>
      <c r="AG98" s="550" t="e">
        <f>P99/U99</f>
        <v>#DIV/0!</v>
      </c>
      <c r="AH98" s="505"/>
      <c r="AI98" s="505"/>
      <c r="AJ98" s="546"/>
      <c r="AK98" s="528"/>
      <c r="AL98" s="528"/>
      <c r="AM98" s="549"/>
      <c r="AN98" s="546"/>
      <c r="AO98" s="547"/>
    </row>
    <row r="99" spans="1:42" s="529" customFormat="1" ht="20.25" customHeight="1" x14ac:dyDescent="0.25">
      <c r="A99" s="531"/>
      <c r="B99" s="482">
        <v>4111201</v>
      </c>
      <c r="C99" s="495" t="s">
        <v>113</v>
      </c>
      <c r="D99" s="495" t="s">
        <v>109</v>
      </c>
      <c r="E99" s="554">
        <v>263.24</v>
      </c>
      <c r="F99" s="659">
        <v>11952.5</v>
      </c>
      <c r="G99" s="505">
        <v>1434.3</v>
      </c>
      <c r="H99" s="553"/>
      <c r="I99" s="505">
        <v>10518.2</v>
      </c>
      <c r="J99" s="505">
        <v>0</v>
      </c>
      <c r="K99" s="506"/>
      <c r="L99" s="509"/>
      <c r="M99" s="525" t="s">
        <v>109</v>
      </c>
      <c r="N99" s="662">
        <v>261.65300000000002</v>
      </c>
      <c r="O99" s="660">
        <v>19669.71</v>
      </c>
      <c r="P99" s="663">
        <v>6805.8481999999976</v>
      </c>
      <c r="Q99" s="659"/>
      <c r="R99" s="663">
        <v>12863.861800000001</v>
      </c>
      <c r="S99" s="505">
        <v>0</v>
      </c>
      <c r="T99" s="506"/>
      <c r="U99" s="509"/>
      <c r="V99" s="507" t="s">
        <v>109</v>
      </c>
      <c r="W99" s="478"/>
      <c r="X99" s="478">
        <v>7717.2099999999991</v>
      </c>
      <c r="Y99" s="478">
        <v>5371.5481999999975</v>
      </c>
      <c r="Z99" s="478"/>
      <c r="AA99" s="478">
        <v>2345.6617999999999</v>
      </c>
      <c r="AB99" s="478">
        <v>0</v>
      </c>
      <c r="AC99" s="528"/>
      <c r="AD99" s="528"/>
      <c r="AG99" s="550" t="e">
        <f>#REF!/#REF!</f>
        <v>#REF!</v>
      </c>
      <c r="AH99" s="505"/>
      <c r="AI99" s="505"/>
      <c r="AJ99" s="546"/>
      <c r="AK99" s="528"/>
      <c r="AL99" s="528"/>
      <c r="AM99" s="549"/>
      <c r="AN99" s="546"/>
      <c r="AO99" s="547"/>
    </row>
    <row r="100" spans="1:42" s="529" customFormat="1" ht="18" customHeight="1" x14ac:dyDescent="0.25">
      <c r="A100" s="531"/>
      <c r="B100" s="482">
        <v>4111201</v>
      </c>
      <c r="C100" s="495" t="s">
        <v>114</v>
      </c>
      <c r="D100" s="542" t="s">
        <v>77</v>
      </c>
      <c r="E100" s="554">
        <v>8</v>
      </c>
      <c r="F100" s="657">
        <v>166</v>
      </c>
      <c r="G100" s="505">
        <v>19.920000000000002</v>
      </c>
      <c r="H100" s="553"/>
      <c r="I100" s="505">
        <v>146.08000000000001</v>
      </c>
      <c r="J100" s="505">
        <v>0</v>
      </c>
      <c r="K100" s="506"/>
      <c r="L100" s="509"/>
      <c r="M100" s="542" t="s">
        <v>77</v>
      </c>
      <c r="N100" s="543">
        <v>7</v>
      </c>
      <c r="O100" s="658">
        <v>160.79</v>
      </c>
      <c r="P100" s="549">
        <v>22.5106</v>
      </c>
      <c r="Q100" s="505"/>
      <c r="R100" s="549">
        <v>138.27940000000001</v>
      </c>
      <c r="S100" s="505">
        <v>0</v>
      </c>
      <c r="T100" s="506"/>
      <c r="U100" s="509"/>
      <c r="V100" s="507" t="s">
        <v>77</v>
      </c>
      <c r="W100" s="478"/>
      <c r="X100" s="478">
        <v>-5.210000000000008</v>
      </c>
      <c r="Y100" s="478">
        <v>2.590599999999998</v>
      </c>
      <c r="Z100" s="478"/>
      <c r="AA100" s="478">
        <v>-7.8006000000000029</v>
      </c>
      <c r="AB100" s="478">
        <v>0</v>
      </c>
      <c r="AC100" s="528"/>
      <c r="AD100" s="528"/>
      <c r="AG100" s="550" t="e">
        <f>#REF!/#REF!</f>
        <v>#REF!</v>
      </c>
      <c r="AH100" s="505">
        <v>8.25</v>
      </c>
      <c r="AI100" s="505">
        <v>170.25</v>
      </c>
      <c r="AJ100" s="546">
        <f>AI100+AH100</f>
        <v>178.5</v>
      </c>
      <c r="AK100" s="528"/>
      <c r="AL100" s="528">
        <v>31</v>
      </c>
      <c r="AM100" s="549">
        <v>225</v>
      </c>
      <c r="AN100" s="546">
        <f>AM100+AL100</f>
        <v>256</v>
      </c>
      <c r="AO100" s="547">
        <f>AN100-AJ100</f>
        <v>77.5</v>
      </c>
    </row>
    <row r="101" spans="1:42" s="529" customFormat="1" ht="18" customHeight="1" x14ac:dyDescent="0.25">
      <c r="A101" s="531"/>
      <c r="B101" s="482">
        <v>4111201</v>
      </c>
      <c r="C101" s="495" t="s">
        <v>115</v>
      </c>
      <c r="D101" s="542" t="s">
        <v>77</v>
      </c>
      <c r="E101" s="554"/>
      <c r="F101" s="505">
        <v>0</v>
      </c>
      <c r="G101" s="505">
        <v>0</v>
      </c>
      <c r="H101" s="553"/>
      <c r="I101" s="505">
        <v>0</v>
      </c>
      <c r="J101" s="505">
        <v>0</v>
      </c>
      <c r="K101" s="506"/>
      <c r="L101" s="509"/>
      <c r="M101" s="542" t="s">
        <v>77</v>
      </c>
      <c r="N101" s="543">
        <v>5</v>
      </c>
      <c r="O101" s="548">
        <v>225</v>
      </c>
      <c r="P101" s="549">
        <v>31.5</v>
      </c>
      <c r="Q101" s="505"/>
      <c r="R101" s="549">
        <v>193.5</v>
      </c>
      <c r="S101" s="505">
        <v>0</v>
      </c>
      <c r="T101" s="506"/>
      <c r="U101" s="509"/>
      <c r="V101" s="507" t="s">
        <v>77</v>
      </c>
      <c r="W101" s="478"/>
      <c r="X101" s="478">
        <v>225</v>
      </c>
      <c r="Y101" s="478">
        <v>31.5</v>
      </c>
      <c r="Z101" s="478"/>
      <c r="AA101" s="478">
        <v>193.5</v>
      </c>
      <c r="AB101" s="478">
        <v>0</v>
      </c>
      <c r="AC101" s="528"/>
      <c r="AD101" s="528"/>
      <c r="AG101" s="550"/>
      <c r="AH101" s="505"/>
      <c r="AI101" s="505"/>
      <c r="AJ101" s="546"/>
      <c r="AK101" s="528"/>
      <c r="AL101" s="528"/>
      <c r="AM101" s="549"/>
      <c r="AN101" s="546"/>
      <c r="AO101" s="547"/>
    </row>
    <row r="102" spans="1:42" s="529" customFormat="1" ht="18" customHeight="1" x14ac:dyDescent="0.25">
      <c r="A102" s="531"/>
      <c r="B102" s="482">
        <v>4111201</v>
      </c>
      <c r="C102" s="495" t="s">
        <v>116</v>
      </c>
      <c r="D102" s="542" t="s">
        <v>77</v>
      </c>
      <c r="E102" s="554">
        <v>60</v>
      </c>
      <c r="F102" s="505">
        <v>1380</v>
      </c>
      <c r="G102" s="505">
        <v>165.6</v>
      </c>
      <c r="H102" s="553"/>
      <c r="I102" s="505">
        <v>1214.4000000000001</v>
      </c>
      <c r="J102" s="505">
        <v>0</v>
      </c>
      <c r="K102" s="506"/>
      <c r="L102" s="509"/>
      <c r="M102" s="542" t="s">
        <v>77</v>
      </c>
      <c r="N102" s="478">
        <v>30</v>
      </c>
      <c r="O102" s="548">
        <v>1050</v>
      </c>
      <c r="P102" s="549">
        <v>147</v>
      </c>
      <c r="Q102" s="505"/>
      <c r="R102" s="549">
        <v>903</v>
      </c>
      <c r="S102" s="505">
        <v>0</v>
      </c>
      <c r="T102" s="506"/>
      <c r="U102" s="509"/>
      <c r="V102" s="507" t="s">
        <v>77</v>
      </c>
      <c r="W102" s="478"/>
      <c r="X102" s="478">
        <v>-330</v>
      </c>
      <c r="Y102" s="478">
        <v>-18.599999999999991</v>
      </c>
      <c r="Z102" s="478"/>
      <c r="AA102" s="478">
        <v>-311.40000000000009</v>
      </c>
      <c r="AB102" s="478">
        <v>0</v>
      </c>
      <c r="AC102" s="528"/>
      <c r="AD102" s="528"/>
      <c r="AH102" s="505">
        <v>726.6</v>
      </c>
      <c r="AI102" s="505">
        <v>14031.95</v>
      </c>
      <c r="AJ102" s="546">
        <f>AI102+AH102</f>
        <v>14758.550000000001</v>
      </c>
      <c r="AK102" s="528"/>
      <c r="AL102" s="528">
        <v>2526</v>
      </c>
      <c r="AM102" s="549">
        <v>18527</v>
      </c>
      <c r="AN102" s="546">
        <f>AM102+AL102</f>
        <v>21053</v>
      </c>
      <c r="AO102" s="547">
        <f>AN102-AJ102</f>
        <v>6294.4499999999989</v>
      </c>
    </row>
    <row r="103" spans="1:42" s="529" customFormat="1" ht="20.100000000000001" customHeight="1" x14ac:dyDescent="0.25">
      <c r="A103" s="555"/>
      <c r="B103" s="482">
        <v>4111201</v>
      </c>
      <c r="C103" s="495" t="s">
        <v>117</v>
      </c>
      <c r="D103" s="495" t="s">
        <v>118</v>
      </c>
      <c r="E103" s="535" t="s">
        <v>86</v>
      </c>
      <c r="F103" s="505">
        <v>200</v>
      </c>
      <c r="G103" s="505">
        <v>200</v>
      </c>
      <c r="H103" s="553"/>
      <c r="I103" s="505">
        <v>0</v>
      </c>
      <c r="J103" s="505">
        <v>0</v>
      </c>
      <c r="K103" s="506"/>
      <c r="L103" s="509"/>
      <c r="M103" s="525" t="s">
        <v>118</v>
      </c>
      <c r="N103" s="478">
        <v>1</v>
      </c>
      <c r="O103" s="548">
        <v>100</v>
      </c>
      <c r="P103" s="549">
        <v>100</v>
      </c>
      <c r="Q103" s="505"/>
      <c r="R103" s="549">
        <v>0</v>
      </c>
      <c r="S103" s="505">
        <v>0</v>
      </c>
      <c r="T103" s="506"/>
      <c r="U103" s="509"/>
      <c r="V103" s="507" t="s">
        <v>118</v>
      </c>
      <c r="W103" s="478"/>
      <c r="X103" s="478">
        <v>-100</v>
      </c>
      <c r="Y103" s="478">
        <v>-100</v>
      </c>
      <c r="Z103" s="478"/>
      <c r="AA103" s="478">
        <v>0</v>
      </c>
      <c r="AB103" s="478">
        <v>0</v>
      </c>
      <c r="AC103" s="528"/>
      <c r="AD103" s="528"/>
      <c r="AG103" s="556"/>
      <c r="AH103" s="504" t="e">
        <f>SUM(AH87:AH102)</f>
        <v>#REF!</v>
      </c>
      <c r="AI103" s="504" t="e">
        <f>SUM(AI87:AI102)</f>
        <v>#REF!</v>
      </c>
      <c r="AJ103" s="504" t="e">
        <f>SUM(AJ87:AJ102)</f>
        <v>#REF!</v>
      </c>
      <c r="AK103" s="527"/>
      <c r="AL103" s="504">
        <f>SUM(AL87:AL102)</f>
        <v>6889</v>
      </c>
      <c r="AM103" s="504">
        <f>SUM(AM87:AM102)</f>
        <v>50521.36</v>
      </c>
      <c r="AN103" s="504">
        <f>SUM(AN87:AN102)</f>
        <v>57410.36</v>
      </c>
      <c r="AO103" s="504" t="e">
        <f>SUM(AO87:AO102)</f>
        <v>#REF!</v>
      </c>
      <c r="AP103" s="556"/>
    </row>
    <row r="104" spans="1:42" s="58" customFormat="1" ht="20.100000000000001" customHeight="1" x14ac:dyDescent="0.25">
      <c r="A104" s="838" t="s">
        <v>119</v>
      </c>
      <c r="B104" s="808"/>
      <c r="C104" s="820"/>
      <c r="D104" s="65"/>
      <c r="E104" s="64"/>
      <c r="F104" s="726">
        <f>SUM(F68:F69,F71,F73:F74,F76:F78,F80:F83,F84:F85,F87,F90,F92,F93,F94,F96:F103)</f>
        <v>78430.720000000001</v>
      </c>
      <c r="G104" s="726">
        <f>SUM(G68:G69,G71,G73:G74,G76:G78,G80:G85,G87,G90,G92:G94,G96:G103)</f>
        <v>31645.959999999995</v>
      </c>
      <c r="H104" s="726"/>
      <c r="I104" s="726">
        <f>SUM(I68:I69,I71,I73:I74,I76:I78,I80:I85,I87,I90,I92:I94,I96:I103)</f>
        <v>46784.76</v>
      </c>
      <c r="J104" s="726">
        <f>SUM(J68:J69,J71,J73:J74,J76:J78,J80:J85,J87,J90,J92:J94,J96:J103)</f>
        <v>0</v>
      </c>
      <c r="K104" s="63"/>
      <c r="L104" s="63"/>
      <c r="M104" s="62"/>
      <c r="N104" s="61"/>
      <c r="O104" s="726">
        <f>SUM(O68:O69,O71,O73:O74,O76:O78,O80:O85,O87,O90,O92:O94,O96:O103)</f>
        <v>80613.559999999983</v>
      </c>
      <c r="P104" s="726">
        <f>SUM(P68:P69,P71,P73:P74,P76:P78,P80:P85,P87,P90,P92:P94,P96:P103)</f>
        <v>33528.896399999998</v>
      </c>
      <c r="Q104" s="726"/>
      <c r="R104" s="726">
        <f>SUM(R68:R69,R71,R73:R74,R76:R78,R80:R85,R87,R90,R92:R94,R96:R103)</f>
        <v>47084.663599999993</v>
      </c>
      <c r="S104" s="726">
        <f>SUM(S68:S69,S71,S73:S74,S76:S78,S80:S85,S87,S90,S92:S94,S96:S103)</f>
        <v>0</v>
      </c>
      <c r="T104" s="63"/>
      <c r="U104" s="60"/>
      <c r="V104" s="728"/>
      <c r="W104" s="708"/>
      <c r="X104" s="726">
        <f>SUM(X68:X69,X71,X73:X74,X76:X78,X80:X85,X87,X90,X92:X94,X96:X103)</f>
        <v>2182.840000000002</v>
      </c>
      <c r="Y104" s="726">
        <f>SUM(Y68:Y69,Y71,Y73:Y74,Y76:Y78,Y80:Y85,Y87,Y90,Y92:Y94,Y96:Y103)</f>
        <v>1882.9363999999982</v>
      </c>
      <c r="Z104" s="726"/>
      <c r="AA104" s="726">
        <f>SUM(AA68:AA69,AA71,AA73:AA74,AA76:AA78,AA80:AA85,AA87,AA90,AA92:AA94,AA96:AA103)</f>
        <v>299.90359999999851</v>
      </c>
      <c r="AB104" s="726">
        <f>SUM(AB68:AB69,AB71,AB73:AB74,AB76:AB78,AB80:AB85,AB87,AB90,AB92:AB94,AB96:AB103)</f>
        <v>0</v>
      </c>
      <c r="AC104" s="59"/>
      <c r="AD104" s="59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</row>
    <row r="105" spans="1:42" s="34" customFormat="1" ht="15.75" customHeight="1" x14ac:dyDescent="0.25">
      <c r="A105" s="838" t="s">
        <v>120</v>
      </c>
      <c r="B105" s="808"/>
      <c r="C105" s="820"/>
      <c r="D105" s="52"/>
      <c r="E105" s="57"/>
      <c r="F105" s="459">
        <f>SUM(F57+F104)</f>
        <v>97204.86</v>
      </c>
      <c r="G105" s="726">
        <f>SUM(G57+G104)</f>
        <v>38218.14</v>
      </c>
      <c r="H105" s="726"/>
      <c r="I105" s="726">
        <f>SUM(I57+I104)</f>
        <v>51085.32</v>
      </c>
      <c r="J105" s="726">
        <f>SUM(J57+J104)</f>
        <v>7901.4</v>
      </c>
      <c r="K105" s="54"/>
      <c r="L105" s="56"/>
      <c r="M105" s="55"/>
      <c r="N105" s="37"/>
      <c r="O105" s="726">
        <f>SUM(O57+O104)</f>
        <v>99714.489999999991</v>
      </c>
      <c r="P105" s="726">
        <f>SUM(P57+P104)</f>
        <v>40268.39</v>
      </c>
      <c r="Q105" s="726"/>
      <c r="R105" s="726">
        <f>SUM(R57+R104)</f>
        <v>51544.69999999999</v>
      </c>
      <c r="S105" s="726">
        <f>SUM(S57+S104)</f>
        <v>7901.4</v>
      </c>
      <c r="T105" s="54"/>
      <c r="U105" s="53"/>
      <c r="V105" s="728"/>
      <c r="W105" s="726"/>
      <c r="X105" s="726">
        <f>SUM(X57+X104)</f>
        <v>2509.6300000000015</v>
      </c>
      <c r="Y105" s="726">
        <f>SUM(Y57+Y104)</f>
        <v>2050.2499999999982</v>
      </c>
      <c r="Z105" s="726"/>
      <c r="AA105" s="726">
        <f>SUM(AA57+AA104)</f>
        <v>459.37999999999852</v>
      </c>
      <c r="AB105" s="726">
        <f>SUM(AB57+AB104)</f>
        <v>0</v>
      </c>
      <c r="AC105" s="35"/>
      <c r="AD105" s="35"/>
    </row>
    <row r="106" spans="1:42" s="34" customFormat="1" ht="16.5" customHeight="1" x14ac:dyDescent="0.25">
      <c r="A106" s="35"/>
      <c r="B106" s="619">
        <v>0</v>
      </c>
      <c r="C106" s="419" t="s">
        <v>121</v>
      </c>
      <c r="D106" s="52" t="s">
        <v>122</v>
      </c>
      <c r="E106" s="44" t="s">
        <v>61</v>
      </c>
      <c r="F106" s="726">
        <v>258</v>
      </c>
      <c r="G106" s="726">
        <v>100</v>
      </c>
      <c r="H106" s="726"/>
      <c r="I106" s="726">
        <v>158</v>
      </c>
      <c r="J106" s="726">
        <v>0</v>
      </c>
      <c r="K106" s="51"/>
      <c r="L106" s="50"/>
      <c r="M106" s="49" t="s">
        <v>122</v>
      </c>
      <c r="N106" s="118" t="s">
        <v>61</v>
      </c>
      <c r="O106" s="726">
        <v>49.51</v>
      </c>
      <c r="P106" s="726">
        <v>49.51</v>
      </c>
      <c r="Q106" s="726"/>
      <c r="R106" s="726">
        <v>0</v>
      </c>
      <c r="S106" s="726">
        <v>0</v>
      </c>
      <c r="T106" s="51"/>
      <c r="U106" s="47"/>
      <c r="V106" s="706" t="s">
        <v>122</v>
      </c>
      <c r="W106" s="709"/>
      <c r="X106" s="726">
        <v>-208.49</v>
      </c>
      <c r="Y106" s="726">
        <v>-50.49</v>
      </c>
      <c r="Z106" s="726"/>
      <c r="AA106" s="726">
        <v>-158</v>
      </c>
      <c r="AB106" s="726">
        <v>0</v>
      </c>
      <c r="AC106" s="46"/>
      <c r="AD106" s="46"/>
    </row>
    <row r="107" spans="1:42" s="746" customFormat="1" ht="20.100000000000001" customHeight="1" x14ac:dyDescent="0.25">
      <c r="A107" s="90"/>
      <c r="B107" s="619">
        <v>0</v>
      </c>
      <c r="C107" s="419" t="s">
        <v>123</v>
      </c>
      <c r="D107" s="45" t="s">
        <v>122</v>
      </c>
      <c r="E107" s="44" t="s">
        <v>61</v>
      </c>
      <c r="F107" s="726">
        <v>402.14</v>
      </c>
      <c r="G107" s="726">
        <v>100.76</v>
      </c>
      <c r="H107" s="726"/>
      <c r="I107" s="726">
        <v>301.38</v>
      </c>
      <c r="J107" s="726">
        <v>0</v>
      </c>
      <c r="K107" s="43"/>
      <c r="L107" s="43"/>
      <c r="M107" s="67" t="s">
        <v>122</v>
      </c>
      <c r="N107" s="118" t="s">
        <v>61</v>
      </c>
      <c r="O107" s="726">
        <v>10</v>
      </c>
      <c r="P107" s="726">
        <v>10</v>
      </c>
      <c r="Q107" s="726"/>
      <c r="R107" s="726">
        <v>0</v>
      </c>
      <c r="S107" s="726">
        <v>0</v>
      </c>
      <c r="T107" s="43"/>
      <c r="U107" s="113"/>
      <c r="V107" s="707" t="s">
        <v>122</v>
      </c>
      <c r="W107" s="118"/>
      <c r="X107" s="726">
        <v>-392.14</v>
      </c>
      <c r="Y107" s="726">
        <v>-90.76</v>
      </c>
      <c r="Z107" s="726"/>
      <c r="AA107" s="726">
        <v>-301.38</v>
      </c>
      <c r="AB107" s="726">
        <v>0</v>
      </c>
      <c r="AC107" s="90"/>
      <c r="AD107" s="90"/>
    </row>
    <row r="108" spans="1:42" s="34" customFormat="1" ht="20.25" customHeight="1" x14ac:dyDescent="0.25">
      <c r="A108" s="41" t="s">
        <v>72</v>
      </c>
      <c r="B108" s="159"/>
      <c r="C108" s="39" t="s">
        <v>124</v>
      </c>
      <c r="D108" s="38"/>
      <c r="E108" s="38"/>
      <c r="F108" s="726">
        <f>SUM(F105,F106:F107)</f>
        <v>97865</v>
      </c>
      <c r="G108" s="726">
        <f>SUM(G105,G106:G107)</f>
        <v>38418.9</v>
      </c>
      <c r="H108" s="726"/>
      <c r="I108" s="726">
        <f>SUM(I105,I106:I107)</f>
        <v>51544.7</v>
      </c>
      <c r="J108" s="726">
        <f>SUM(J105,J106:J107)</f>
        <v>7901.4</v>
      </c>
      <c r="K108" s="54"/>
      <c r="L108" s="54"/>
      <c r="M108" s="728"/>
      <c r="N108" s="37"/>
      <c r="O108" s="726">
        <f>SUM(O105,O106:O107)</f>
        <v>99773.999999999985</v>
      </c>
      <c r="P108" s="726">
        <f>SUM(P105,P106:P107)</f>
        <v>40327.9</v>
      </c>
      <c r="Q108" s="726"/>
      <c r="R108" s="726">
        <f>SUM(R105,R106:R107)</f>
        <v>51544.69999999999</v>
      </c>
      <c r="S108" s="726">
        <f>SUM(S105,S106:S107)</f>
        <v>7901.4</v>
      </c>
      <c r="T108" s="36"/>
      <c r="U108" s="56"/>
      <c r="V108" s="728"/>
      <c r="W108" s="726"/>
      <c r="X108" s="726">
        <f>SUM(X105:X107)</f>
        <v>1909.0000000000014</v>
      </c>
      <c r="Y108" s="726">
        <f>SUM(Y105:Y107)</f>
        <v>1908.9999999999982</v>
      </c>
      <c r="Z108" s="726"/>
      <c r="AA108" s="726">
        <f>SUM(AA105:AA107)</f>
        <v>-1.4779288903810084E-12</v>
      </c>
      <c r="AB108" s="726">
        <f>SUM(AB105:AB107)</f>
        <v>0</v>
      </c>
      <c r="AC108" s="35"/>
      <c r="AD108" s="35"/>
    </row>
    <row r="109" spans="1:42" s="32" customFormat="1" ht="13.5" customHeight="1" x14ac:dyDescent="0.25">
      <c r="A109" s="32" t="s">
        <v>125</v>
      </c>
      <c r="B109" s="33"/>
      <c r="D109" s="31"/>
      <c r="E109" s="31"/>
      <c r="F109" s="31"/>
      <c r="G109" s="30"/>
      <c r="H109" s="33"/>
      <c r="I109" s="30"/>
      <c r="J109" s="33"/>
      <c r="K109" s="33"/>
      <c r="L109" s="33"/>
      <c r="M109" s="29"/>
      <c r="N109" s="29"/>
      <c r="O109" s="29"/>
      <c r="P109" s="30"/>
      <c r="Q109" s="33"/>
      <c r="R109" s="30"/>
      <c r="S109" s="452"/>
      <c r="T109" s="33"/>
      <c r="U109" s="29"/>
      <c r="V109" s="29"/>
      <c r="W109" s="30"/>
      <c r="X109" s="33"/>
      <c r="Y109" s="30"/>
      <c r="Z109" s="33"/>
      <c r="AA109" s="29"/>
    </row>
    <row r="110" spans="1:42" ht="12.75" customHeight="1" x14ac:dyDescent="0.2">
      <c r="A110" s="16"/>
      <c r="B110" s="16"/>
      <c r="C110" s="16"/>
      <c r="D110" s="15"/>
      <c r="E110" s="15"/>
      <c r="F110" s="15"/>
      <c r="G110" s="24"/>
      <c r="H110" s="24"/>
      <c r="I110" s="27"/>
      <c r="J110" s="26"/>
      <c r="K110" s="26"/>
      <c r="L110" s="26"/>
      <c r="M110" s="28"/>
      <c r="N110" s="28"/>
      <c r="O110" s="28"/>
      <c r="P110" s="24"/>
      <c r="Q110" s="24"/>
      <c r="R110" s="27"/>
      <c r="S110" s="26"/>
      <c r="T110" s="26"/>
      <c r="U110" s="28"/>
      <c r="V110" s="28"/>
      <c r="W110" s="24"/>
      <c r="X110" s="24"/>
      <c r="Y110" s="27"/>
      <c r="Z110" s="26"/>
      <c r="AA110" s="28"/>
    </row>
    <row r="111" spans="1:42" ht="5.25" customHeight="1" x14ac:dyDescent="0.2">
      <c r="A111" s="24"/>
      <c r="B111" s="24"/>
      <c r="C111" s="16"/>
      <c r="D111" s="15"/>
      <c r="E111" s="15"/>
      <c r="F111" s="15"/>
      <c r="G111" s="24"/>
      <c r="H111" s="24"/>
      <c r="I111" s="24"/>
      <c r="J111" s="24"/>
      <c r="K111" s="24"/>
      <c r="L111" s="24"/>
      <c r="M111" s="25"/>
      <c r="N111" s="25"/>
      <c r="O111" s="25"/>
      <c r="P111" s="24"/>
      <c r="Q111" s="24"/>
      <c r="R111" s="24"/>
      <c r="S111" s="24"/>
      <c r="T111" s="24"/>
      <c r="U111" s="25"/>
      <c r="V111" s="25"/>
      <c r="W111" s="24"/>
      <c r="X111" s="24"/>
      <c r="Y111" s="24"/>
      <c r="Z111" s="24"/>
      <c r="AA111" s="25"/>
    </row>
    <row r="112" spans="1:42" ht="15.75" customHeight="1" x14ac:dyDescent="0.25">
      <c r="A112" s="836"/>
      <c r="B112" s="797"/>
      <c r="C112" s="797"/>
      <c r="D112" s="797"/>
      <c r="E112" s="797"/>
      <c r="F112" s="797"/>
      <c r="G112" s="800"/>
      <c r="H112" s="797"/>
      <c r="I112" s="797"/>
      <c r="J112" s="797"/>
      <c r="K112" s="797"/>
      <c r="L112" s="797"/>
      <c r="M112" s="719"/>
      <c r="N112" s="719"/>
      <c r="O112" s="719"/>
      <c r="P112" s="23"/>
      <c r="U112" s="720"/>
      <c r="V112" s="719"/>
      <c r="W112" s="23"/>
      <c r="AA112" s="720"/>
    </row>
    <row r="113" spans="1:27" ht="21" customHeight="1" x14ac:dyDescent="0.25">
      <c r="A113" s="16"/>
      <c r="B113" s="16"/>
      <c r="C113" s="16"/>
      <c r="D113" s="15"/>
      <c r="E113" s="15" t="s">
        <v>126</v>
      </c>
      <c r="F113" s="4">
        <f>SUM(F90:F102)+F54</f>
        <v>53527</v>
      </c>
      <c r="G113" s="4">
        <f>SUM(G90:G102)+G54</f>
        <v>6423.2400000000007</v>
      </c>
      <c r="H113" s="17"/>
      <c r="I113" s="4">
        <f>SUM(I90:I102)+I54</f>
        <v>47103.76</v>
      </c>
      <c r="M113" s="745"/>
      <c r="N113" s="745"/>
      <c r="O113" s="4">
        <f>SUM(O90:O102)+O54</f>
        <v>59865.58</v>
      </c>
      <c r="P113" s="4">
        <f>SUM(P90:P102)+P54</f>
        <v>12433.269999999999</v>
      </c>
      <c r="Q113" s="17"/>
      <c r="R113" s="4">
        <f>SUM(R90:R102)+R54</f>
        <v>47432.30999999999</v>
      </c>
      <c r="U113" s="21">
        <f>SUM(U107:U107)</f>
        <v>0</v>
      </c>
      <c r="V113" s="745"/>
      <c r="W113" s="17"/>
      <c r="X113" s="4">
        <f>SUM(X90:X102)+X54</f>
        <v>6338.58</v>
      </c>
      <c r="Y113" s="4">
        <f>SUM(Y90:Y102)+Y54</f>
        <v>6010.0299999999988</v>
      </c>
      <c r="Z113" s="17"/>
      <c r="AA113" s="4">
        <f>SUM(AA90:AA102)+AA54</f>
        <v>328.54999999999853</v>
      </c>
    </row>
    <row r="114" spans="1:27" ht="15" customHeight="1" x14ac:dyDescent="0.25">
      <c r="A114" s="22"/>
      <c r="B114" s="22"/>
      <c r="C114" s="16"/>
      <c r="D114" s="15"/>
      <c r="E114" s="15"/>
      <c r="F114" s="15"/>
      <c r="G114" s="21"/>
      <c r="H114" s="17"/>
      <c r="I114" s="21"/>
      <c r="M114" s="21"/>
      <c r="N114" s="21"/>
      <c r="O114" s="21"/>
      <c r="P114" s="21"/>
      <c r="Q114" s="17"/>
      <c r="R114" s="21"/>
      <c r="V114" s="21"/>
      <c r="W114" s="21"/>
      <c r="X114" s="17"/>
      <c r="Y114" s="21"/>
      <c r="Z114" s="17"/>
      <c r="AA114" s="21"/>
    </row>
    <row r="115" spans="1:27" ht="15" customHeight="1" x14ac:dyDescent="0.25">
      <c r="A115" s="8"/>
      <c r="B115" s="8"/>
      <c r="C115" s="20"/>
      <c r="D115" s="19"/>
      <c r="E115" s="19" t="s">
        <v>127</v>
      </c>
      <c r="F115" s="18">
        <f>F99+F98+F97+F96+F94+F93+F92+F54+F90+F100+F102+F103</f>
        <v>53727</v>
      </c>
      <c r="G115" s="18">
        <f>G99+G98+G97+G96+G94+G93+G92+G54+G90+G100+G102+G103</f>
        <v>6623.2400000000007</v>
      </c>
      <c r="H115" s="17"/>
      <c r="I115" s="18">
        <f>I99+I98+I97+I96+I94+I93+I92+I54+I90+I100+I102+I103</f>
        <v>47103.76</v>
      </c>
      <c r="J115" s="17"/>
      <c r="K115" s="17"/>
      <c r="L115" s="17"/>
      <c r="M115" s="9"/>
      <c r="N115" s="19" t="s">
        <v>127</v>
      </c>
      <c r="O115" s="18">
        <f>O99+O98+O97+O96+O94+O93+O92+O54+O90+O100+O102+O103</f>
        <v>59740.579999999994</v>
      </c>
      <c r="P115" s="18">
        <f>P99+P98+P97+P96+P94+P93+P92+P54+P90+P100+P102+P103</f>
        <v>12501.769999999999</v>
      </c>
      <c r="Q115" s="17"/>
      <c r="R115" s="18">
        <f>R99+R98+R97+R96+R94+R93+R92+R54+R90+R100+R102+R103</f>
        <v>47238.81</v>
      </c>
      <c r="S115" s="17"/>
      <c r="T115" s="17"/>
      <c r="U115" s="21">
        <f>U99+U98+U97+U96+U94+U93+U92+U54</f>
        <v>0</v>
      </c>
      <c r="V115" s="9"/>
      <c r="W115" s="19" t="s">
        <v>127</v>
      </c>
      <c r="X115" s="18">
        <f>X99+X98+X97+X96+X94+X93+X92+X54+X90+X100+X102+X103</f>
        <v>6013.58</v>
      </c>
      <c r="Y115" s="18">
        <f>Y99+Y98+Y97+Y96+Y94+Y93+Y92+Y54+Y90+Y100+Y102+Y103</f>
        <v>5878.5299999999988</v>
      </c>
      <c r="Z115" s="17"/>
      <c r="AA115" s="18">
        <f>AA99+AA98+AA97+AA96+AA94+AA93+AA92+AA54+AA90+AA100+AA102+AA103</f>
        <v>135.04999999999814</v>
      </c>
    </row>
    <row r="116" spans="1:27" ht="15" customHeight="1" x14ac:dyDescent="0.25">
      <c r="A116" s="8"/>
      <c r="B116" s="8"/>
      <c r="C116" s="16" t="s">
        <v>72</v>
      </c>
      <c r="D116" s="15"/>
      <c r="E116" s="15"/>
      <c r="F116" s="15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" customHeight="1" x14ac:dyDescent="0.25">
      <c r="A117" s="8"/>
      <c r="B117" s="8"/>
      <c r="C117" s="16"/>
      <c r="D117" s="15"/>
      <c r="E117" s="15" t="s">
        <v>128</v>
      </c>
      <c r="F117" s="15"/>
      <c r="G117" s="21">
        <f>G115+G113</f>
        <v>13046.480000000001</v>
      </c>
      <c r="H117" s="17"/>
      <c r="I117" s="21">
        <f>I115+I113</f>
        <v>94207.52</v>
      </c>
      <c r="J117" s="17"/>
      <c r="K117" s="17"/>
      <c r="L117" s="17"/>
      <c r="M117" s="9"/>
      <c r="N117" s="9"/>
      <c r="O117" s="9"/>
      <c r="P117" s="21">
        <f>P115+P113</f>
        <v>24935.039999999997</v>
      </c>
      <c r="Q117" s="17"/>
      <c r="R117" s="21">
        <f>R115+R113</f>
        <v>94671.12</v>
      </c>
      <c r="S117" s="17"/>
      <c r="T117" s="17"/>
      <c r="U117" s="21">
        <f>U115+U122</f>
        <v>0</v>
      </c>
      <c r="V117" s="9"/>
      <c r="W117" s="17"/>
      <c r="X117" s="17"/>
      <c r="Y117" s="17"/>
      <c r="Z117" s="17"/>
      <c r="AA117" s="9"/>
    </row>
    <row r="118" spans="1:27" ht="15" customHeight="1" x14ac:dyDescent="0.25">
      <c r="A118" s="746"/>
      <c r="B118" s="746"/>
      <c r="C118" s="746"/>
      <c r="G118" s="745"/>
      <c r="H118" s="746"/>
      <c r="I118" s="746"/>
      <c r="J118" s="746"/>
      <c r="K118" s="746"/>
      <c r="L118" s="746"/>
      <c r="M118" s="9"/>
      <c r="N118" s="9"/>
      <c r="O118" s="9"/>
      <c r="P118" s="745"/>
      <c r="Q118" s="746"/>
      <c r="R118" s="9"/>
      <c r="S118" s="746"/>
      <c r="T118" s="746"/>
      <c r="U118" s="9"/>
      <c r="V118" s="9"/>
      <c r="W118" s="745"/>
      <c r="X118" s="746"/>
      <c r="Y118" s="746"/>
      <c r="Z118" s="746"/>
      <c r="AA118" s="9"/>
    </row>
    <row r="119" spans="1:27" ht="15" customHeight="1" x14ac:dyDescent="0.25">
      <c r="A119" s="746"/>
      <c r="B119" s="746"/>
      <c r="C119" s="14"/>
      <c r="D119" s="13"/>
      <c r="E119" s="13" t="s">
        <v>129</v>
      </c>
      <c r="F119" s="13"/>
      <c r="G119" s="12">
        <f>G108-G117</f>
        <v>25372.42</v>
      </c>
      <c r="H119" s="746"/>
      <c r="I119" s="11">
        <f>I32+I33+I34+I35</f>
        <v>3981.56</v>
      </c>
      <c r="J119" s="746"/>
      <c r="K119" s="746"/>
      <c r="L119" s="746"/>
      <c r="M119" s="9"/>
      <c r="N119" s="9"/>
      <c r="O119" s="9"/>
      <c r="P119" s="745"/>
      <c r="Q119" s="746"/>
      <c r="R119" s="11">
        <f>R32+R33+R34+R35</f>
        <v>4112.3900000000003</v>
      </c>
      <c r="S119" s="746"/>
      <c r="T119" s="746"/>
      <c r="U119" s="9"/>
      <c r="V119" s="9"/>
      <c r="W119" s="745"/>
      <c r="X119" s="746"/>
      <c r="Y119" s="746"/>
      <c r="Z119" s="746"/>
      <c r="AA119" s="9"/>
    </row>
    <row r="120" spans="1:27" ht="15" customHeight="1" x14ac:dyDescent="0.25">
      <c r="A120" s="746"/>
      <c r="B120" s="746"/>
      <c r="C120" s="746"/>
      <c r="G120" s="745"/>
      <c r="H120" s="746"/>
      <c r="I120" s="10">
        <f>I119+I117</f>
        <v>98189.08</v>
      </c>
      <c r="J120" s="746"/>
      <c r="K120" s="746"/>
      <c r="L120" s="746"/>
      <c r="M120" s="9"/>
      <c r="N120" s="9"/>
      <c r="O120" s="9"/>
      <c r="P120" s="745"/>
      <c r="Q120" s="746"/>
      <c r="R120" s="10">
        <f>R119+R117</f>
        <v>98783.51</v>
      </c>
      <c r="S120" s="746"/>
      <c r="T120" s="746"/>
      <c r="U120" s="9"/>
      <c r="V120" s="9"/>
      <c r="W120" s="745"/>
      <c r="X120" s="746"/>
      <c r="Y120" s="746"/>
      <c r="Z120" s="746"/>
      <c r="AA120" s="9"/>
    </row>
    <row r="121" spans="1:27" x14ac:dyDescent="0.25">
      <c r="R121" s="731"/>
    </row>
    <row r="122" spans="1:27" ht="15" customHeight="1" x14ac:dyDescent="0.2">
      <c r="J122" s="8" t="s">
        <v>130</v>
      </c>
      <c r="K122" s="8"/>
      <c r="L122" s="8"/>
      <c r="R122" s="8" t="s">
        <v>130</v>
      </c>
      <c r="S122" s="745">
        <f>U54+U92+U96+U97+U98</f>
        <v>0</v>
      </c>
      <c r="T122" s="745"/>
    </row>
    <row r="123" spans="1:27" ht="14.25" customHeight="1" x14ac:dyDescent="0.2">
      <c r="J123" s="8" t="s">
        <v>131</v>
      </c>
      <c r="K123" s="8"/>
      <c r="L123" s="8"/>
      <c r="R123" s="8" t="s">
        <v>131</v>
      </c>
      <c r="S123" s="7" t="e">
        <f>U93+U94+#REF!+U99+#REF!+#REF!+U100+#REF!</f>
        <v>#REF!</v>
      </c>
      <c r="T123" s="7"/>
    </row>
    <row r="124" spans="1:27" ht="29.25" customHeight="1" x14ac:dyDescent="0.25">
      <c r="C124" s="154"/>
      <c r="F124" s="6">
        <f>F33+F34+F35</f>
        <v>4253.43</v>
      </c>
      <c r="O124" s="6">
        <f>O33+O34+O35</f>
        <v>4537.9399999999996</v>
      </c>
      <c r="R124" s="6">
        <f>R33+R34+R35</f>
        <v>3993.3900000000003</v>
      </c>
      <c r="S124" s="11">
        <f>U102</f>
        <v>0</v>
      </c>
      <c r="T124" s="11"/>
    </row>
    <row r="125" spans="1:27" ht="27.75" customHeight="1" x14ac:dyDescent="0.25">
      <c r="C125" s="154"/>
      <c r="R125" s="731"/>
      <c r="S125" s="5" t="e">
        <f>SUM(S122:S124)</f>
        <v>#REF!</v>
      </c>
      <c r="T125" s="5"/>
    </row>
    <row r="126" spans="1:27" ht="26.1" customHeight="1" x14ac:dyDescent="0.25">
      <c r="C126" s="154"/>
      <c r="F126" s="6">
        <f>SUM(I90,I92,I93,I94,I96,I97,I98,I99,I100,I102)</f>
        <v>46784.76</v>
      </c>
      <c r="R126" s="731"/>
    </row>
    <row r="127" spans="1:27" ht="26.1" customHeight="1" x14ac:dyDescent="0.25">
      <c r="C127" s="154"/>
      <c r="G127" s="4"/>
      <c r="P127" s="4"/>
      <c r="R127" s="731"/>
      <c r="W127" s="4"/>
    </row>
    <row r="128" spans="1:27" s="3" customFormat="1" ht="26.1" customHeight="1" x14ac:dyDescent="0.25">
      <c r="A128" s="720"/>
      <c r="B128" s="720"/>
      <c r="C128" s="155"/>
      <c r="G128" s="4"/>
      <c r="M128" s="2"/>
      <c r="N128" s="2"/>
      <c r="O128" s="2"/>
      <c r="P128" s="4"/>
      <c r="R128" s="2"/>
      <c r="U128" s="2"/>
      <c r="V128" s="2"/>
      <c r="W128" s="4"/>
      <c r="AA128" s="2"/>
    </row>
    <row r="129" spans="1:27" s="3" customFormat="1" ht="26.1" customHeight="1" x14ac:dyDescent="0.25">
      <c r="C129" s="155"/>
      <c r="G129" s="4"/>
      <c r="M129" s="2"/>
      <c r="N129" s="2"/>
      <c r="O129" s="2" t="s">
        <v>72</v>
      </c>
      <c r="P129" s="4"/>
      <c r="U129" s="2"/>
      <c r="V129" s="2"/>
      <c r="W129" s="4"/>
      <c r="AA129" s="2"/>
    </row>
    <row r="130" spans="1:27" s="3" customFormat="1" x14ac:dyDescent="0.25">
      <c r="C130" s="155"/>
      <c r="G130" s="721"/>
      <c r="M130" s="2"/>
      <c r="N130" s="2"/>
      <c r="O130" s="2"/>
      <c r="P130" s="721"/>
      <c r="U130" s="2"/>
      <c r="V130" s="2"/>
      <c r="W130" s="721"/>
      <c r="AA130" s="2"/>
    </row>
    <row r="131" spans="1:27" ht="39" customHeight="1" x14ac:dyDescent="0.25">
      <c r="A131" s="3"/>
      <c r="B131" s="3"/>
      <c r="C131" s="154"/>
    </row>
    <row r="132" spans="1:27" ht="26.1" customHeight="1" x14ac:dyDescent="0.25">
      <c r="C132" s="154"/>
    </row>
    <row r="133" spans="1:27" ht="32.25" customHeight="1" x14ac:dyDescent="0.25">
      <c r="C133" s="154"/>
    </row>
    <row r="134" spans="1:27" ht="38.25" customHeight="1" x14ac:dyDescent="0.25">
      <c r="C134" s="154"/>
    </row>
    <row r="159" spans="9:27" x14ac:dyDescent="0.25">
      <c r="I159" s="721"/>
      <c r="J159" s="721"/>
      <c r="K159" s="721"/>
      <c r="L159" s="721"/>
      <c r="M159" s="1"/>
      <c r="N159" s="1"/>
      <c r="O159" s="1"/>
      <c r="R159" s="721"/>
      <c r="S159" s="721"/>
      <c r="T159" s="721"/>
      <c r="U159" s="1"/>
      <c r="V159" s="1"/>
      <c r="Y159" s="721"/>
      <c r="Z159" s="721"/>
      <c r="AA159" s="1"/>
    </row>
    <row r="160" spans="9:27" x14ac:dyDescent="0.25">
      <c r="I160" s="721"/>
      <c r="J160" s="721"/>
      <c r="K160" s="721"/>
      <c r="L160" s="721"/>
      <c r="M160" s="1"/>
      <c r="N160" s="1"/>
      <c r="O160" s="1"/>
      <c r="R160" s="721"/>
      <c r="S160" s="721"/>
      <c r="T160" s="721"/>
      <c r="U160" s="1"/>
      <c r="V160" s="1"/>
      <c r="Y160" s="721"/>
      <c r="Z160" s="721"/>
      <c r="AA160" s="1"/>
    </row>
    <row r="161" spans="9:27" x14ac:dyDescent="0.25">
      <c r="I161" s="721"/>
      <c r="J161" s="721"/>
      <c r="K161" s="721"/>
      <c r="L161" s="721"/>
      <c r="M161" s="1"/>
      <c r="N161" s="1"/>
      <c r="O161" s="1"/>
      <c r="R161" s="721"/>
      <c r="S161" s="721"/>
      <c r="T161" s="721"/>
      <c r="U161" s="1"/>
      <c r="V161" s="1"/>
      <c r="Y161" s="721"/>
      <c r="Z161" s="721"/>
      <c r="AA161" s="1"/>
    </row>
    <row r="162" spans="9:27" x14ac:dyDescent="0.25">
      <c r="I162" s="721"/>
      <c r="J162" s="721"/>
      <c r="K162" s="721"/>
      <c r="L162" s="721"/>
      <c r="M162" s="1"/>
      <c r="N162" s="1"/>
      <c r="O162" s="1"/>
      <c r="R162" s="721"/>
      <c r="S162" s="721"/>
      <c r="T162" s="721"/>
      <c r="U162" s="1"/>
      <c r="V162" s="1"/>
      <c r="Y162" s="721"/>
      <c r="Z162" s="721"/>
      <c r="AA162" s="1"/>
    </row>
    <row r="163" spans="9:27" x14ac:dyDescent="0.25">
      <c r="I163" s="721"/>
      <c r="J163" s="721"/>
      <c r="K163" s="721"/>
      <c r="L163" s="721"/>
      <c r="M163" s="1"/>
      <c r="N163" s="1"/>
      <c r="O163" s="1"/>
      <c r="R163" s="721"/>
      <c r="S163" s="721"/>
      <c r="T163" s="721"/>
      <c r="U163" s="1"/>
      <c r="V163" s="1"/>
      <c r="Y163" s="721"/>
      <c r="Z163" s="721"/>
      <c r="AA163" s="1"/>
    </row>
    <row r="164" spans="9:27" x14ac:dyDescent="0.25">
      <c r="I164" s="721"/>
      <c r="J164" s="721"/>
      <c r="K164" s="721"/>
      <c r="L164" s="721"/>
      <c r="M164" s="1"/>
      <c r="N164" s="1"/>
      <c r="O164" s="1"/>
      <c r="R164" s="721"/>
      <c r="S164" s="721"/>
      <c r="T164" s="721"/>
      <c r="U164" s="1"/>
      <c r="V164" s="1"/>
      <c r="Y164" s="721"/>
      <c r="Z164" s="721"/>
      <c r="AA164" s="1"/>
    </row>
    <row r="165" spans="9:27" x14ac:dyDescent="0.25">
      <c r="I165" s="721"/>
      <c r="J165" s="721"/>
      <c r="K165" s="721"/>
      <c r="L165" s="721"/>
      <c r="M165" s="1"/>
      <c r="N165" s="1"/>
      <c r="O165" s="1"/>
      <c r="R165" s="721"/>
      <c r="S165" s="721"/>
      <c r="T165" s="721"/>
      <c r="U165" s="1"/>
      <c r="V165" s="1"/>
      <c r="Y165" s="721"/>
      <c r="Z165" s="721"/>
      <c r="AA165" s="1"/>
    </row>
    <row r="166" spans="9:27" x14ac:dyDescent="0.25">
      <c r="I166" s="721"/>
      <c r="J166" s="721"/>
      <c r="K166" s="721"/>
      <c r="L166" s="721"/>
      <c r="M166" s="1"/>
      <c r="N166" s="1"/>
      <c r="O166" s="1"/>
      <c r="R166" s="721"/>
      <c r="S166" s="721"/>
      <c r="T166" s="721"/>
      <c r="U166" s="1"/>
      <c r="V166" s="1"/>
      <c r="Y166" s="721"/>
      <c r="Z166" s="721"/>
      <c r="AA166" s="1"/>
    </row>
    <row r="167" spans="9:27" x14ac:dyDescent="0.25">
      <c r="I167" s="721"/>
      <c r="J167" s="721"/>
      <c r="K167" s="721"/>
      <c r="L167" s="721"/>
      <c r="M167" s="1"/>
      <c r="N167" s="1"/>
      <c r="O167" s="1"/>
      <c r="R167" s="721"/>
      <c r="S167" s="721"/>
      <c r="T167" s="721"/>
      <c r="U167" s="1"/>
      <c r="V167" s="1"/>
      <c r="Y167" s="721"/>
      <c r="Z167" s="721"/>
      <c r="AA167" s="1"/>
    </row>
    <row r="168" spans="9:27" x14ac:dyDescent="0.25">
      <c r="I168" s="721"/>
      <c r="J168" s="721"/>
      <c r="K168" s="721"/>
      <c r="L168" s="721"/>
      <c r="M168" s="1"/>
      <c r="N168" s="1"/>
      <c r="O168" s="1"/>
      <c r="R168" s="721"/>
      <c r="S168" s="721"/>
      <c r="T168" s="721"/>
      <c r="U168" s="1"/>
      <c r="V168" s="1"/>
      <c r="Y168" s="721"/>
      <c r="Z168" s="721"/>
      <c r="AA168" s="1"/>
    </row>
    <row r="169" spans="9:27" x14ac:dyDescent="0.25">
      <c r="I169" s="721"/>
      <c r="J169" s="721"/>
      <c r="K169" s="721"/>
      <c r="L169" s="721"/>
      <c r="M169" s="1"/>
      <c r="N169" s="1"/>
      <c r="O169" s="1"/>
      <c r="R169" s="721"/>
      <c r="S169" s="721"/>
      <c r="T169" s="721"/>
      <c r="U169" s="1"/>
      <c r="V169" s="1"/>
      <c r="Y169" s="721"/>
      <c r="Z169" s="721"/>
      <c r="AA169" s="1"/>
    </row>
    <row r="170" spans="9:27" x14ac:dyDescent="0.25">
      <c r="I170" s="721"/>
      <c r="J170" s="721"/>
      <c r="K170" s="721"/>
      <c r="L170" s="721"/>
      <c r="M170" s="1"/>
      <c r="N170" s="1"/>
      <c r="O170" s="1"/>
      <c r="R170" s="721"/>
      <c r="S170" s="721"/>
      <c r="T170" s="721"/>
      <c r="U170" s="1"/>
      <c r="V170" s="1"/>
      <c r="Y170" s="721"/>
      <c r="Z170" s="721"/>
      <c r="AA170" s="1"/>
    </row>
    <row r="171" spans="9:27" x14ac:dyDescent="0.25">
      <c r="I171" s="721"/>
      <c r="J171" s="721"/>
      <c r="K171" s="721"/>
      <c r="L171" s="721"/>
      <c r="M171" s="1"/>
      <c r="N171" s="1"/>
      <c r="O171" s="1"/>
      <c r="R171" s="721"/>
      <c r="S171" s="721"/>
      <c r="T171" s="721"/>
      <c r="U171" s="1"/>
      <c r="V171" s="1"/>
      <c r="Y171" s="721"/>
      <c r="Z171" s="721"/>
      <c r="AA171" s="1"/>
    </row>
    <row r="172" spans="9:27" x14ac:dyDescent="0.25">
      <c r="I172" s="721"/>
      <c r="J172" s="721"/>
      <c r="K172" s="721"/>
      <c r="L172" s="721"/>
      <c r="M172" s="1"/>
      <c r="N172" s="1"/>
      <c r="O172" s="1"/>
      <c r="R172" s="721"/>
      <c r="S172" s="721"/>
      <c r="T172" s="721"/>
      <c r="U172" s="1"/>
      <c r="V172" s="1"/>
      <c r="Y172" s="721"/>
      <c r="Z172" s="721"/>
      <c r="AA172" s="1"/>
    </row>
    <row r="173" spans="9:27" x14ac:dyDescent="0.25">
      <c r="I173" s="721"/>
      <c r="J173" s="721"/>
      <c r="K173" s="721"/>
      <c r="L173" s="721"/>
      <c r="M173" s="1"/>
      <c r="N173" s="1"/>
      <c r="O173" s="1"/>
      <c r="R173" s="721"/>
      <c r="S173" s="721"/>
      <c r="T173" s="721"/>
      <c r="U173" s="1"/>
      <c r="V173" s="1"/>
      <c r="Y173" s="721"/>
      <c r="Z173" s="721"/>
      <c r="AA173" s="1"/>
    </row>
    <row r="174" spans="9:27" x14ac:dyDescent="0.25">
      <c r="I174" s="721"/>
      <c r="J174" s="721"/>
      <c r="K174" s="721"/>
      <c r="L174" s="721"/>
      <c r="M174" s="1"/>
      <c r="N174" s="1"/>
      <c r="O174" s="1"/>
      <c r="R174" s="721"/>
      <c r="S174" s="721"/>
      <c r="T174" s="721"/>
      <c r="U174" s="1"/>
      <c r="V174" s="1"/>
      <c r="Y174" s="721"/>
      <c r="Z174" s="721"/>
      <c r="AA174" s="1"/>
    </row>
    <row r="175" spans="9:27" x14ac:dyDescent="0.25">
      <c r="I175" s="721"/>
      <c r="J175" s="721"/>
      <c r="K175" s="721"/>
      <c r="L175" s="721"/>
      <c r="M175" s="1"/>
      <c r="N175" s="1"/>
      <c r="O175" s="1"/>
      <c r="R175" s="721"/>
      <c r="S175" s="721"/>
      <c r="T175" s="721"/>
      <c r="U175" s="1"/>
      <c r="V175" s="1"/>
      <c r="Y175" s="721"/>
      <c r="Z175" s="721"/>
      <c r="AA175" s="1"/>
    </row>
    <row r="176" spans="9:27" x14ac:dyDescent="0.25">
      <c r="I176" s="721"/>
      <c r="J176" s="721"/>
      <c r="K176" s="721"/>
      <c r="L176" s="721"/>
      <c r="M176" s="1"/>
      <c r="N176" s="1"/>
      <c r="O176" s="1"/>
      <c r="R176" s="721"/>
      <c r="S176" s="721"/>
      <c r="T176" s="721"/>
      <c r="U176" s="1"/>
      <c r="V176" s="1"/>
      <c r="Y176" s="721"/>
      <c r="Z176" s="721"/>
      <c r="AA176" s="1"/>
    </row>
    <row r="177" spans="9:27" x14ac:dyDescent="0.25">
      <c r="I177" s="721"/>
      <c r="J177" s="721"/>
      <c r="K177" s="721"/>
      <c r="L177" s="721"/>
      <c r="M177" s="1"/>
      <c r="N177" s="1"/>
      <c r="O177" s="1"/>
      <c r="R177" s="721"/>
      <c r="S177" s="721"/>
      <c r="T177" s="721"/>
      <c r="U177" s="1"/>
      <c r="V177" s="1"/>
      <c r="Y177" s="721"/>
      <c r="Z177" s="721"/>
      <c r="AA177" s="1"/>
    </row>
    <row r="12515" spans="3:28" ht="14.45" customHeight="1" x14ac:dyDescent="0.25">
      <c r="C12515" t="s">
        <v>113</v>
      </c>
      <c r="D12515" t="s">
        <v>109</v>
      </c>
      <c r="E12515">
        <v>263.24</v>
      </c>
      <c r="F12515">
        <v>11952.5</v>
      </c>
      <c r="G12515">
        <v>1434.3</v>
      </c>
      <c r="I12515">
        <v>10518.2</v>
      </c>
      <c r="J12515">
        <v>0</v>
      </c>
      <c r="M12515" t="s">
        <v>109</v>
      </c>
      <c r="N12515">
        <v>254.20699999999999</v>
      </c>
      <c r="O12515">
        <v>16526.21</v>
      </c>
      <c r="P12515">
        <v>4527.3990000000067</v>
      </c>
      <c r="R12515">
        <v>11998.810999999991</v>
      </c>
      <c r="S12515">
        <v>0</v>
      </c>
      <c r="V12515" t="s">
        <v>109</v>
      </c>
      <c r="W12515">
        <v>-9.0330000000000155</v>
      </c>
      <c r="X12515">
        <v>4573.71</v>
      </c>
      <c r="Y12515">
        <v>3093.099000000007</v>
      </c>
      <c r="AA12515">
        <v>1480.610999999994</v>
      </c>
      <c r="AB12515">
        <v>0</v>
      </c>
    </row>
  </sheetData>
  <mergeCells count="107">
    <mergeCell ref="S62:S63"/>
    <mergeCell ref="Z62:AA62"/>
    <mergeCell ref="AB62:AB63"/>
    <mergeCell ref="P61:P63"/>
    <mergeCell ref="Q61:S61"/>
    <mergeCell ref="T61:T63"/>
    <mergeCell ref="U61:U63"/>
    <mergeCell ref="A112:L112"/>
    <mergeCell ref="C79:AA79"/>
    <mergeCell ref="A86:A87"/>
    <mergeCell ref="C86:AA86"/>
    <mergeCell ref="C88:AA88"/>
    <mergeCell ref="A104:C104"/>
    <mergeCell ref="A105:C105"/>
    <mergeCell ref="C72:AA72"/>
    <mergeCell ref="C75:AA75"/>
    <mergeCell ref="X61:X63"/>
    <mergeCell ref="Y61:Y63"/>
    <mergeCell ref="C67:AA67"/>
    <mergeCell ref="C70:AA70"/>
    <mergeCell ref="B66:AA66"/>
    <mergeCell ref="A59:A63"/>
    <mergeCell ref="B59:B63"/>
    <mergeCell ref="C59:C63"/>
    <mergeCell ref="S57:S58"/>
    <mergeCell ref="X57:X58"/>
    <mergeCell ref="Y57:Y58"/>
    <mergeCell ref="AA57:AA58"/>
    <mergeCell ref="AB57:AB58"/>
    <mergeCell ref="V59:AD59"/>
    <mergeCell ref="F61:F63"/>
    <mergeCell ref="G61:G63"/>
    <mergeCell ref="H61:J61"/>
    <mergeCell ref="N60:N63"/>
    <mergeCell ref="O60:U60"/>
    <mergeCell ref="V60:V63"/>
    <mergeCell ref="W60:W63"/>
    <mergeCell ref="X60:AD60"/>
    <mergeCell ref="F60:L60"/>
    <mergeCell ref="M60:M63"/>
    <mergeCell ref="Z61:AB61"/>
    <mergeCell ref="AC61:AC63"/>
    <mergeCell ref="AD61:AD63"/>
    <mergeCell ref="D59:L59"/>
    <mergeCell ref="M59:U59"/>
    <mergeCell ref="M57:M58"/>
    <mergeCell ref="N57:N58"/>
    <mergeCell ref="O57:O58"/>
    <mergeCell ref="P57:P58"/>
    <mergeCell ref="R57:R58"/>
    <mergeCell ref="K61:K63"/>
    <mergeCell ref="L61:L63"/>
    <mergeCell ref="O61:O63"/>
    <mergeCell ref="D60:D63"/>
    <mergeCell ref="E60:E63"/>
    <mergeCell ref="A57:C58"/>
    <mergeCell ref="F57:F58"/>
    <mergeCell ref="G57:G58"/>
    <mergeCell ref="I57:I58"/>
    <mergeCell ref="J57:J58"/>
    <mergeCell ref="H62:I62"/>
    <mergeCell ref="J62:J63"/>
    <mergeCell ref="Q62:R62"/>
    <mergeCell ref="A11:A14"/>
    <mergeCell ref="B11:C11"/>
    <mergeCell ref="B45:C45"/>
    <mergeCell ref="W5:W8"/>
    <mergeCell ref="X5:AD5"/>
    <mergeCell ref="Z6:AB6"/>
    <mergeCell ref="AC6:AC8"/>
    <mergeCell ref="AD6:AD8"/>
    <mergeCell ref="H7:I7"/>
    <mergeCell ref="J7:J8"/>
    <mergeCell ref="Q7:R7"/>
    <mergeCell ref="S7:S8"/>
    <mergeCell ref="Z7:AA7"/>
    <mergeCell ref="AB7:AB8"/>
    <mergeCell ref="P6:P8"/>
    <mergeCell ref="Q6:S6"/>
    <mergeCell ref="T6:T8"/>
    <mergeCell ref="U6:U8"/>
    <mergeCell ref="X6:X8"/>
    <mergeCell ref="Y6:Y8"/>
    <mergeCell ref="S1:U1"/>
    <mergeCell ref="Z1:AA1"/>
    <mergeCell ref="A2:W2"/>
    <mergeCell ref="X2:Y2"/>
    <mergeCell ref="A3:L3"/>
    <mergeCell ref="A4:A8"/>
    <mergeCell ref="B4:B8"/>
    <mergeCell ref="C4:C8"/>
    <mergeCell ref="D4:L4"/>
    <mergeCell ref="M4:U4"/>
    <mergeCell ref="F6:F8"/>
    <mergeCell ref="G6:G8"/>
    <mergeCell ref="H6:J6"/>
    <mergeCell ref="K6:K8"/>
    <mergeCell ref="L6:L8"/>
    <mergeCell ref="O6:O8"/>
    <mergeCell ref="V4:AD4"/>
    <mergeCell ref="D5:D8"/>
    <mergeCell ref="E5:E8"/>
    <mergeCell ref="F5:L5"/>
    <mergeCell ref="M5:M8"/>
    <mergeCell ref="N5:N8"/>
    <mergeCell ref="O5:U5"/>
    <mergeCell ref="V5:V8"/>
  </mergeCells>
  <pageMargins left="0.41" right="0.16" top="0.51" bottom="0.2" header="0.3" footer="0.17"/>
  <pageSetup paperSize="9" scale="41" firstPageNumber="4" orientation="landscape" useFirstPageNumber="1" r:id="rId1"/>
  <headerFooter>
    <oddFooter>&amp;C&amp;20 P - &amp;P</oddFooter>
  </headerFooter>
  <rowBreaks count="2" manualBreakCount="2">
    <brk id="58" max="16383" man="1"/>
    <brk id="11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M11" sqref="M11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3"/>
  <sheetViews>
    <sheetView zoomScale="115" zoomScaleNormal="115" workbookViewId="0">
      <selection activeCell="D41" sqref="D41"/>
    </sheetView>
  </sheetViews>
  <sheetFormatPr defaultColWidth="8.7109375" defaultRowHeight="15" x14ac:dyDescent="0.25"/>
  <cols>
    <col min="1" max="1" width="12.28515625" style="752" customWidth="1"/>
    <col min="2" max="2" width="9.85546875" style="752" customWidth="1"/>
    <col min="3" max="3" width="8.7109375" style="752" customWidth="1"/>
    <col min="4" max="5" width="10.28515625" style="752" customWidth="1"/>
    <col min="6" max="6" width="10.5703125" style="752" bestFit="1" customWidth="1"/>
    <col min="7" max="8" width="11" style="752" customWidth="1"/>
    <col min="9" max="9" width="8.7109375" style="752" customWidth="1"/>
    <col min="10" max="10" width="10.42578125" style="752" customWidth="1"/>
    <col min="11" max="156" width="8.7109375" style="752" customWidth="1"/>
    <col min="157" max="16384" width="8.7109375" style="752"/>
  </cols>
  <sheetData>
    <row r="4" spans="1:10" ht="18.75" customHeight="1" x14ac:dyDescent="0.3">
      <c r="A4" s="908" t="s">
        <v>314</v>
      </c>
      <c r="B4" s="907"/>
      <c r="C4" s="907"/>
      <c r="D4" s="907"/>
      <c r="E4" s="907"/>
      <c r="F4" s="907"/>
      <c r="G4" s="907"/>
      <c r="H4" s="907"/>
    </row>
    <row r="5" spans="1:10" ht="18.75" customHeight="1" x14ac:dyDescent="0.3">
      <c r="A5" s="908" t="s">
        <v>329</v>
      </c>
      <c r="B5" s="907"/>
      <c r="C5" s="907"/>
      <c r="D5" s="907"/>
      <c r="E5" s="907"/>
      <c r="F5" s="907"/>
      <c r="G5" s="907"/>
      <c r="H5" s="907"/>
    </row>
    <row r="6" spans="1:10" ht="15.75" customHeight="1" thickBot="1" x14ac:dyDescent="0.3">
      <c r="G6" s="911" t="s">
        <v>330</v>
      </c>
      <c r="H6" s="910"/>
    </row>
    <row r="7" spans="1:10" ht="61.5" customHeight="1" thickTop="1" thickBot="1" x14ac:dyDescent="0.3">
      <c r="A7" s="383" t="s">
        <v>317</v>
      </c>
      <c r="B7" s="384" t="s">
        <v>318</v>
      </c>
      <c r="C7" s="384" t="s">
        <v>319</v>
      </c>
      <c r="D7" s="385" t="s">
        <v>320</v>
      </c>
      <c r="E7" s="384" t="s">
        <v>321</v>
      </c>
      <c r="F7" s="384" t="s">
        <v>322</v>
      </c>
      <c r="G7" s="384" t="s">
        <v>323</v>
      </c>
      <c r="H7" s="386" t="s">
        <v>324</v>
      </c>
    </row>
    <row r="8" spans="1:10" ht="15.75" customHeight="1" thickTop="1" x14ac:dyDescent="0.25">
      <c r="A8" s="387">
        <v>1</v>
      </c>
      <c r="B8" s="388">
        <v>1212.688768</v>
      </c>
      <c r="C8" s="388">
        <v>0</v>
      </c>
      <c r="D8" s="388">
        <f t="shared" ref="D8:D37" si="0">SUM(B8:C8)</f>
        <v>1212.688768</v>
      </c>
      <c r="E8" s="388">
        <v>0</v>
      </c>
      <c r="F8" s="388">
        <v>0</v>
      </c>
      <c r="G8" s="388">
        <f t="shared" ref="G8:G37" si="1">+E8+F8</f>
        <v>0</v>
      </c>
      <c r="H8" s="390">
        <f t="shared" ref="H8:H37" si="2">+G8-D8</f>
        <v>-1212.688768</v>
      </c>
    </row>
    <row r="9" spans="1:10" x14ac:dyDescent="0.25">
      <c r="A9" s="391">
        <f t="shared" ref="A9:A37" si="3">+A8+1</f>
        <v>2</v>
      </c>
      <c r="B9" s="389">
        <v>2329.3641900000011</v>
      </c>
      <c r="C9" s="389">
        <v>0</v>
      </c>
      <c r="D9" s="388">
        <f t="shared" si="0"/>
        <v>2329.3641900000011</v>
      </c>
      <c r="E9" s="389">
        <v>0</v>
      </c>
      <c r="F9" s="388">
        <v>0</v>
      </c>
      <c r="G9" s="388">
        <f t="shared" si="1"/>
        <v>0</v>
      </c>
      <c r="H9" s="390">
        <f t="shared" si="2"/>
        <v>-2329.3641900000011</v>
      </c>
    </row>
    <row r="10" spans="1:10" x14ac:dyDescent="0.25">
      <c r="A10" s="391">
        <f t="shared" si="3"/>
        <v>3</v>
      </c>
      <c r="B10" s="389">
        <v>6957.1396920000007</v>
      </c>
      <c r="C10" s="389">
        <v>0</v>
      </c>
      <c r="D10" s="388">
        <f t="shared" si="0"/>
        <v>6957.1396920000007</v>
      </c>
      <c r="E10" s="389">
        <v>0</v>
      </c>
      <c r="F10" s="388">
        <v>0</v>
      </c>
      <c r="G10" s="388">
        <f t="shared" si="1"/>
        <v>0</v>
      </c>
      <c r="H10" s="390">
        <f t="shared" si="2"/>
        <v>-6957.1396920000007</v>
      </c>
    </row>
    <row r="11" spans="1:10" ht="14.45" customHeight="1" x14ac:dyDescent="0.25">
      <c r="A11" s="391">
        <f t="shared" si="3"/>
        <v>4</v>
      </c>
      <c r="B11" s="392">
        <v>13168.05377</v>
      </c>
      <c r="C11" s="389">
        <v>0</v>
      </c>
      <c r="D11" s="388">
        <f t="shared" si="0"/>
        <v>13168.05377</v>
      </c>
      <c r="E11" s="389">
        <v>0</v>
      </c>
      <c r="F11" s="388">
        <v>0</v>
      </c>
      <c r="G11" s="388">
        <f t="shared" si="1"/>
        <v>0</v>
      </c>
      <c r="H11" s="390">
        <f t="shared" si="2"/>
        <v>-13168.05377</v>
      </c>
    </row>
    <row r="12" spans="1:10" ht="14.45" customHeight="1" x14ac:dyDescent="0.25">
      <c r="A12" s="391">
        <f t="shared" si="3"/>
        <v>5</v>
      </c>
      <c r="B12" s="392">
        <v>14304.008459999999</v>
      </c>
      <c r="C12" s="389">
        <v>0</v>
      </c>
      <c r="D12" s="388">
        <f t="shared" si="0"/>
        <v>14304.008459999999</v>
      </c>
      <c r="E12" s="389">
        <v>0</v>
      </c>
      <c r="F12" s="388">
        <v>0</v>
      </c>
      <c r="G12" s="388">
        <f t="shared" si="1"/>
        <v>0</v>
      </c>
      <c r="H12" s="390">
        <f t="shared" si="2"/>
        <v>-14304.008459999999</v>
      </c>
    </row>
    <row r="13" spans="1:10" ht="14.45" customHeight="1" x14ac:dyDescent="0.25">
      <c r="A13" s="391">
        <f t="shared" si="3"/>
        <v>6</v>
      </c>
      <c r="B13" s="392">
        <v>10812.99732</v>
      </c>
      <c r="C13" s="389">
        <v>0</v>
      </c>
      <c r="D13" s="388">
        <f t="shared" si="0"/>
        <v>10812.99732</v>
      </c>
      <c r="E13" s="389">
        <f>E17*0.5</f>
        <v>21273.942777579996</v>
      </c>
      <c r="F13" s="388">
        <v>0</v>
      </c>
      <c r="G13" s="388">
        <f t="shared" si="1"/>
        <v>21273.942777579996</v>
      </c>
      <c r="H13" s="390">
        <f t="shared" si="2"/>
        <v>10460.945457579995</v>
      </c>
      <c r="J13" s="393"/>
    </row>
    <row r="14" spans="1:10" ht="14.45" customHeight="1" x14ac:dyDescent="0.25">
      <c r="A14" s="391">
        <f t="shared" si="3"/>
        <v>7</v>
      </c>
      <c r="B14" s="392">
        <v>18463.238418280001</v>
      </c>
      <c r="C14" s="389">
        <f>C13</f>
        <v>0</v>
      </c>
      <c r="D14" s="388">
        <f t="shared" si="0"/>
        <v>18463.238418280001</v>
      </c>
      <c r="E14" s="389">
        <f>E17*0.6</f>
        <v>25528.731333095995</v>
      </c>
      <c r="F14" s="388">
        <v>0</v>
      </c>
      <c r="G14" s="388">
        <f t="shared" si="1"/>
        <v>25528.731333095995</v>
      </c>
      <c r="H14" s="390">
        <f t="shared" si="2"/>
        <v>7065.4929148159936</v>
      </c>
      <c r="J14" s="393"/>
    </row>
    <row r="15" spans="1:10" ht="14.45" customHeight="1" x14ac:dyDescent="0.25">
      <c r="A15" s="391">
        <f t="shared" si="3"/>
        <v>8</v>
      </c>
      <c r="B15" s="392">
        <v>14358.305771720001</v>
      </c>
      <c r="C15" s="389">
        <f>C14</f>
        <v>0</v>
      </c>
      <c r="D15" s="388">
        <f t="shared" si="0"/>
        <v>14358.305771720001</v>
      </c>
      <c r="E15" s="389">
        <f>E17*0.7</f>
        <v>29783.519888611991</v>
      </c>
      <c r="F15" s="388">
        <v>0</v>
      </c>
      <c r="G15" s="388">
        <f t="shared" si="1"/>
        <v>29783.519888611991</v>
      </c>
      <c r="H15" s="390">
        <f t="shared" si="2"/>
        <v>15425.21411689199</v>
      </c>
    </row>
    <row r="16" spans="1:10" ht="14.45" customHeight="1" x14ac:dyDescent="0.25">
      <c r="A16" s="391">
        <f t="shared" si="3"/>
        <v>9</v>
      </c>
      <c r="B16" s="392"/>
      <c r="C16" s="389">
        <v>604.34</v>
      </c>
      <c r="D16" s="388">
        <f t="shared" si="0"/>
        <v>604.34</v>
      </c>
      <c r="E16" s="389">
        <f>E17*0.8</f>
        <v>34038.308444127993</v>
      </c>
      <c r="F16" s="388">
        <v>0</v>
      </c>
      <c r="G16" s="388">
        <f t="shared" si="1"/>
        <v>34038.308444127993</v>
      </c>
      <c r="H16" s="390">
        <f t="shared" si="2"/>
        <v>33433.968444127997</v>
      </c>
    </row>
    <row r="17" spans="1:8" ht="14.45" customHeight="1" x14ac:dyDescent="0.25">
      <c r="A17" s="391">
        <f t="shared" si="3"/>
        <v>10</v>
      </c>
      <c r="B17" s="392"/>
      <c r="C17" s="389">
        <v>604.34</v>
      </c>
      <c r="D17" s="388">
        <f t="shared" si="0"/>
        <v>604.34</v>
      </c>
      <c r="E17" s="389">
        <v>42547.885555159992</v>
      </c>
      <c r="F17" s="388">
        <v>0</v>
      </c>
      <c r="G17" s="388">
        <f t="shared" si="1"/>
        <v>42547.885555159992</v>
      </c>
      <c r="H17" s="390">
        <f t="shared" si="2"/>
        <v>41943.545555159995</v>
      </c>
    </row>
    <row r="18" spans="1:8" ht="14.45" customHeight="1" x14ac:dyDescent="0.25">
      <c r="A18" s="391">
        <f t="shared" si="3"/>
        <v>11</v>
      </c>
      <c r="B18" s="392"/>
      <c r="C18" s="389">
        <f t="shared" ref="C18:C37" si="4">C17</f>
        <v>604.34</v>
      </c>
      <c r="D18" s="388">
        <f t="shared" si="0"/>
        <v>604.34</v>
      </c>
      <c r="E18" s="389">
        <f t="shared" ref="E18:E37" si="5">E17</f>
        <v>42547.885555159992</v>
      </c>
      <c r="F18" s="388">
        <v>0</v>
      </c>
      <c r="G18" s="388">
        <f t="shared" si="1"/>
        <v>42547.885555159992</v>
      </c>
      <c r="H18" s="390">
        <f t="shared" si="2"/>
        <v>41943.545555159995</v>
      </c>
    </row>
    <row r="19" spans="1:8" ht="14.45" customHeight="1" x14ac:dyDescent="0.25">
      <c r="A19" s="391">
        <f t="shared" si="3"/>
        <v>12</v>
      </c>
      <c r="B19" s="392"/>
      <c r="C19" s="389">
        <f t="shared" si="4"/>
        <v>604.34</v>
      </c>
      <c r="D19" s="388">
        <f t="shared" si="0"/>
        <v>604.34</v>
      </c>
      <c r="E19" s="389">
        <f t="shared" si="5"/>
        <v>42547.885555159992</v>
      </c>
      <c r="F19" s="388">
        <v>0</v>
      </c>
      <c r="G19" s="388">
        <f t="shared" si="1"/>
        <v>42547.885555159992</v>
      </c>
      <c r="H19" s="390">
        <f t="shared" si="2"/>
        <v>41943.545555159995</v>
      </c>
    </row>
    <row r="20" spans="1:8" ht="14.45" customHeight="1" x14ac:dyDescent="0.25">
      <c r="A20" s="391">
        <f t="shared" si="3"/>
        <v>13</v>
      </c>
      <c r="B20" s="392"/>
      <c r="C20" s="389">
        <f t="shared" si="4"/>
        <v>604.34</v>
      </c>
      <c r="D20" s="388">
        <f t="shared" si="0"/>
        <v>604.34</v>
      </c>
      <c r="E20" s="389">
        <f t="shared" si="5"/>
        <v>42547.885555159992</v>
      </c>
      <c r="F20" s="388">
        <v>0</v>
      </c>
      <c r="G20" s="388">
        <f t="shared" si="1"/>
        <v>42547.885555159992</v>
      </c>
      <c r="H20" s="390">
        <f t="shared" si="2"/>
        <v>41943.545555159995</v>
      </c>
    </row>
    <row r="21" spans="1:8" ht="14.45" customHeight="1" x14ac:dyDescent="0.25">
      <c r="A21" s="391">
        <f t="shared" si="3"/>
        <v>14</v>
      </c>
      <c r="B21" s="392"/>
      <c r="C21" s="389">
        <f t="shared" si="4"/>
        <v>604.34</v>
      </c>
      <c r="D21" s="388">
        <f t="shared" si="0"/>
        <v>604.34</v>
      </c>
      <c r="E21" s="389">
        <f t="shared" si="5"/>
        <v>42547.885555159992</v>
      </c>
      <c r="F21" s="388">
        <v>0</v>
      </c>
      <c r="G21" s="388">
        <f t="shared" si="1"/>
        <v>42547.885555159992</v>
      </c>
      <c r="H21" s="390">
        <f t="shared" si="2"/>
        <v>41943.545555159995</v>
      </c>
    </row>
    <row r="22" spans="1:8" ht="14.45" customHeight="1" x14ac:dyDescent="0.25">
      <c r="A22" s="391">
        <f t="shared" si="3"/>
        <v>15</v>
      </c>
      <c r="B22" s="392"/>
      <c r="C22" s="389">
        <f t="shared" si="4"/>
        <v>604.34</v>
      </c>
      <c r="D22" s="388">
        <f t="shared" si="0"/>
        <v>604.34</v>
      </c>
      <c r="E22" s="389">
        <f t="shared" si="5"/>
        <v>42547.885555159992</v>
      </c>
      <c r="F22" s="388">
        <v>0</v>
      </c>
      <c r="G22" s="388">
        <f t="shared" si="1"/>
        <v>42547.885555159992</v>
      </c>
      <c r="H22" s="390">
        <f t="shared" si="2"/>
        <v>41943.545555159995</v>
      </c>
    </row>
    <row r="23" spans="1:8" ht="14.45" customHeight="1" x14ac:dyDescent="0.25">
      <c r="A23" s="391">
        <f t="shared" si="3"/>
        <v>16</v>
      </c>
      <c r="B23" s="392"/>
      <c r="C23" s="389">
        <f t="shared" si="4"/>
        <v>604.34</v>
      </c>
      <c r="D23" s="388">
        <f t="shared" si="0"/>
        <v>604.34</v>
      </c>
      <c r="E23" s="389">
        <f t="shared" si="5"/>
        <v>42547.885555159992</v>
      </c>
      <c r="F23" s="388">
        <v>0</v>
      </c>
      <c r="G23" s="388">
        <f t="shared" si="1"/>
        <v>42547.885555159992</v>
      </c>
      <c r="H23" s="390">
        <f t="shared" si="2"/>
        <v>41943.545555159995</v>
      </c>
    </row>
    <row r="24" spans="1:8" ht="14.45" customHeight="1" x14ac:dyDescent="0.25">
      <c r="A24" s="391">
        <f t="shared" si="3"/>
        <v>17</v>
      </c>
      <c r="B24" s="392"/>
      <c r="C24" s="389">
        <f t="shared" si="4"/>
        <v>604.34</v>
      </c>
      <c r="D24" s="388">
        <f t="shared" si="0"/>
        <v>604.34</v>
      </c>
      <c r="E24" s="389">
        <f t="shared" si="5"/>
        <v>42547.885555159992</v>
      </c>
      <c r="F24" s="388">
        <v>0</v>
      </c>
      <c r="G24" s="388">
        <f t="shared" si="1"/>
        <v>42547.885555159992</v>
      </c>
      <c r="H24" s="390">
        <f t="shared" si="2"/>
        <v>41943.545555159995</v>
      </c>
    </row>
    <row r="25" spans="1:8" ht="14.45" customHeight="1" x14ac:dyDescent="0.25">
      <c r="A25" s="391">
        <f t="shared" si="3"/>
        <v>18</v>
      </c>
      <c r="B25" s="392"/>
      <c r="C25" s="389">
        <f t="shared" si="4"/>
        <v>604.34</v>
      </c>
      <c r="D25" s="388">
        <f t="shared" si="0"/>
        <v>604.34</v>
      </c>
      <c r="E25" s="389">
        <f t="shared" si="5"/>
        <v>42547.885555159992</v>
      </c>
      <c r="F25" s="388">
        <v>0</v>
      </c>
      <c r="G25" s="388">
        <f t="shared" si="1"/>
        <v>42547.885555159992</v>
      </c>
      <c r="H25" s="390">
        <f t="shared" si="2"/>
        <v>41943.545555159995</v>
      </c>
    </row>
    <row r="26" spans="1:8" ht="14.45" customHeight="1" x14ac:dyDescent="0.25">
      <c r="A26" s="391">
        <f t="shared" si="3"/>
        <v>19</v>
      </c>
      <c r="B26" s="392"/>
      <c r="C26" s="389">
        <f t="shared" si="4"/>
        <v>604.34</v>
      </c>
      <c r="D26" s="388">
        <f t="shared" si="0"/>
        <v>604.34</v>
      </c>
      <c r="E26" s="389">
        <f t="shared" si="5"/>
        <v>42547.885555159992</v>
      </c>
      <c r="F26" s="388">
        <v>0</v>
      </c>
      <c r="G26" s="388">
        <f t="shared" si="1"/>
        <v>42547.885555159992</v>
      </c>
      <c r="H26" s="390">
        <f t="shared" si="2"/>
        <v>41943.545555159995</v>
      </c>
    </row>
    <row r="27" spans="1:8" ht="14.45" customHeight="1" x14ac:dyDescent="0.25">
      <c r="A27" s="391">
        <f t="shared" si="3"/>
        <v>20</v>
      </c>
      <c r="B27" s="392"/>
      <c r="C27" s="389">
        <f t="shared" si="4"/>
        <v>604.34</v>
      </c>
      <c r="D27" s="388">
        <f t="shared" si="0"/>
        <v>604.34</v>
      </c>
      <c r="E27" s="389">
        <f t="shared" si="5"/>
        <v>42547.885555159992</v>
      </c>
      <c r="F27" s="388">
        <v>0</v>
      </c>
      <c r="G27" s="388">
        <f t="shared" si="1"/>
        <v>42547.885555159992</v>
      </c>
      <c r="H27" s="390">
        <f t="shared" si="2"/>
        <v>41943.545555159995</v>
      </c>
    </row>
    <row r="28" spans="1:8" ht="14.45" customHeight="1" x14ac:dyDescent="0.25">
      <c r="A28" s="391">
        <f t="shared" si="3"/>
        <v>21</v>
      </c>
      <c r="B28" s="392"/>
      <c r="C28" s="389">
        <f t="shared" si="4"/>
        <v>604.34</v>
      </c>
      <c r="D28" s="388">
        <f t="shared" si="0"/>
        <v>604.34</v>
      </c>
      <c r="E28" s="389">
        <f t="shared" si="5"/>
        <v>42547.885555159992</v>
      </c>
      <c r="F28" s="388">
        <v>0</v>
      </c>
      <c r="G28" s="388">
        <f t="shared" si="1"/>
        <v>42547.885555159992</v>
      </c>
      <c r="H28" s="390">
        <f t="shared" si="2"/>
        <v>41943.545555159995</v>
      </c>
    </row>
    <row r="29" spans="1:8" ht="14.45" customHeight="1" x14ac:dyDescent="0.25">
      <c r="A29" s="391">
        <f t="shared" si="3"/>
        <v>22</v>
      </c>
      <c r="B29" s="392"/>
      <c r="C29" s="389">
        <f t="shared" si="4"/>
        <v>604.34</v>
      </c>
      <c r="D29" s="388">
        <f t="shared" si="0"/>
        <v>604.34</v>
      </c>
      <c r="E29" s="389">
        <f t="shared" si="5"/>
        <v>42547.885555159992</v>
      </c>
      <c r="F29" s="388">
        <v>0</v>
      </c>
      <c r="G29" s="388">
        <f t="shared" si="1"/>
        <v>42547.885555159992</v>
      </c>
      <c r="H29" s="390">
        <f t="shared" si="2"/>
        <v>41943.545555159995</v>
      </c>
    </row>
    <row r="30" spans="1:8" ht="14.45" customHeight="1" x14ac:dyDescent="0.25">
      <c r="A30" s="391">
        <f t="shared" si="3"/>
        <v>23</v>
      </c>
      <c r="B30" s="392"/>
      <c r="C30" s="389">
        <f t="shared" si="4"/>
        <v>604.34</v>
      </c>
      <c r="D30" s="388">
        <f t="shared" si="0"/>
        <v>604.34</v>
      </c>
      <c r="E30" s="389">
        <f t="shared" si="5"/>
        <v>42547.885555159992</v>
      </c>
      <c r="F30" s="388">
        <v>0</v>
      </c>
      <c r="G30" s="388">
        <f t="shared" si="1"/>
        <v>42547.885555159992</v>
      </c>
      <c r="H30" s="390">
        <f t="shared" si="2"/>
        <v>41943.545555159995</v>
      </c>
    </row>
    <row r="31" spans="1:8" ht="14.45" customHeight="1" x14ac:dyDescent="0.25">
      <c r="A31" s="391">
        <f t="shared" si="3"/>
        <v>24</v>
      </c>
      <c r="B31" s="392"/>
      <c r="C31" s="389">
        <f t="shared" si="4"/>
        <v>604.34</v>
      </c>
      <c r="D31" s="388">
        <f t="shared" si="0"/>
        <v>604.34</v>
      </c>
      <c r="E31" s="389">
        <f t="shared" si="5"/>
        <v>42547.885555159992</v>
      </c>
      <c r="F31" s="388">
        <v>0</v>
      </c>
      <c r="G31" s="388">
        <f t="shared" si="1"/>
        <v>42547.885555159992</v>
      </c>
      <c r="H31" s="390">
        <f t="shared" si="2"/>
        <v>41943.545555159995</v>
      </c>
    </row>
    <row r="32" spans="1:8" ht="14.45" customHeight="1" x14ac:dyDescent="0.25">
      <c r="A32" s="391">
        <f t="shared" si="3"/>
        <v>25</v>
      </c>
      <c r="B32" s="392"/>
      <c r="C32" s="389">
        <f t="shared" si="4"/>
        <v>604.34</v>
      </c>
      <c r="D32" s="388">
        <f t="shared" si="0"/>
        <v>604.34</v>
      </c>
      <c r="E32" s="389">
        <f t="shared" si="5"/>
        <v>42547.885555159992</v>
      </c>
      <c r="F32" s="388">
        <v>0</v>
      </c>
      <c r="G32" s="388">
        <f t="shared" si="1"/>
        <v>42547.885555159992</v>
      </c>
      <c r="H32" s="390">
        <f t="shared" si="2"/>
        <v>41943.545555159995</v>
      </c>
    </row>
    <row r="33" spans="1:8" ht="14.45" customHeight="1" x14ac:dyDescent="0.25">
      <c r="A33" s="391">
        <f t="shared" si="3"/>
        <v>26</v>
      </c>
      <c r="B33" s="392"/>
      <c r="C33" s="389">
        <f t="shared" si="4"/>
        <v>604.34</v>
      </c>
      <c r="D33" s="388">
        <f t="shared" si="0"/>
        <v>604.34</v>
      </c>
      <c r="E33" s="389">
        <f t="shared" si="5"/>
        <v>42547.885555159992</v>
      </c>
      <c r="F33" s="388">
        <v>0</v>
      </c>
      <c r="G33" s="388">
        <f t="shared" si="1"/>
        <v>42547.885555159992</v>
      </c>
      <c r="H33" s="390">
        <f t="shared" si="2"/>
        <v>41943.545555159995</v>
      </c>
    </row>
    <row r="34" spans="1:8" ht="14.45" customHeight="1" x14ac:dyDescent="0.25">
      <c r="A34" s="391">
        <f t="shared" si="3"/>
        <v>27</v>
      </c>
      <c r="B34" s="392"/>
      <c r="C34" s="389">
        <f t="shared" si="4"/>
        <v>604.34</v>
      </c>
      <c r="D34" s="388">
        <f t="shared" si="0"/>
        <v>604.34</v>
      </c>
      <c r="E34" s="389">
        <f t="shared" si="5"/>
        <v>42547.885555159992</v>
      </c>
      <c r="F34" s="388">
        <v>0</v>
      </c>
      <c r="G34" s="388">
        <f t="shared" si="1"/>
        <v>42547.885555159992</v>
      </c>
      <c r="H34" s="390">
        <f t="shared" si="2"/>
        <v>41943.545555159995</v>
      </c>
    </row>
    <row r="35" spans="1:8" ht="14.45" customHeight="1" x14ac:dyDescent="0.25">
      <c r="A35" s="391">
        <f t="shared" si="3"/>
        <v>28</v>
      </c>
      <c r="B35" s="392"/>
      <c r="C35" s="389">
        <f t="shared" si="4"/>
        <v>604.34</v>
      </c>
      <c r="D35" s="388">
        <f t="shared" si="0"/>
        <v>604.34</v>
      </c>
      <c r="E35" s="389">
        <f t="shared" si="5"/>
        <v>42547.885555159992</v>
      </c>
      <c r="F35" s="388">
        <v>0</v>
      </c>
      <c r="G35" s="388">
        <f t="shared" si="1"/>
        <v>42547.885555159992</v>
      </c>
      <c r="H35" s="390">
        <f t="shared" si="2"/>
        <v>41943.545555159995</v>
      </c>
    </row>
    <row r="36" spans="1:8" ht="14.45" customHeight="1" x14ac:dyDescent="0.25">
      <c r="A36" s="391">
        <f t="shared" si="3"/>
        <v>29</v>
      </c>
      <c r="B36" s="392"/>
      <c r="C36" s="389">
        <f t="shared" si="4"/>
        <v>604.34</v>
      </c>
      <c r="D36" s="388">
        <f t="shared" si="0"/>
        <v>604.34</v>
      </c>
      <c r="E36" s="389">
        <f t="shared" si="5"/>
        <v>42547.885555159992</v>
      </c>
      <c r="F36" s="388">
        <v>0</v>
      </c>
      <c r="G36" s="388">
        <f t="shared" si="1"/>
        <v>42547.885555159992</v>
      </c>
      <c r="H36" s="390">
        <f t="shared" si="2"/>
        <v>41943.545555159995</v>
      </c>
    </row>
    <row r="37" spans="1:8" x14ac:dyDescent="0.25">
      <c r="A37" s="391">
        <f t="shared" si="3"/>
        <v>30</v>
      </c>
      <c r="B37" s="389"/>
      <c r="C37" s="389">
        <f t="shared" si="4"/>
        <v>604.34</v>
      </c>
      <c r="D37" s="388">
        <f t="shared" si="0"/>
        <v>604.34</v>
      </c>
      <c r="E37" s="389">
        <f t="shared" si="5"/>
        <v>42547.885555159992</v>
      </c>
      <c r="F37" s="388">
        <v>0</v>
      </c>
      <c r="G37" s="388">
        <f t="shared" si="1"/>
        <v>42547.885555159992</v>
      </c>
      <c r="H37" s="390">
        <f t="shared" si="2"/>
        <v>41943.545555159995</v>
      </c>
    </row>
    <row r="38" spans="1:8" ht="15.75" customHeight="1" thickBot="1" x14ac:dyDescent="0.3">
      <c r="A38" s="394" t="s">
        <v>325</v>
      </c>
      <c r="B38" s="395">
        <f t="shared" ref="B38:H38" si="6">NPV(0.12,B8:B37)</f>
        <v>44005.793336345225</v>
      </c>
      <c r="C38" s="395">
        <f t="shared" si="6"/>
        <v>1865.9264623288573</v>
      </c>
      <c r="D38" s="395">
        <f t="shared" si="6"/>
        <v>45871.719798674072</v>
      </c>
      <c r="E38" s="395">
        <f t="shared" si="6"/>
        <v>162654.84571030864</v>
      </c>
      <c r="F38" s="395">
        <f t="shared" si="6"/>
        <v>0</v>
      </c>
      <c r="G38" s="395">
        <f t="shared" si="6"/>
        <v>162654.84571030864</v>
      </c>
      <c r="H38" s="396">
        <f t="shared" si="6"/>
        <v>116783.12591163456</v>
      </c>
    </row>
    <row r="39" spans="1:8" ht="16.5" customHeight="1" thickTop="1" thickBot="1" x14ac:dyDescent="0.3">
      <c r="A39" s="397" t="s">
        <v>326</v>
      </c>
      <c r="B39" s="397"/>
      <c r="C39" s="397"/>
      <c r="D39" s="397"/>
      <c r="E39" s="397"/>
      <c r="F39" s="398"/>
      <c r="G39" s="398"/>
      <c r="H39" s="398"/>
    </row>
    <row r="40" spans="1:8" ht="16.5" customHeight="1" thickTop="1" thickBot="1" x14ac:dyDescent="0.3">
      <c r="A40" s="399" t="s">
        <v>331</v>
      </c>
      <c r="B40" s="399"/>
      <c r="C40" s="399"/>
      <c r="D40" s="399">
        <f>IRR(H8:H37,0.12)</f>
        <v>0.38193723084761388</v>
      </c>
      <c r="E40" s="399"/>
      <c r="F40" s="400"/>
      <c r="G40" s="431"/>
      <c r="H40" s="401"/>
    </row>
    <row r="41" spans="1:8" ht="16.5" customHeight="1" thickTop="1" thickBot="1" x14ac:dyDescent="0.3">
      <c r="A41" s="402" t="s">
        <v>328</v>
      </c>
      <c r="B41" s="402"/>
      <c r="C41" s="402"/>
      <c r="D41" s="402">
        <f>NPV(0.12,G8:G37)/NPV(0.12,D8:D37)</f>
        <v>3.5458632557092442</v>
      </c>
      <c r="E41" s="402"/>
      <c r="F41" s="393"/>
      <c r="G41" s="393"/>
      <c r="H41" s="401"/>
    </row>
    <row r="42" spans="1:8" ht="16.5" customHeight="1" thickTop="1" thickBot="1" x14ac:dyDescent="0.3">
      <c r="A42" s="403" t="s">
        <v>325</v>
      </c>
      <c r="B42" s="403"/>
      <c r="C42" s="403"/>
      <c r="D42" s="460">
        <v>110049.79</v>
      </c>
      <c r="E42" s="403"/>
    </row>
    <row r="43" spans="1:8" ht="15.75" customHeight="1" thickTop="1" x14ac:dyDescent="0.25"/>
  </sheetData>
  <mergeCells count="3">
    <mergeCell ref="A4:H4"/>
    <mergeCell ref="A5:H5"/>
    <mergeCell ref="G6:H6"/>
  </mergeCells>
  <pageMargins left="1.25" right="0.75" top="1" bottom="1" header="0.5" footer="0.5"/>
  <pageSetup paperSize="9" orientation="portrait"/>
  <headerFooter alignWithMargins="0">
    <oddFooter>&amp;C&amp;12 P - 54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7" workbookViewId="0">
      <selection activeCell="C6" sqref="C6:F6"/>
    </sheetView>
  </sheetViews>
  <sheetFormatPr defaultColWidth="13.85546875" defaultRowHeight="15.75" x14ac:dyDescent="0.25"/>
  <cols>
    <col min="1" max="1" width="7.5703125" style="754" customWidth="1"/>
    <col min="2" max="2" width="16.28515625" style="754" customWidth="1"/>
    <col min="3" max="3" width="16.5703125" style="754" customWidth="1"/>
    <col min="4" max="4" width="15.140625" style="754" customWidth="1"/>
    <col min="5" max="5" width="16.85546875" style="754" customWidth="1"/>
    <col min="6" max="7" width="19.85546875" style="754" customWidth="1"/>
    <col min="8" max="8" width="6.85546875" style="754" customWidth="1"/>
    <col min="9" max="9" width="13.42578125" style="754" customWidth="1"/>
    <col min="10" max="10" width="11" style="754" customWidth="1"/>
    <col min="11" max="11" width="10.28515625" style="754" customWidth="1"/>
    <col min="12" max="167" width="13.85546875" style="754" customWidth="1"/>
    <col min="168" max="16384" width="13.85546875" style="754"/>
  </cols>
  <sheetData>
    <row r="1" spans="1:12" ht="18.75" customHeight="1" x14ac:dyDescent="0.3">
      <c r="A1" s="912" t="s">
        <v>332</v>
      </c>
      <c r="B1" s="913"/>
      <c r="C1" s="913"/>
      <c r="D1" s="913"/>
      <c r="E1" s="913"/>
      <c r="F1" s="913"/>
      <c r="G1" s="756"/>
      <c r="H1" s="756"/>
      <c r="I1" s="756"/>
      <c r="J1" s="756"/>
      <c r="K1" s="756"/>
    </row>
    <row r="2" spans="1:12" ht="18.75" customHeight="1" x14ac:dyDescent="0.3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</row>
    <row r="3" spans="1:12" ht="18.75" customHeight="1" x14ac:dyDescent="0.3">
      <c r="A3" s="914" t="s">
        <v>333</v>
      </c>
      <c r="B3" s="913"/>
      <c r="C3" s="913"/>
      <c r="D3" s="913"/>
      <c r="E3" s="913"/>
      <c r="F3" s="913"/>
      <c r="G3" s="757"/>
      <c r="H3" s="757"/>
      <c r="I3" s="757"/>
      <c r="J3" s="757"/>
      <c r="K3" s="757"/>
    </row>
    <row r="4" spans="1:12" x14ac:dyDescent="0.25">
      <c r="A4" s="405"/>
      <c r="B4" s="405"/>
      <c r="C4" s="405"/>
      <c r="D4" s="405"/>
      <c r="E4" s="405"/>
      <c r="F4" s="405"/>
      <c r="G4" s="405"/>
      <c r="H4" s="405"/>
      <c r="I4" s="405"/>
      <c r="J4" s="405"/>
      <c r="K4" s="405"/>
    </row>
    <row r="5" spans="1:12" x14ac:dyDescent="0.25">
      <c r="A5" s="915" t="s">
        <v>334</v>
      </c>
      <c r="B5" s="913"/>
      <c r="C5" s="915" t="s">
        <v>335</v>
      </c>
      <c r="D5" s="913"/>
      <c r="E5" s="913"/>
      <c r="F5" s="913"/>
      <c r="G5" s="753"/>
      <c r="H5" s="753"/>
      <c r="I5" s="753"/>
      <c r="J5" s="753"/>
      <c r="K5" s="753"/>
    </row>
    <row r="6" spans="1:12" x14ac:dyDescent="0.25">
      <c r="A6" s="915" t="s">
        <v>336</v>
      </c>
      <c r="B6" s="913"/>
      <c r="C6" s="915" t="s">
        <v>337</v>
      </c>
      <c r="D6" s="913"/>
      <c r="E6" s="913"/>
      <c r="F6" s="913"/>
      <c r="G6" s="610">
        <v>102234</v>
      </c>
      <c r="H6" s="753"/>
      <c r="I6" s="753"/>
      <c r="J6" s="753"/>
      <c r="K6" s="753"/>
    </row>
    <row r="7" spans="1:12" x14ac:dyDescent="0.25">
      <c r="A7" s="915" t="s">
        <v>338</v>
      </c>
      <c r="B7" s="913"/>
      <c r="C7" s="917" t="s">
        <v>339</v>
      </c>
      <c r="D7" s="913"/>
      <c r="E7" s="913"/>
      <c r="F7" s="913"/>
      <c r="G7" s="755"/>
      <c r="H7" s="755"/>
      <c r="I7" s="755"/>
      <c r="J7" s="755"/>
      <c r="K7" s="755"/>
    </row>
    <row r="8" spans="1:12" x14ac:dyDescent="0.25">
      <c r="A8" s="915" t="s">
        <v>340</v>
      </c>
      <c r="B8" s="913"/>
      <c r="C8" s="915" t="s">
        <v>341</v>
      </c>
      <c r="D8" s="913"/>
      <c r="E8" s="913"/>
      <c r="F8" s="913"/>
      <c r="G8" s="753"/>
      <c r="H8" s="753"/>
      <c r="I8" s="753"/>
      <c r="J8" s="753"/>
      <c r="K8" s="753"/>
    </row>
    <row r="9" spans="1:12" x14ac:dyDescent="0.25">
      <c r="A9" s="915" t="s">
        <v>342</v>
      </c>
      <c r="B9" s="913"/>
      <c r="C9" s="915" t="s">
        <v>343</v>
      </c>
      <c r="D9" s="913"/>
      <c r="E9" s="913"/>
      <c r="F9" s="913"/>
      <c r="G9" s="753"/>
      <c r="H9" s="753"/>
      <c r="I9" s="753"/>
      <c r="J9" s="753"/>
      <c r="K9" s="753"/>
    </row>
    <row r="10" spans="1:12" x14ac:dyDescent="0.25">
      <c r="F10" s="406" t="s">
        <v>344</v>
      </c>
      <c r="G10" s="406"/>
      <c r="H10" s="406"/>
      <c r="I10" s="406"/>
      <c r="J10" s="406"/>
      <c r="K10" s="406"/>
    </row>
    <row r="11" spans="1:12" ht="47.25" customHeight="1" x14ac:dyDescent="0.25">
      <c r="A11" s="407" t="s">
        <v>317</v>
      </c>
      <c r="B11" s="407" t="s">
        <v>345</v>
      </c>
      <c r="C11" s="407" t="s">
        <v>346</v>
      </c>
      <c r="D11" s="407" t="s">
        <v>347</v>
      </c>
      <c r="E11" s="407" t="s">
        <v>348</v>
      </c>
      <c r="F11" s="407" t="s">
        <v>349</v>
      </c>
      <c r="G11" s="408"/>
      <c r="H11" s="409"/>
      <c r="I11" s="410" t="s">
        <v>350</v>
      </c>
      <c r="J11" s="410"/>
      <c r="K11" s="410"/>
      <c r="L11" s="410"/>
    </row>
    <row r="12" spans="1:12" s="406" customFormat="1" x14ac:dyDescent="0.25">
      <c r="A12" s="410">
        <v>1</v>
      </c>
      <c r="B12" s="410">
        <v>2</v>
      </c>
      <c r="C12" s="410">
        <v>3</v>
      </c>
      <c r="D12" s="410">
        <v>4</v>
      </c>
      <c r="E12" s="410" t="s">
        <v>351</v>
      </c>
      <c r="F12" s="410" t="s">
        <v>352</v>
      </c>
      <c r="G12" s="411"/>
      <c r="H12" s="412"/>
      <c r="I12" s="413" t="s">
        <v>353</v>
      </c>
      <c r="J12" s="413" t="s">
        <v>16</v>
      </c>
      <c r="K12" s="413" t="s">
        <v>17</v>
      </c>
      <c r="L12" s="413" t="s">
        <v>11</v>
      </c>
    </row>
    <row r="13" spans="1:12" x14ac:dyDescent="0.25">
      <c r="A13" s="410">
        <v>11</v>
      </c>
      <c r="B13" s="414">
        <v>59529.599999999999</v>
      </c>
      <c r="C13" s="414">
        <f t="shared" ref="C13:C42" si="0">$B$13/30</f>
        <v>1984.32</v>
      </c>
      <c r="D13" s="414">
        <f t="shared" ref="D13:D42" si="1">B13*0.01/100</f>
        <v>5.9529600000000009</v>
      </c>
      <c r="E13" s="414">
        <f t="shared" ref="E13:E43" si="2">C13+D13</f>
        <v>1990.27296</v>
      </c>
      <c r="F13" s="414">
        <f t="shared" ref="F13:F42" si="3">B13-C13</f>
        <v>57545.279999999999</v>
      </c>
      <c r="G13" s="415"/>
      <c r="H13" s="412" t="s">
        <v>354</v>
      </c>
      <c r="I13" s="413">
        <v>231.42</v>
      </c>
      <c r="J13" s="413"/>
      <c r="K13" s="413">
        <v>849.67</v>
      </c>
      <c r="L13" s="413">
        <f>SUM(I13:K13)</f>
        <v>1081.0899999999999</v>
      </c>
    </row>
    <row r="14" spans="1:12" x14ac:dyDescent="0.25">
      <c r="A14" s="410">
        <v>12</v>
      </c>
      <c r="B14" s="414">
        <f t="shared" ref="B14:B42" si="4">F13</f>
        <v>57545.279999999999</v>
      </c>
      <c r="C14" s="414">
        <f t="shared" si="0"/>
        <v>1984.32</v>
      </c>
      <c r="D14" s="414">
        <f t="shared" si="1"/>
        <v>5.7545280000000005</v>
      </c>
      <c r="E14" s="414">
        <f t="shared" si="2"/>
        <v>1990.0745279999999</v>
      </c>
      <c r="F14" s="414">
        <f t="shared" si="3"/>
        <v>55560.959999999999</v>
      </c>
      <c r="G14" s="415"/>
      <c r="H14" s="412" t="s">
        <v>355</v>
      </c>
      <c r="I14" s="413">
        <v>375.2</v>
      </c>
      <c r="J14" s="413"/>
      <c r="K14" s="413"/>
      <c r="L14" s="413">
        <f>SUM(I14:K14)</f>
        <v>375.2</v>
      </c>
    </row>
    <row r="15" spans="1:12" x14ac:dyDescent="0.25">
      <c r="A15" s="410">
        <v>13</v>
      </c>
      <c r="B15" s="414">
        <f t="shared" si="4"/>
        <v>55560.959999999999</v>
      </c>
      <c r="C15" s="414">
        <f t="shared" si="0"/>
        <v>1984.32</v>
      </c>
      <c r="D15" s="414">
        <f t="shared" si="1"/>
        <v>5.5560960000000001</v>
      </c>
      <c r="E15" s="414">
        <f t="shared" si="2"/>
        <v>1989.876096</v>
      </c>
      <c r="F15" s="414">
        <f t="shared" si="3"/>
        <v>53576.639999999999</v>
      </c>
      <c r="G15" s="415"/>
      <c r="H15" s="412" t="s">
        <v>11</v>
      </c>
      <c r="I15" s="413">
        <f>SUM(I13:I14)</f>
        <v>606.62</v>
      </c>
      <c r="J15" s="413">
        <f>SUM(J13:J14)</f>
        <v>0</v>
      </c>
      <c r="K15" s="413">
        <f>SUM(K13:K14)</f>
        <v>849.67</v>
      </c>
      <c r="L15" s="413">
        <f>SUM(L13:L14)</f>
        <v>1456.29</v>
      </c>
    </row>
    <row r="16" spans="1:12" x14ac:dyDescent="0.25">
      <c r="A16" s="410">
        <v>14</v>
      </c>
      <c r="B16" s="414">
        <f t="shared" si="4"/>
        <v>53576.639999999999</v>
      </c>
      <c r="C16" s="414">
        <f t="shared" si="0"/>
        <v>1984.32</v>
      </c>
      <c r="D16" s="414">
        <f t="shared" si="1"/>
        <v>5.3576639999999998</v>
      </c>
      <c r="E16" s="414">
        <f t="shared" si="2"/>
        <v>1989.6776639999998</v>
      </c>
      <c r="F16" s="414">
        <f t="shared" si="3"/>
        <v>51592.32</v>
      </c>
      <c r="G16" s="415"/>
    </row>
    <row r="17" spans="1:12" x14ac:dyDescent="0.25">
      <c r="A17" s="410">
        <v>15</v>
      </c>
      <c r="B17" s="414">
        <f t="shared" si="4"/>
        <v>51592.32</v>
      </c>
      <c r="C17" s="414">
        <f t="shared" si="0"/>
        <v>1984.32</v>
      </c>
      <c r="D17" s="414">
        <f t="shared" si="1"/>
        <v>5.1592319999999994</v>
      </c>
      <c r="E17" s="414">
        <f t="shared" si="2"/>
        <v>1989.4792319999999</v>
      </c>
      <c r="F17" s="414">
        <f t="shared" si="3"/>
        <v>49608</v>
      </c>
      <c r="G17" s="416"/>
      <c r="H17" s="409"/>
      <c r="I17" s="410" t="s">
        <v>356</v>
      </c>
      <c r="J17" s="410"/>
      <c r="K17" s="410"/>
      <c r="L17" s="410"/>
    </row>
    <row r="18" spans="1:12" x14ac:dyDescent="0.25">
      <c r="A18" s="410">
        <v>16</v>
      </c>
      <c r="B18" s="414">
        <f t="shared" si="4"/>
        <v>49608</v>
      </c>
      <c r="C18" s="414">
        <f t="shared" si="0"/>
        <v>1984.32</v>
      </c>
      <c r="D18" s="414">
        <f t="shared" si="1"/>
        <v>4.9607999999999999</v>
      </c>
      <c r="E18" s="414">
        <f t="shared" si="2"/>
        <v>1989.2808</v>
      </c>
      <c r="F18" s="414">
        <f t="shared" si="3"/>
        <v>47623.68</v>
      </c>
      <c r="G18" s="415"/>
      <c r="H18" s="412"/>
      <c r="I18" s="413" t="s">
        <v>353</v>
      </c>
      <c r="J18" s="413" t="s">
        <v>16</v>
      </c>
      <c r="K18" s="413" t="s">
        <v>17</v>
      </c>
      <c r="L18" s="413" t="s">
        <v>11</v>
      </c>
    </row>
    <row r="19" spans="1:12" x14ac:dyDescent="0.25">
      <c r="A19" s="410">
        <v>17</v>
      </c>
      <c r="B19" s="414">
        <f t="shared" si="4"/>
        <v>47623.68</v>
      </c>
      <c r="C19" s="414">
        <f t="shared" si="0"/>
        <v>1984.32</v>
      </c>
      <c r="D19" s="414">
        <f t="shared" si="1"/>
        <v>4.7623680000000004</v>
      </c>
      <c r="E19" s="414">
        <f t="shared" si="2"/>
        <v>1989.0823679999999</v>
      </c>
      <c r="F19" s="414">
        <f t="shared" si="3"/>
        <v>45639.360000000001</v>
      </c>
      <c r="G19" s="415"/>
      <c r="H19" s="412" t="s">
        <v>354</v>
      </c>
      <c r="I19" s="413">
        <v>635.09</v>
      </c>
      <c r="J19" s="413">
        <v>9.2200000000000006</v>
      </c>
      <c r="K19" s="413">
        <v>1849.43</v>
      </c>
      <c r="L19" s="413">
        <f>SUM(I19:K19)</f>
        <v>2493.7400000000002</v>
      </c>
    </row>
    <row r="20" spans="1:12" x14ac:dyDescent="0.25">
      <c r="A20" s="410">
        <v>18</v>
      </c>
      <c r="B20" s="414">
        <f t="shared" si="4"/>
        <v>45639.360000000001</v>
      </c>
      <c r="C20" s="414">
        <f t="shared" si="0"/>
        <v>1984.32</v>
      </c>
      <c r="D20" s="414">
        <f t="shared" si="1"/>
        <v>4.563936</v>
      </c>
      <c r="E20" s="414">
        <f t="shared" si="2"/>
        <v>1988.8839359999999</v>
      </c>
      <c r="F20" s="414">
        <f t="shared" si="3"/>
        <v>43655.040000000001</v>
      </c>
      <c r="G20" s="415"/>
      <c r="H20" s="412" t="s">
        <v>355</v>
      </c>
      <c r="I20" s="413">
        <v>189.19</v>
      </c>
      <c r="J20" s="413"/>
      <c r="K20" s="413"/>
      <c r="L20" s="413">
        <f>SUM(I20:K20)</f>
        <v>189.19</v>
      </c>
    </row>
    <row r="21" spans="1:12" x14ac:dyDescent="0.25">
      <c r="A21" s="410">
        <v>19</v>
      </c>
      <c r="B21" s="414">
        <f t="shared" si="4"/>
        <v>43655.040000000001</v>
      </c>
      <c r="C21" s="414">
        <f t="shared" si="0"/>
        <v>1984.32</v>
      </c>
      <c r="D21" s="414">
        <f t="shared" si="1"/>
        <v>4.3655040000000005</v>
      </c>
      <c r="E21" s="414">
        <f t="shared" si="2"/>
        <v>1988.685504</v>
      </c>
      <c r="F21" s="414">
        <f t="shared" si="3"/>
        <v>41670.720000000001</v>
      </c>
      <c r="G21" s="415"/>
      <c r="H21" s="412" t="s">
        <v>11</v>
      </c>
      <c r="I21" s="413">
        <f>SUM(I19:I20)</f>
        <v>824.28</v>
      </c>
      <c r="J21" s="413">
        <f>SUM(J19:J20)</f>
        <v>9.2200000000000006</v>
      </c>
      <c r="K21" s="413">
        <f>SUM(K19:K20)</f>
        <v>1849.43</v>
      </c>
      <c r="L21" s="413">
        <f>SUM(L19:L20)</f>
        <v>2682.9300000000003</v>
      </c>
    </row>
    <row r="22" spans="1:12" x14ac:dyDescent="0.25">
      <c r="A22" s="410">
        <v>20</v>
      </c>
      <c r="B22" s="414">
        <f t="shared" si="4"/>
        <v>41670.720000000001</v>
      </c>
      <c r="C22" s="414">
        <f t="shared" si="0"/>
        <v>1984.32</v>
      </c>
      <c r="D22" s="414">
        <f t="shared" si="1"/>
        <v>4.1670720000000001</v>
      </c>
      <c r="E22" s="414">
        <f t="shared" si="2"/>
        <v>1988.4870719999999</v>
      </c>
      <c r="F22" s="414">
        <f t="shared" si="3"/>
        <v>39686.400000000001</v>
      </c>
      <c r="G22" s="415"/>
      <c r="H22" s="754" t="s">
        <v>357</v>
      </c>
      <c r="I22" s="754">
        <f>I15+I21</f>
        <v>1430.9</v>
      </c>
      <c r="J22" s="754">
        <f>J15+J21</f>
        <v>9.2200000000000006</v>
      </c>
      <c r="K22" s="754">
        <f>K15+K21</f>
        <v>2699.1</v>
      </c>
      <c r="L22" s="754">
        <f>L15+L21</f>
        <v>4139.22</v>
      </c>
    </row>
    <row r="23" spans="1:12" x14ac:dyDescent="0.25">
      <c r="A23" s="410">
        <v>21</v>
      </c>
      <c r="B23" s="414">
        <f t="shared" si="4"/>
        <v>39686.400000000001</v>
      </c>
      <c r="C23" s="414">
        <f t="shared" si="0"/>
        <v>1984.32</v>
      </c>
      <c r="D23" s="414">
        <f t="shared" si="1"/>
        <v>3.9686400000000002</v>
      </c>
      <c r="E23" s="414">
        <f t="shared" si="2"/>
        <v>1988.28864</v>
      </c>
      <c r="F23" s="414">
        <f t="shared" si="3"/>
        <v>37702.080000000002</v>
      </c>
      <c r="G23" s="416"/>
    </row>
    <row r="24" spans="1:12" x14ac:dyDescent="0.25">
      <c r="A24" s="410">
        <v>22</v>
      </c>
      <c r="B24" s="414">
        <f t="shared" si="4"/>
        <v>37702.080000000002</v>
      </c>
      <c r="C24" s="414">
        <f t="shared" si="0"/>
        <v>1984.32</v>
      </c>
      <c r="D24" s="414">
        <f t="shared" si="1"/>
        <v>3.7702080000000002</v>
      </c>
      <c r="E24" s="414">
        <f t="shared" si="2"/>
        <v>1988.0902079999998</v>
      </c>
      <c r="F24" s="414">
        <f t="shared" si="3"/>
        <v>35717.760000000002</v>
      </c>
      <c r="G24" s="416"/>
    </row>
    <row r="25" spans="1:12" x14ac:dyDescent="0.25">
      <c r="A25" s="410">
        <v>23</v>
      </c>
      <c r="B25" s="414">
        <f t="shared" si="4"/>
        <v>35717.760000000002</v>
      </c>
      <c r="C25" s="414">
        <f t="shared" si="0"/>
        <v>1984.32</v>
      </c>
      <c r="D25" s="414">
        <f t="shared" si="1"/>
        <v>3.5717760000000003</v>
      </c>
      <c r="E25" s="414">
        <f t="shared" si="2"/>
        <v>1987.8917759999999</v>
      </c>
      <c r="F25" s="414">
        <f t="shared" si="3"/>
        <v>33733.440000000002</v>
      </c>
      <c r="G25" s="416"/>
      <c r="H25" s="409"/>
      <c r="I25" s="410" t="s">
        <v>358</v>
      </c>
      <c r="J25" s="410"/>
      <c r="K25" s="410"/>
      <c r="L25" s="410"/>
    </row>
    <row r="26" spans="1:12" x14ac:dyDescent="0.25">
      <c r="A26" s="410">
        <v>24</v>
      </c>
      <c r="B26" s="414">
        <f t="shared" si="4"/>
        <v>33733.440000000002</v>
      </c>
      <c r="C26" s="414">
        <f t="shared" si="0"/>
        <v>1984.32</v>
      </c>
      <c r="D26" s="414">
        <f t="shared" si="1"/>
        <v>3.3733440000000003</v>
      </c>
      <c r="E26" s="414">
        <f t="shared" si="2"/>
        <v>1987.693344</v>
      </c>
      <c r="F26" s="414">
        <f t="shared" si="3"/>
        <v>31749.120000000003</v>
      </c>
      <c r="G26" s="415"/>
      <c r="H26" s="412"/>
      <c r="I26" s="413" t="s">
        <v>353</v>
      </c>
      <c r="J26" s="413" t="s">
        <v>16</v>
      </c>
      <c r="K26" s="413" t="s">
        <v>17</v>
      </c>
      <c r="L26" s="413" t="s">
        <v>11</v>
      </c>
    </row>
    <row r="27" spans="1:12" x14ac:dyDescent="0.25">
      <c r="A27" s="410">
        <v>25</v>
      </c>
      <c r="B27" s="414">
        <f t="shared" si="4"/>
        <v>31749.120000000003</v>
      </c>
      <c r="C27" s="414">
        <f t="shared" si="0"/>
        <v>1984.32</v>
      </c>
      <c r="D27" s="414">
        <f t="shared" si="1"/>
        <v>3.1749120000000004</v>
      </c>
      <c r="E27" s="414">
        <f t="shared" si="2"/>
        <v>1987.4949119999999</v>
      </c>
      <c r="F27" s="414">
        <f t="shared" si="3"/>
        <v>29764.800000000003</v>
      </c>
      <c r="G27" s="415"/>
      <c r="H27" s="412" t="s">
        <v>354</v>
      </c>
      <c r="I27" s="413">
        <v>703.95</v>
      </c>
      <c r="J27" s="413">
        <v>401.59</v>
      </c>
      <c r="K27" s="413">
        <v>1093.1500000000001</v>
      </c>
      <c r="L27" s="413">
        <f>SUM(I27:K27)</f>
        <v>2198.69</v>
      </c>
    </row>
    <row r="28" spans="1:12" x14ac:dyDescent="0.25">
      <c r="A28" s="410">
        <v>26</v>
      </c>
      <c r="B28" s="414">
        <f t="shared" si="4"/>
        <v>29764.800000000003</v>
      </c>
      <c r="C28" s="414">
        <f t="shared" si="0"/>
        <v>1984.32</v>
      </c>
      <c r="D28" s="414">
        <f t="shared" si="1"/>
        <v>2.9764800000000005</v>
      </c>
      <c r="E28" s="414">
        <f t="shared" si="2"/>
        <v>1987.29648</v>
      </c>
      <c r="F28" s="414">
        <f t="shared" si="3"/>
        <v>27780.480000000003</v>
      </c>
      <c r="G28" s="415"/>
      <c r="H28" s="412" t="s">
        <v>355</v>
      </c>
      <c r="I28" s="413">
        <v>4854.6000000000004</v>
      </c>
      <c r="J28" s="413">
        <v>860.19</v>
      </c>
      <c r="K28" s="413"/>
      <c r="L28" s="413">
        <f>SUM(I28:K28)</f>
        <v>5714.7900000000009</v>
      </c>
    </row>
    <row r="29" spans="1:12" x14ac:dyDescent="0.25">
      <c r="A29" s="410">
        <v>27</v>
      </c>
      <c r="B29" s="414">
        <f t="shared" si="4"/>
        <v>27780.480000000003</v>
      </c>
      <c r="C29" s="414">
        <f t="shared" si="0"/>
        <v>1984.32</v>
      </c>
      <c r="D29" s="414">
        <f t="shared" si="1"/>
        <v>2.7780480000000005</v>
      </c>
      <c r="E29" s="414">
        <f t="shared" si="2"/>
        <v>1987.0980479999998</v>
      </c>
      <c r="F29" s="414">
        <f t="shared" si="3"/>
        <v>25796.160000000003</v>
      </c>
      <c r="G29" s="415"/>
      <c r="H29" s="412" t="s">
        <v>11</v>
      </c>
      <c r="I29" s="413">
        <f>SUM(I27:I28)</f>
        <v>5558.55</v>
      </c>
      <c r="J29" s="413">
        <f>SUM(J27:J28)</f>
        <v>1261.78</v>
      </c>
      <c r="K29" s="413">
        <f>SUM(K27:K28)</f>
        <v>1093.1500000000001</v>
      </c>
      <c r="L29" s="413">
        <f>SUM(L27:L28)</f>
        <v>7913.4800000000014</v>
      </c>
    </row>
    <row r="30" spans="1:12" x14ac:dyDescent="0.25">
      <c r="A30" s="410">
        <v>28</v>
      </c>
      <c r="B30" s="414">
        <f t="shared" si="4"/>
        <v>25796.160000000003</v>
      </c>
      <c r="C30" s="414">
        <f t="shared" si="0"/>
        <v>1984.32</v>
      </c>
      <c r="D30" s="414">
        <f t="shared" si="1"/>
        <v>2.5796160000000001</v>
      </c>
      <c r="E30" s="414">
        <f t="shared" si="2"/>
        <v>1986.8996159999999</v>
      </c>
      <c r="F30" s="414">
        <f t="shared" si="3"/>
        <v>23811.840000000004</v>
      </c>
      <c r="G30" s="415"/>
      <c r="H30" s="754" t="s">
        <v>357</v>
      </c>
      <c r="I30" s="754">
        <f>I22+I29</f>
        <v>6989.4500000000007</v>
      </c>
      <c r="J30" s="754">
        <f>J22+J29</f>
        <v>1271</v>
      </c>
      <c r="K30" s="754">
        <f>K22+K29</f>
        <v>3792.25</v>
      </c>
      <c r="L30" s="754">
        <f>L22+L29</f>
        <v>12052.7</v>
      </c>
    </row>
    <row r="31" spans="1:12" x14ac:dyDescent="0.25">
      <c r="A31" s="410">
        <v>29</v>
      </c>
      <c r="B31" s="414">
        <f t="shared" si="4"/>
        <v>23811.840000000004</v>
      </c>
      <c r="C31" s="414">
        <f t="shared" si="0"/>
        <v>1984.32</v>
      </c>
      <c r="D31" s="414">
        <f t="shared" si="1"/>
        <v>2.3811840000000002</v>
      </c>
      <c r="E31" s="414">
        <f t="shared" si="2"/>
        <v>1986.701184</v>
      </c>
      <c r="F31" s="414">
        <f t="shared" si="3"/>
        <v>21827.520000000004</v>
      </c>
      <c r="G31" s="416"/>
    </row>
    <row r="32" spans="1:12" x14ac:dyDescent="0.25">
      <c r="A32" s="410">
        <v>30</v>
      </c>
      <c r="B32" s="414">
        <f t="shared" si="4"/>
        <v>21827.520000000004</v>
      </c>
      <c r="C32" s="414">
        <f t="shared" si="0"/>
        <v>1984.32</v>
      </c>
      <c r="D32" s="414">
        <f t="shared" si="1"/>
        <v>2.1827520000000002</v>
      </c>
      <c r="E32" s="414">
        <f t="shared" si="2"/>
        <v>1986.5027519999999</v>
      </c>
      <c r="F32" s="414">
        <f t="shared" si="3"/>
        <v>19843.200000000004</v>
      </c>
      <c r="G32" s="416"/>
      <c r="H32" s="409" t="s">
        <v>359</v>
      </c>
      <c r="I32" s="410" t="s">
        <v>360</v>
      </c>
      <c r="J32" s="410"/>
      <c r="K32" s="410"/>
      <c r="L32" s="410"/>
    </row>
    <row r="33" spans="1:12" x14ac:dyDescent="0.25">
      <c r="A33" s="410">
        <v>31</v>
      </c>
      <c r="B33" s="414">
        <f t="shared" si="4"/>
        <v>19843.200000000004</v>
      </c>
      <c r="C33" s="414">
        <f t="shared" si="0"/>
        <v>1984.32</v>
      </c>
      <c r="D33" s="414">
        <f t="shared" si="1"/>
        <v>1.9843200000000005</v>
      </c>
      <c r="E33" s="414">
        <f t="shared" si="2"/>
        <v>1986.30432</v>
      </c>
      <c r="F33" s="414">
        <f t="shared" si="3"/>
        <v>17858.880000000005</v>
      </c>
      <c r="G33" s="415"/>
      <c r="H33" s="412"/>
      <c r="I33" s="413" t="s">
        <v>353</v>
      </c>
      <c r="J33" s="413" t="s">
        <v>16</v>
      </c>
      <c r="K33" s="413" t="s">
        <v>17</v>
      </c>
      <c r="L33" s="413" t="s">
        <v>11</v>
      </c>
    </row>
    <row r="34" spans="1:12" x14ac:dyDescent="0.25">
      <c r="A34" s="410">
        <v>32</v>
      </c>
      <c r="B34" s="414">
        <f t="shared" si="4"/>
        <v>17858.880000000005</v>
      </c>
      <c r="C34" s="414">
        <f t="shared" si="0"/>
        <v>1984.32</v>
      </c>
      <c r="D34" s="414">
        <f t="shared" si="1"/>
        <v>1.7858880000000006</v>
      </c>
      <c r="E34" s="414">
        <f t="shared" si="2"/>
        <v>1986.105888</v>
      </c>
      <c r="F34" s="414">
        <f t="shared" si="3"/>
        <v>15874.560000000005</v>
      </c>
      <c r="G34" s="415"/>
      <c r="H34" s="412" t="s">
        <v>354</v>
      </c>
      <c r="I34" s="413">
        <v>700</v>
      </c>
      <c r="J34" s="413">
        <v>800</v>
      </c>
      <c r="K34" s="413">
        <v>800</v>
      </c>
      <c r="L34" s="413">
        <f>SUM(I34:K34)</f>
        <v>2300</v>
      </c>
    </row>
    <row r="35" spans="1:12" x14ac:dyDescent="0.25">
      <c r="A35" s="410">
        <v>33</v>
      </c>
      <c r="B35" s="414">
        <f t="shared" si="4"/>
        <v>15874.560000000005</v>
      </c>
      <c r="C35" s="414">
        <f t="shared" si="0"/>
        <v>1984.32</v>
      </c>
      <c r="D35" s="414">
        <f t="shared" si="1"/>
        <v>1.5874560000000004</v>
      </c>
      <c r="E35" s="414">
        <f t="shared" si="2"/>
        <v>1985.9074559999999</v>
      </c>
      <c r="F35" s="414">
        <f t="shared" si="3"/>
        <v>13890.240000000005</v>
      </c>
      <c r="G35" s="415"/>
      <c r="H35" s="412" t="s">
        <v>355</v>
      </c>
      <c r="I35" s="413">
        <v>10300</v>
      </c>
      <c r="J35" s="413">
        <v>7400</v>
      </c>
      <c r="K35" s="413"/>
      <c r="L35" s="413">
        <f>SUM(I35:K35)</f>
        <v>17700</v>
      </c>
    </row>
    <row r="36" spans="1:12" x14ac:dyDescent="0.25">
      <c r="A36" s="410">
        <v>34</v>
      </c>
      <c r="B36" s="414">
        <f t="shared" si="4"/>
        <v>13890.240000000005</v>
      </c>
      <c r="C36" s="414">
        <f t="shared" si="0"/>
        <v>1984.32</v>
      </c>
      <c r="D36" s="414">
        <f t="shared" si="1"/>
        <v>1.3890240000000005</v>
      </c>
      <c r="E36" s="414">
        <f t="shared" si="2"/>
        <v>1985.709024</v>
      </c>
      <c r="F36" s="414">
        <f t="shared" si="3"/>
        <v>11905.920000000006</v>
      </c>
      <c r="G36" s="415"/>
      <c r="H36" s="412" t="s">
        <v>11</v>
      </c>
      <c r="I36" s="413">
        <f>SUM(I34:I35)</f>
        <v>11000</v>
      </c>
      <c r="J36" s="413">
        <f>SUM(J34:J35)</f>
        <v>8200</v>
      </c>
      <c r="K36" s="413">
        <f>SUM(K34:K35)</f>
        <v>800</v>
      </c>
      <c r="L36" s="413">
        <f>SUM(L34:L35)</f>
        <v>20000</v>
      </c>
    </row>
    <row r="37" spans="1:12" x14ac:dyDescent="0.25">
      <c r="A37" s="410">
        <v>35</v>
      </c>
      <c r="B37" s="414">
        <f t="shared" si="4"/>
        <v>11905.920000000006</v>
      </c>
      <c r="C37" s="414">
        <f t="shared" si="0"/>
        <v>1984.32</v>
      </c>
      <c r="D37" s="414">
        <f t="shared" si="1"/>
        <v>1.1905920000000005</v>
      </c>
      <c r="E37" s="414">
        <f t="shared" si="2"/>
        <v>1985.5105919999999</v>
      </c>
      <c r="F37" s="414">
        <f t="shared" si="3"/>
        <v>9921.6000000000058</v>
      </c>
      <c r="G37" s="415"/>
    </row>
    <row r="38" spans="1:12" x14ac:dyDescent="0.25">
      <c r="A38" s="410">
        <v>36</v>
      </c>
      <c r="B38" s="414">
        <f t="shared" si="4"/>
        <v>9921.6000000000058</v>
      </c>
      <c r="C38" s="414">
        <f t="shared" si="0"/>
        <v>1984.32</v>
      </c>
      <c r="D38" s="414">
        <f t="shared" si="1"/>
        <v>0.9921600000000006</v>
      </c>
      <c r="E38" s="414">
        <f t="shared" si="2"/>
        <v>1985.3121599999999</v>
      </c>
      <c r="F38" s="414">
        <f t="shared" si="3"/>
        <v>7937.2800000000061</v>
      </c>
      <c r="G38" s="416"/>
      <c r="H38" s="409"/>
      <c r="I38" s="410" t="s">
        <v>361</v>
      </c>
      <c r="J38" s="410"/>
      <c r="K38" s="410"/>
      <c r="L38" s="410"/>
    </row>
    <row r="39" spans="1:12" x14ac:dyDescent="0.25">
      <c r="A39" s="410">
        <v>37</v>
      </c>
      <c r="B39" s="414">
        <f t="shared" si="4"/>
        <v>7937.2800000000061</v>
      </c>
      <c r="C39" s="414">
        <f t="shared" si="0"/>
        <v>1984.32</v>
      </c>
      <c r="D39" s="414">
        <f t="shared" si="1"/>
        <v>0.79372800000000066</v>
      </c>
      <c r="E39" s="414">
        <f t="shared" si="2"/>
        <v>1985.113728</v>
      </c>
      <c r="F39" s="414">
        <f t="shared" si="3"/>
        <v>5952.9600000000064</v>
      </c>
      <c r="G39" s="415"/>
      <c r="H39" s="412"/>
      <c r="I39" s="413" t="s">
        <v>353</v>
      </c>
      <c r="J39" s="413" t="s">
        <v>16</v>
      </c>
      <c r="K39" s="413" t="s">
        <v>17</v>
      </c>
      <c r="L39" s="413" t="s">
        <v>11</v>
      </c>
    </row>
    <row r="40" spans="1:12" x14ac:dyDescent="0.25">
      <c r="A40" s="410">
        <v>38</v>
      </c>
      <c r="B40" s="414">
        <f t="shared" si="4"/>
        <v>5952.9600000000064</v>
      </c>
      <c r="C40" s="414">
        <f t="shared" si="0"/>
        <v>1984.32</v>
      </c>
      <c r="D40" s="414">
        <f t="shared" si="1"/>
        <v>0.59529600000000071</v>
      </c>
      <c r="E40" s="414">
        <f t="shared" si="2"/>
        <v>1984.9152959999999</v>
      </c>
      <c r="F40" s="414">
        <f t="shared" si="3"/>
        <v>3968.6400000000067</v>
      </c>
      <c r="G40" s="415"/>
      <c r="H40" s="412" t="s">
        <v>354</v>
      </c>
      <c r="I40" s="413">
        <f t="shared" ref="I40:K41" si="5">I34-I13-I19</f>
        <v>-166.51</v>
      </c>
      <c r="J40" s="413">
        <f t="shared" si="5"/>
        <v>790.78</v>
      </c>
      <c r="K40" s="413">
        <f t="shared" si="5"/>
        <v>-1899.1</v>
      </c>
      <c r="L40" s="413">
        <f>SUM(I40:K40)</f>
        <v>-1274.83</v>
      </c>
    </row>
    <row r="41" spans="1:12" x14ac:dyDescent="0.25">
      <c r="A41" s="410">
        <v>39</v>
      </c>
      <c r="B41" s="414">
        <f t="shared" si="4"/>
        <v>3968.6400000000067</v>
      </c>
      <c r="C41" s="414">
        <f t="shared" si="0"/>
        <v>1984.32</v>
      </c>
      <c r="D41" s="414">
        <f t="shared" si="1"/>
        <v>0.39686400000000072</v>
      </c>
      <c r="E41" s="414">
        <f t="shared" si="2"/>
        <v>1984.716864</v>
      </c>
      <c r="F41" s="414">
        <f t="shared" si="3"/>
        <v>1984.3200000000068</v>
      </c>
      <c r="G41" s="415"/>
      <c r="H41" s="412" t="s">
        <v>355</v>
      </c>
      <c r="I41" s="413">
        <f t="shared" si="5"/>
        <v>9735.6099999999988</v>
      </c>
      <c r="J41" s="413">
        <f t="shared" si="5"/>
        <v>7400</v>
      </c>
      <c r="K41" s="413">
        <f t="shared" si="5"/>
        <v>0</v>
      </c>
      <c r="L41" s="413">
        <f>SUM(I41:K41)</f>
        <v>17135.61</v>
      </c>
    </row>
    <row r="42" spans="1:12" x14ac:dyDescent="0.25">
      <c r="A42" s="410">
        <v>40</v>
      </c>
      <c r="B42" s="414">
        <f t="shared" si="4"/>
        <v>1984.3200000000068</v>
      </c>
      <c r="C42" s="414">
        <f t="shared" si="0"/>
        <v>1984.32</v>
      </c>
      <c r="D42" s="414">
        <f t="shared" si="1"/>
        <v>0.19843200000000066</v>
      </c>
      <c r="E42" s="414">
        <f t="shared" si="2"/>
        <v>1984.5184319999998</v>
      </c>
      <c r="F42" s="414">
        <f t="shared" si="3"/>
        <v>6.8212102632969618E-12</v>
      </c>
      <c r="G42" s="415"/>
      <c r="H42" s="412" t="s">
        <v>11</v>
      </c>
      <c r="I42" s="413">
        <f>SUM(I40:I41)</f>
        <v>9569.0999999999985</v>
      </c>
      <c r="J42" s="413">
        <f>SUM(J40:J41)</f>
        <v>8190.78</v>
      </c>
      <c r="K42" s="413">
        <f>SUM(K40:K41)</f>
        <v>-1899.1</v>
      </c>
      <c r="L42" s="413">
        <f>SUM(L40:L41)</f>
        <v>15860.78</v>
      </c>
    </row>
    <row r="43" spans="1:12" x14ac:dyDescent="0.25">
      <c r="A43" s="916" t="s">
        <v>11</v>
      </c>
      <c r="B43" s="820"/>
      <c r="C43" s="417">
        <f>SUM(C13:C42)</f>
        <v>59529.599999999999</v>
      </c>
      <c r="D43" s="417">
        <f>SUM(D13:D42)</f>
        <v>92.270880000000005</v>
      </c>
      <c r="E43" s="417">
        <f t="shared" si="2"/>
        <v>59621.870879999995</v>
      </c>
      <c r="F43" s="414"/>
      <c r="G43" s="415"/>
    </row>
    <row r="44" spans="1:12" x14ac:dyDescent="0.25">
      <c r="H44" s="409"/>
      <c r="I44" s="410" t="s">
        <v>362</v>
      </c>
      <c r="J44" s="410"/>
      <c r="K44" s="410"/>
      <c r="L44" s="410"/>
    </row>
    <row r="45" spans="1:12" x14ac:dyDescent="0.25">
      <c r="H45" s="412"/>
      <c r="I45" s="413" t="s">
        <v>353</v>
      </c>
      <c r="J45" s="413" t="s">
        <v>16</v>
      </c>
      <c r="K45" s="413" t="s">
        <v>17</v>
      </c>
      <c r="L45" s="413" t="s">
        <v>11</v>
      </c>
    </row>
    <row r="46" spans="1:12" x14ac:dyDescent="0.25">
      <c r="H46" s="412" t="s">
        <v>354</v>
      </c>
      <c r="I46" s="413">
        <f t="shared" ref="I46:K47" si="6">I27-I40</f>
        <v>870.46</v>
      </c>
      <c r="J46" s="413">
        <f t="shared" si="6"/>
        <v>-389.19</v>
      </c>
      <c r="K46" s="413">
        <f t="shared" si="6"/>
        <v>2992.25</v>
      </c>
      <c r="L46" s="413">
        <f>SUM(I46:K46)</f>
        <v>3473.52</v>
      </c>
    </row>
    <row r="47" spans="1:12" x14ac:dyDescent="0.25">
      <c r="H47" s="412" t="s">
        <v>355</v>
      </c>
      <c r="I47" s="413">
        <f t="shared" si="6"/>
        <v>-4881.0099999999984</v>
      </c>
      <c r="J47" s="413">
        <f t="shared" si="6"/>
        <v>-6539.8099999999995</v>
      </c>
      <c r="K47" s="413">
        <f t="shared" si="6"/>
        <v>0</v>
      </c>
      <c r="L47" s="413">
        <f>SUM(I47:K47)</f>
        <v>-11420.819999999998</v>
      </c>
    </row>
    <row r="48" spans="1:12" x14ac:dyDescent="0.25">
      <c r="H48" s="412" t="s">
        <v>11</v>
      </c>
      <c r="I48" s="413">
        <f>SUM(I46:I47)</f>
        <v>-4010.5499999999984</v>
      </c>
      <c r="J48" s="413">
        <f>SUM(J46:J47)</f>
        <v>-6928.9999999999991</v>
      </c>
      <c r="K48" s="413">
        <f>SUM(K46:K47)</f>
        <v>2992.25</v>
      </c>
      <c r="L48" s="413">
        <f>SUM(L46:L47)</f>
        <v>-7947.2999999999975</v>
      </c>
    </row>
  </sheetData>
  <mergeCells count="13">
    <mergeCell ref="A43:B43"/>
    <mergeCell ref="A7:B7"/>
    <mergeCell ref="C7:F7"/>
    <mergeCell ref="A8:B8"/>
    <mergeCell ref="C8:F8"/>
    <mergeCell ref="A9:B9"/>
    <mergeCell ref="C9:F9"/>
    <mergeCell ref="A1:F1"/>
    <mergeCell ref="A3:F3"/>
    <mergeCell ref="A5:B5"/>
    <mergeCell ref="C5:F5"/>
    <mergeCell ref="A6:B6"/>
    <mergeCell ref="C6:F6"/>
  </mergeCells>
  <pageMargins left="0.7" right="0.3" top="0.59" bottom="0.75" header="0.3" footer="0.3"/>
  <pageSetup paperSize="9" orientation="portrait"/>
  <headerFooter>
    <oddFooter>&amp;C&amp;12 P - 44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31" zoomScaleNormal="100" zoomScaleSheetLayoutView="100" workbookViewId="0">
      <selection activeCell="L40" sqref="L40"/>
    </sheetView>
  </sheetViews>
  <sheetFormatPr defaultColWidth="8.7109375" defaultRowHeight="15" x14ac:dyDescent="0.25"/>
  <cols>
    <col min="1" max="1" width="12" style="752" customWidth="1"/>
    <col min="2" max="2" width="9.85546875" style="752" bestFit="1" customWidth="1"/>
    <col min="3" max="3" width="9.28515625" style="752" bestFit="1" customWidth="1"/>
    <col min="4" max="4" width="11" style="752" customWidth="1"/>
    <col min="5" max="5" width="10.42578125" style="752" customWidth="1"/>
    <col min="6" max="7" width="11" style="752" customWidth="1"/>
    <col min="8" max="8" width="11.7109375" style="752" customWidth="1"/>
    <col min="9" max="9" width="8.7109375" style="752" customWidth="1"/>
    <col min="10" max="10" width="11.28515625" style="752" customWidth="1"/>
    <col min="11" max="156" width="8.7109375" style="752" customWidth="1"/>
    <col min="157" max="16384" width="8.7109375" style="752"/>
  </cols>
  <sheetData>
    <row r="2" spans="1:8" ht="15.75" customHeight="1" x14ac:dyDescent="0.25">
      <c r="F2" s="906"/>
      <c r="G2" s="907"/>
      <c r="H2" s="907"/>
    </row>
    <row r="4" spans="1:8" ht="18.75" customHeight="1" x14ac:dyDescent="0.3">
      <c r="A4" s="908" t="s">
        <v>314</v>
      </c>
      <c r="B4" s="907"/>
      <c r="C4" s="907"/>
      <c r="D4" s="907"/>
      <c r="E4" s="907"/>
      <c r="F4" s="907"/>
      <c r="G4" s="907"/>
      <c r="H4" s="907"/>
    </row>
    <row r="5" spans="1:8" ht="18.75" customHeight="1" x14ac:dyDescent="0.3">
      <c r="A5" s="908" t="s">
        <v>315</v>
      </c>
      <c r="B5" s="907"/>
      <c r="C5" s="907"/>
      <c r="D5" s="907"/>
      <c r="E5" s="907"/>
      <c r="F5" s="907"/>
      <c r="G5" s="907"/>
      <c r="H5" s="907"/>
    </row>
    <row r="6" spans="1:8" ht="15.75" customHeight="1" thickBot="1" x14ac:dyDescent="0.3">
      <c r="G6" s="909" t="s">
        <v>316</v>
      </c>
      <c r="H6" s="910"/>
    </row>
    <row r="7" spans="1:8" ht="46.5" customHeight="1" thickTop="1" thickBot="1" x14ac:dyDescent="0.3">
      <c r="A7" s="383" t="s">
        <v>317</v>
      </c>
      <c r="B7" s="384" t="s">
        <v>318</v>
      </c>
      <c r="C7" s="384" t="s">
        <v>319</v>
      </c>
      <c r="D7" s="385" t="s">
        <v>320</v>
      </c>
      <c r="E7" s="384" t="s">
        <v>321</v>
      </c>
      <c r="F7" s="384" t="s">
        <v>322</v>
      </c>
      <c r="G7" s="384" t="s">
        <v>323</v>
      </c>
      <c r="H7" s="386" t="s">
        <v>324</v>
      </c>
    </row>
    <row r="8" spans="1:8" ht="15.75" customHeight="1" thickTop="1" x14ac:dyDescent="0.25">
      <c r="A8" s="387">
        <v>1</v>
      </c>
      <c r="B8" s="388">
        <v>1456.29</v>
      </c>
      <c r="C8" s="388">
        <v>0</v>
      </c>
      <c r="D8" s="388">
        <f t="shared" ref="D8:D37" si="0">SUM(B8:C8)</f>
        <v>1456.29</v>
      </c>
      <c r="E8" s="389">
        <v>0</v>
      </c>
      <c r="F8" s="388">
        <v>0</v>
      </c>
      <c r="G8" s="388">
        <f t="shared" ref="G8:G37" si="1">+E8+F8</f>
        <v>0</v>
      </c>
      <c r="H8" s="390">
        <f t="shared" ref="H8:H37" si="2">+G8-D8</f>
        <v>-1456.29</v>
      </c>
    </row>
    <row r="9" spans="1:8" x14ac:dyDescent="0.25">
      <c r="A9" s="391">
        <f t="shared" ref="A9:A37" si="3">+A8+1</f>
        <v>2</v>
      </c>
      <c r="B9" s="389">
        <v>2652.93</v>
      </c>
      <c r="C9" s="389">
        <v>0</v>
      </c>
      <c r="D9" s="388">
        <f t="shared" si="0"/>
        <v>2652.93</v>
      </c>
      <c r="E9" s="389">
        <v>0</v>
      </c>
      <c r="F9" s="388">
        <v>0</v>
      </c>
      <c r="G9" s="388">
        <f t="shared" si="1"/>
        <v>0</v>
      </c>
      <c r="H9" s="390">
        <f t="shared" si="2"/>
        <v>-2652.93</v>
      </c>
    </row>
    <row r="10" spans="1:8" x14ac:dyDescent="0.25">
      <c r="A10" s="391">
        <f t="shared" si="3"/>
        <v>3</v>
      </c>
      <c r="B10" s="389">
        <v>7942.6659999999993</v>
      </c>
      <c r="C10" s="389">
        <v>0</v>
      </c>
      <c r="D10" s="388">
        <f t="shared" si="0"/>
        <v>7942.6659999999993</v>
      </c>
      <c r="E10" s="389">
        <v>0</v>
      </c>
      <c r="F10" s="388">
        <v>0</v>
      </c>
      <c r="G10" s="388">
        <f t="shared" si="1"/>
        <v>0</v>
      </c>
      <c r="H10" s="390">
        <f t="shared" si="2"/>
        <v>-7942.6659999999993</v>
      </c>
    </row>
    <row r="11" spans="1:8" ht="14.45" customHeight="1" x14ac:dyDescent="0.25">
      <c r="A11" s="391">
        <f t="shared" si="3"/>
        <v>4</v>
      </c>
      <c r="B11" s="392">
        <v>15866.4</v>
      </c>
      <c r="C11" s="389">
        <v>0</v>
      </c>
      <c r="D11" s="388">
        <f t="shared" si="0"/>
        <v>15866.4</v>
      </c>
      <c r="E11" s="389">
        <v>0</v>
      </c>
      <c r="F11" s="388">
        <v>0</v>
      </c>
      <c r="G11" s="388">
        <f t="shared" si="1"/>
        <v>0</v>
      </c>
      <c r="H11" s="390">
        <f t="shared" si="2"/>
        <v>-15866.4</v>
      </c>
    </row>
    <row r="12" spans="1:8" ht="14.45" customHeight="1" x14ac:dyDescent="0.25">
      <c r="A12" s="391">
        <f t="shared" si="3"/>
        <v>5</v>
      </c>
      <c r="B12" s="392">
        <v>17642.414000000001</v>
      </c>
      <c r="C12" s="389">
        <v>0</v>
      </c>
      <c r="D12" s="388">
        <f t="shared" si="0"/>
        <v>17642.414000000001</v>
      </c>
      <c r="E12" s="389">
        <v>0</v>
      </c>
      <c r="F12" s="389">
        <v>0</v>
      </c>
      <c r="G12" s="388">
        <f t="shared" si="1"/>
        <v>0</v>
      </c>
      <c r="H12" s="390">
        <f t="shared" si="2"/>
        <v>-17642.414000000001</v>
      </c>
    </row>
    <row r="13" spans="1:8" ht="14.45" customHeight="1" x14ac:dyDescent="0.25">
      <c r="A13" s="391">
        <f t="shared" si="3"/>
        <v>6</v>
      </c>
      <c r="B13" s="392">
        <v>24717.06</v>
      </c>
      <c r="C13" s="389">
        <v>0</v>
      </c>
      <c r="D13" s="388">
        <f t="shared" si="0"/>
        <v>24717.06</v>
      </c>
      <c r="E13" s="389">
        <f>E17*0.5</f>
        <v>21832.158289999996</v>
      </c>
      <c r="F13" s="389">
        <v>0</v>
      </c>
      <c r="G13" s="388">
        <f t="shared" si="1"/>
        <v>21832.158289999996</v>
      </c>
      <c r="H13" s="390">
        <f t="shared" si="2"/>
        <v>-2884.9017100000056</v>
      </c>
    </row>
    <row r="14" spans="1:8" ht="14.45" customHeight="1" x14ac:dyDescent="0.25">
      <c r="A14" s="391">
        <f t="shared" si="3"/>
        <v>7</v>
      </c>
      <c r="B14" s="392">
        <v>18586.344700000001</v>
      </c>
      <c r="C14" s="389">
        <v>0</v>
      </c>
      <c r="D14" s="388">
        <f t="shared" si="0"/>
        <v>18586.344700000001</v>
      </c>
      <c r="E14" s="389">
        <f>E17*0.6</f>
        <v>26198.589947999993</v>
      </c>
      <c r="F14" s="389">
        <v>0</v>
      </c>
      <c r="G14" s="388">
        <f t="shared" si="1"/>
        <v>26198.589947999993</v>
      </c>
      <c r="H14" s="390">
        <f t="shared" si="2"/>
        <v>7612.245247999992</v>
      </c>
    </row>
    <row r="15" spans="1:8" ht="14.45" customHeight="1" x14ac:dyDescent="0.25">
      <c r="A15" s="391">
        <f t="shared" si="3"/>
        <v>8</v>
      </c>
      <c r="B15" s="392">
        <v>12971.685299999999</v>
      </c>
      <c r="C15" s="389">
        <v>0</v>
      </c>
      <c r="D15" s="388">
        <f t="shared" si="0"/>
        <v>12971.685299999999</v>
      </c>
      <c r="E15" s="389">
        <f>E17*0.7</f>
        <v>30565.021605999991</v>
      </c>
      <c r="F15" s="389">
        <v>0</v>
      </c>
      <c r="G15" s="388">
        <f t="shared" si="1"/>
        <v>30565.021605999991</v>
      </c>
      <c r="H15" s="390">
        <f t="shared" si="2"/>
        <v>17593.33630599999</v>
      </c>
    </row>
    <row r="16" spans="1:8" ht="14.45" customHeight="1" x14ac:dyDescent="0.25">
      <c r="A16" s="391">
        <f t="shared" si="3"/>
        <v>9</v>
      </c>
      <c r="B16" s="392"/>
      <c r="C16" s="389">
        <v>670</v>
      </c>
      <c r="D16" s="388">
        <f t="shared" si="0"/>
        <v>670</v>
      </c>
      <c r="E16" s="389">
        <f>E17*0.8</f>
        <v>34931.453263999996</v>
      </c>
      <c r="F16" s="389">
        <v>0</v>
      </c>
      <c r="G16" s="388">
        <f t="shared" si="1"/>
        <v>34931.453263999996</v>
      </c>
      <c r="H16" s="390">
        <f t="shared" si="2"/>
        <v>34261.453263999996</v>
      </c>
    </row>
    <row r="17" spans="1:10" ht="14.45" customHeight="1" x14ac:dyDescent="0.25">
      <c r="A17" s="391">
        <f t="shared" si="3"/>
        <v>10</v>
      </c>
      <c r="B17" s="392"/>
      <c r="C17" s="389">
        <f>670</f>
        <v>670</v>
      </c>
      <c r="D17" s="388">
        <f t="shared" si="0"/>
        <v>670</v>
      </c>
      <c r="E17" s="389">
        <v>43664.316579999992</v>
      </c>
      <c r="F17" s="389">
        <v>0</v>
      </c>
      <c r="G17" s="388">
        <f t="shared" si="1"/>
        <v>43664.316579999992</v>
      </c>
      <c r="H17" s="390">
        <f t="shared" si="2"/>
        <v>42994.316579999992</v>
      </c>
      <c r="J17" s="393"/>
    </row>
    <row r="18" spans="1:10" ht="14.45" customHeight="1" x14ac:dyDescent="0.25">
      <c r="A18" s="391">
        <f t="shared" si="3"/>
        <v>11</v>
      </c>
      <c r="B18" s="392"/>
      <c r="C18" s="389">
        <f t="shared" ref="C18:C37" si="4">C17</f>
        <v>670</v>
      </c>
      <c r="D18" s="388">
        <f t="shared" si="0"/>
        <v>670</v>
      </c>
      <c r="E18" s="389">
        <f t="shared" ref="E18:E37" si="5">E17</f>
        <v>43664.316579999992</v>
      </c>
      <c r="F18" s="389">
        <v>0</v>
      </c>
      <c r="G18" s="388">
        <f t="shared" si="1"/>
        <v>43664.316579999992</v>
      </c>
      <c r="H18" s="390">
        <f t="shared" si="2"/>
        <v>42994.316579999992</v>
      </c>
    </row>
    <row r="19" spans="1:10" ht="14.45" customHeight="1" x14ac:dyDescent="0.25">
      <c r="A19" s="391">
        <f t="shared" si="3"/>
        <v>12</v>
      </c>
      <c r="B19" s="392"/>
      <c r="C19" s="389">
        <f t="shared" si="4"/>
        <v>670</v>
      </c>
      <c r="D19" s="388">
        <f t="shared" si="0"/>
        <v>670</v>
      </c>
      <c r="E19" s="389">
        <f t="shared" si="5"/>
        <v>43664.316579999992</v>
      </c>
      <c r="F19" s="389">
        <v>0</v>
      </c>
      <c r="G19" s="388">
        <f t="shared" si="1"/>
        <v>43664.316579999992</v>
      </c>
      <c r="H19" s="390">
        <f t="shared" si="2"/>
        <v>42994.316579999992</v>
      </c>
    </row>
    <row r="20" spans="1:10" ht="14.45" customHeight="1" x14ac:dyDescent="0.25">
      <c r="A20" s="391">
        <f t="shared" si="3"/>
        <v>13</v>
      </c>
      <c r="B20" s="392"/>
      <c r="C20" s="389">
        <f t="shared" si="4"/>
        <v>670</v>
      </c>
      <c r="D20" s="388">
        <f t="shared" si="0"/>
        <v>670</v>
      </c>
      <c r="E20" s="389">
        <f t="shared" si="5"/>
        <v>43664.316579999992</v>
      </c>
      <c r="F20" s="389">
        <v>0</v>
      </c>
      <c r="G20" s="388">
        <f t="shared" si="1"/>
        <v>43664.316579999992</v>
      </c>
      <c r="H20" s="390">
        <f t="shared" si="2"/>
        <v>42994.316579999992</v>
      </c>
    </row>
    <row r="21" spans="1:10" ht="14.45" customHeight="1" x14ac:dyDescent="0.25">
      <c r="A21" s="391">
        <f t="shared" si="3"/>
        <v>14</v>
      </c>
      <c r="B21" s="392"/>
      <c r="C21" s="389">
        <f t="shared" si="4"/>
        <v>670</v>
      </c>
      <c r="D21" s="388">
        <f t="shared" si="0"/>
        <v>670</v>
      </c>
      <c r="E21" s="389">
        <f t="shared" si="5"/>
        <v>43664.316579999992</v>
      </c>
      <c r="F21" s="389">
        <v>0</v>
      </c>
      <c r="G21" s="388">
        <f t="shared" si="1"/>
        <v>43664.316579999992</v>
      </c>
      <c r="H21" s="390">
        <f t="shared" si="2"/>
        <v>42994.316579999992</v>
      </c>
    </row>
    <row r="22" spans="1:10" ht="14.45" customHeight="1" x14ac:dyDescent="0.25">
      <c r="A22" s="391">
        <f t="shared" si="3"/>
        <v>15</v>
      </c>
      <c r="B22" s="392"/>
      <c r="C22" s="389">
        <f t="shared" si="4"/>
        <v>670</v>
      </c>
      <c r="D22" s="388">
        <f t="shared" si="0"/>
        <v>670</v>
      </c>
      <c r="E22" s="389">
        <f t="shared" si="5"/>
        <v>43664.316579999992</v>
      </c>
      <c r="F22" s="389">
        <v>0</v>
      </c>
      <c r="G22" s="388">
        <f t="shared" si="1"/>
        <v>43664.316579999992</v>
      </c>
      <c r="H22" s="390">
        <f t="shared" si="2"/>
        <v>42994.316579999992</v>
      </c>
    </row>
    <row r="23" spans="1:10" ht="14.45" customHeight="1" x14ac:dyDescent="0.25">
      <c r="A23" s="391">
        <f t="shared" si="3"/>
        <v>16</v>
      </c>
      <c r="B23" s="392"/>
      <c r="C23" s="389">
        <f t="shared" si="4"/>
        <v>670</v>
      </c>
      <c r="D23" s="388">
        <f t="shared" si="0"/>
        <v>670</v>
      </c>
      <c r="E23" s="389">
        <f t="shared" si="5"/>
        <v>43664.316579999992</v>
      </c>
      <c r="F23" s="389">
        <v>0</v>
      </c>
      <c r="G23" s="388">
        <f t="shared" si="1"/>
        <v>43664.316579999992</v>
      </c>
      <c r="H23" s="390">
        <f t="shared" si="2"/>
        <v>42994.316579999992</v>
      </c>
    </row>
    <row r="24" spans="1:10" ht="14.45" customHeight="1" x14ac:dyDescent="0.25">
      <c r="A24" s="391">
        <f t="shared" si="3"/>
        <v>17</v>
      </c>
      <c r="B24" s="392"/>
      <c r="C24" s="389">
        <f t="shared" si="4"/>
        <v>670</v>
      </c>
      <c r="D24" s="388">
        <f t="shared" si="0"/>
        <v>670</v>
      </c>
      <c r="E24" s="389">
        <f t="shared" si="5"/>
        <v>43664.316579999992</v>
      </c>
      <c r="F24" s="389">
        <v>0</v>
      </c>
      <c r="G24" s="388">
        <f t="shared" si="1"/>
        <v>43664.316579999992</v>
      </c>
      <c r="H24" s="390">
        <f t="shared" si="2"/>
        <v>42994.316579999992</v>
      </c>
    </row>
    <row r="25" spans="1:10" ht="14.45" customHeight="1" x14ac:dyDescent="0.25">
      <c r="A25" s="391">
        <f t="shared" si="3"/>
        <v>18</v>
      </c>
      <c r="B25" s="392"/>
      <c r="C25" s="389">
        <f t="shared" si="4"/>
        <v>670</v>
      </c>
      <c r="D25" s="388">
        <f t="shared" si="0"/>
        <v>670</v>
      </c>
      <c r="E25" s="389">
        <f t="shared" si="5"/>
        <v>43664.316579999992</v>
      </c>
      <c r="F25" s="389">
        <v>0</v>
      </c>
      <c r="G25" s="388">
        <f t="shared" si="1"/>
        <v>43664.316579999992</v>
      </c>
      <c r="H25" s="390">
        <f t="shared" si="2"/>
        <v>42994.316579999992</v>
      </c>
    </row>
    <row r="26" spans="1:10" ht="14.45" customHeight="1" x14ac:dyDescent="0.25">
      <c r="A26" s="391">
        <f t="shared" si="3"/>
        <v>19</v>
      </c>
      <c r="B26" s="392"/>
      <c r="C26" s="389">
        <f t="shared" si="4"/>
        <v>670</v>
      </c>
      <c r="D26" s="388">
        <f t="shared" si="0"/>
        <v>670</v>
      </c>
      <c r="E26" s="389">
        <f t="shared" si="5"/>
        <v>43664.316579999992</v>
      </c>
      <c r="F26" s="389">
        <v>0</v>
      </c>
      <c r="G26" s="388">
        <f t="shared" si="1"/>
        <v>43664.316579999992</v>
      </c>
      <c r="H26" s="390">
        <f t="shared" si="2"/>
        <v>42994.316579999992</v>
      </c>
    </row>
    <row r="27" spans="1:10" ht="14.45" customHeight="1" x14ac:dyDescent="0.25">
      <c r="A27" s="391">
        <f t="shared" si="3"/>
        <v>20</v>
      </c>
      <c r="B27" s="392"/>
      <c r="C27" s="389">
        <f t="shared" si="4"/>
        <v>670</v>
      </c>
      <c r="D27" s="388">
        <f t="shared" si="0"/>
        <v>670</v>
      </c>
      <c r="E27" s="389">
        <f t="shared" si="5"/>
        <v>43664.316579999992</v>
      </c>
      <c r="F27" s="389">
        <v>0</v>
      </c>
      <c r="G27" s="388">
        <f t="shared" si="1"/>
        <v>43664.316579999992</v>
      </c>
      <c r="H27" s="390">
        <f t="shared" si="2"/>
        <v>42994.316579999992</v>
      </c>
    </row>
    <row r="28" spans="1:10" ht="14.45" customHeight="1" x14ac:dyDescent="0.25">
      <c r="A28" s="391">
        <f t="shared" si="3"/>
        <v>21</v>
      </c>
      <c r="B28" s="392"/>
      <c r="C28" s="389">
        <f t="shared" si="4"/>
        <v>670</v>
      </c>
      <c r="D28" s="388">
        <f t="shared" si="0"/>
        <v>670</v>
      </c>
      <c r="E28" s="389">
        <f t="shared" si="5"/>
        <v>43664.316579999992</v>
      </c>
      <c r="F28" s="389">
        <v>0</v>
      </c>
      <c r="G28" s="388">
        <f t="shared" si="1"/>
        <v>43664.316579999992</v>
      </c>
      <c r="H28" s="390">
        <f t="shared" si="2"/>
        <v>42994.316579999992</v>
      </c>
    </row>
    <row r="29" spans="1:10" ht="14.45" customHeight="1" x14ac:dyDescent="0.25">
      <c r="A29" s="391">
        <f t="shared" si="3"/>
        <v>22</v>
      </c>
      <c r="B29" s="392"/>
      <c r="C29" s="389">
        <f t="shared" si="4"/>
        <v>670</v>
      </c>
      <c r="D29" s="388">
        <f t="shared" si="0"/>
        <v>670</v>
      </c>
      <c r="E29" s="389">
        <f t="shared" si="5"/>
        <v>43664.316579999992</v>
      </c>
      <c r="F29" s="389">
        <v>0</v>
      </c>
      <c r="G29" s="388">
        <f t="shared" si="1"/>
        <v>43664.316579999992</v>
      </c>
      <c r="H29" s="390">
        <f t="shared" si="2"/>
        <v>42994.316579999992</v>
      </c>
    </row>
    <row r="30" spans="1:10" ht="14.45" customHeight="1" x14ac:dyDescent="0.25">
      <c r="A30" s="391">
        <f t="shared" si="3"/>
        <v>23</v>
      </c>
      <c r="B30" s="392"/>
      <c r="C30" s="389">
        <f t="shared" si="4"/>
        <v>670</v>
      </c>
      <c r="D30" s="388">
        <f t="shared" si="0"/>
        <v>670</v>
      </c>
      <c r="E30" s="389">
        <f t="shared" si="5"/>
        <v>43664.316579999992</v>
      </c>
      <c r="F30" s="389">
        <v>0</v>
      </c>
      <c r="G30" s="388">
        <f t="shared" si="1"/>
        <v>43664.316579999992</v>
      </c>
      <c r="H30" s="390">
        <f t="shared" si="2"/>
        <v>42994.316579999992</v>
      </c>
    </row>
    <row r="31" spans="1:10" ht="14.45" customHeight="1" x14ac:dyDescent="0.25">
      <c r="A31" s="391">
        <f t="shared" si="3"/>
        <v>24</v>
      </c>
      <c r="B31" s="392"/>
      <c r="C31" s="389">
        <f t="shared" si="4"/>
        <v>670</v>
      </c>
      <c r="D31" s="388">
        <f t="shared" si="0"/>
        <v>670</v>
      </c>
      <c r="E31" s="389">
        <f t="shared" si="5"/>
        <v>43664.316579999992</v>
      </c>
      <c r="F31" s="389">
        <v>0</v>
      </c>
      <c r="G31" s="388">
        <f t="shared" si="1"/>
        <v>43664.316579999992</v>
      </c>
      <c r="H31" s="390">
        <f t="shared" si="2"/>
        <v>42994.316579999992</v>
      </c>
    </row>
    <row r="32" spans="1:10" ht="14.45" customHeight="1" x14ac:dyDescent="0.25">
      <c r="A32" s="391">
        <f t="shared" si="3"/>
        <v>25</v>
      </c>
      <c r="B32" s="392"/>
      <c r="C32" s="389">
        <f t="shared" si="4"/>
        <v>670</v>
      </c>
      <c r="D32" s="388">
        <f t="shared" si="0"/>
        <v>670</v>
      </c>
      <c r="E32" s="389">
        <f t="shared" si="5"/>
        <v>43664.316579999992</v>
      </c>
      <c r="F32" s="389">
        <v>0</v>
      </c>
      <c r="G32" s="388">
        <f t="shared" si="1"/>
        <v>43664.316579999992</v>
      </c>
      <c r="H32" s="390">
        <f t="shared" si="2"/>
        <v>42994.316579999992</v>
      </c>
    </row>
    <row r="33" spans="1:12" ht="14.45" customHeight="1" x14ac:dyDescent="0.25">
      <c r="A33" s="391">
        <f t="shared" si="3"/>
        <v>26</v>
      </c>
      <c r="B33" s="392"/>
      <c r="C33" s="389">
        <f t="shared" si="4"/>
        <v>670</v>
      </c>
      <c r="D33" s="388">
        <f t="shared" si="0"/>
        <v>670</v>
      </c>
      <c r="E33" s="389">
        <f t="shared" si="5"/>
        <v>43664.316579999992</v>
      </c>
      <c r="F33" s="389">
        <v>0</v>
      </c>
      <c r="G33" s="388">
        <f t="shared" si="1"/>
        <v>43664.316579999992</v>
      </c>
      <c r="H33" s="390">
        <f t="shared" si="2"/>
        <v>42994.316579999992</v>
      </c>
    </row>
    <row r="34" spans="1:12" ht="14.45" customHeight="1" x14ac:dyDescent="0.25">
      <c r="A34" s="391">
        <f t="shared" si="3"/>
        <v>27</v>
      </c>
      <c r="B34" s="392"/>
      <c r="C34" s="389">
        <f t="shared" si="4"/>
        <v>670</v>
      </c>
      <c r="D34" s="388">
        <f t="shared" si="0"/>
        <v>670</v>
      </c>
      <c r="E34" s="389">
        <f t="shared" si="5"/>
        <v>43664.316579999992</v>
      </c>
      <c r="F34" s="389">
        <v>0</v>
      </c>
      <c r="G34" s="388">
        <f t="shared" si="1"/>
        <v>43664.316579999992</v>
      </c>
      <c r="H34" s="390">
        <f t="shared" si="2"/>
        <v>42994.316579999992</v>
      </c>
    </row>
    <row r="35" spans="1:12" ht="14.45" customHeight="1" x14ac:dyDescent="0.25">
      <c r="A35" s="391">
        <f t="shared" si="3"/>
        <v>28</v>
      </c>
      <c r="B35" s="392"/>
      <c r="C35" s="389">
        <f t="shared" si="4"/>
        <v>670</v>
      </c>
      <c r="D35" s="388">
        <f t="shared" si="0"/>
        <v>670</v>
      </c>
      <c r="E35" s="389">
        <f t="shared" si="5"/>
        <v>43664.316579999992</v>
      </c>
      <c r="F35" s="389">
        <v>0</v>
      </c>
      <c r="G35" s="388">
        <f t="shared" si="1"/>
        <v>43664.316579999992</v>
      </c>
      <c r="H35" s="390">
        <f t="shared" si="2"/>
        <v>42994.316579999992</v>
      </c>
    </row>
    <row r="36" spans="1:12" ht="14.45" customHeight="1" x14ac:dyDescent="0.25">
      <c r="A36" s="391">
        <f t="shared" si="3"/>
        <v>29</v>
      </c>
      <c r="B36" s="392"/>
      <c r="C36" s="389">
        <f t="shared" si="4"/>
        <v>670</v>
      </c>
      <c r="D36" s="388">
        <f t="shared" si="0"/>
        <v>670</v>
      </c>
      <c r="E36" s="389">
        <f t="shared" si="5"/>
        <v>43664.316579999992</v>
      </c>
      <c r="F36" s="389">
        <v>0</v>
      </c>
      <c r="G36" s="388">
        <f t="shared" si="1"/>
        <v>43664.316579999992</v>
      </c>
      <c r="H36" s="390">
        <f t="shared" si="2"/>
        <v>42994.316579999992</v>
      </c>
    </row>
    <row r="37" spans="1:12" x14ac:dyDescent="0.25">
      <c r="A37" s="391">
        <f t="shared" si="3"/>
        <v>30</v>
      </c>
      <c r="B37" s="389"/>
      <c r="C37" s="389">
        <f t="shared" si="4"/>
        <v>670</v>
      </c>
      <c r="D37" s="388">
        <f t="shared" si="0"/>
        <v>670</v>
      </c>
      <c r="E37" s="389">
        <f t="shared" si="5"/>
        <v>43664.316579999992</v>
      </c>
      <c r="F37" s="389">
        <v>0</v>
      </c>
      <c r="G37" s="388">
        <f t="shared" si="1"/>
        <v>43664.316579999992</v>
      </c>
      <c r="H37" s="390">
        <f t="shared" si="2"/>
        <v>42994.316579999992</v>
      </c>
    </row>
    <row r="38" spans="1:12" ht="17.25" customHeight="1" thickBot="1" x14ac:dyDescent="0.3">
      <c r="A38" s="394" t="s">
        <v>325</v>
      </c>
      <c r="B38" s="395">
        <f t="shared" ref="B38:H38" si="6">NPV(0.12,B8:B37)</f>
        <v>55331.751190759882</v>
      </c>
      <c r="C38" s="395">
        <f t="shared" si="6"/>
        <v>2068.6546145552747</v>
      </c>
      <c r="D38" s="395">
        <f t="shared" si="6"/>
        <v>57400.405805315168</v>
      </c>
      <c r="E38" s="395">
        <f t="shared" si="6"/>
        <v>166922.81140877161</v>
      </c>
      <c r="F38" s="395">
        <f t="shared" si="6"/>
        <v>0</v>
      </c>
      <c r="G38" s="395">
        <f t="shared" si="6"/>
        <v>166922.81140877161</v>
      </c>
      <c r="H38" s="396">
        <f t="shared" si="6"/>
        <v>109522.40560345644</v>
      </c>
      <c r="L38" s="393"/>
    </row>
    <row r="39" spans="1:12" ht="16.5" customHeight="1" thickTop="1" thickBot="1" x14ac:dyDescent="0.3">
      <c r="A39" s="397" t="s">
        <v>326</v>
      </c>
      <c r="B39" s="397"/>
      <c r="C39" s="397"/>
      <c r="D39" s="397"/>
      <c r="E39" s="397"/>
      <c r="F39" s="398"/>
      <c r="G39" s="398"/>
      <c r="H39" s="398"/>
    </row>
    <row r="40" spans="1:12" ht="16.5" customHeight="1" thickTop="1" thickBot="1" x14ac:dyDescent="0.3">
      <c r="A40" s="399" t="s">
        <v>327</v>
      </c>
      <c r="B40" s="399"/>
      <c r="C40" s="399"/>
      <c r="D40" s="399">
        <f>IRR(H8:H37,0.12)</f>
        <v>0.3259839821105035</v>
      </c>
      <c r="E40" s="399"/>
      <c r="F40" s="400"/>
      <c r="G40" s="431"/>
      <c r="H40" s="401"/>
    </row>
    <row r="41" spans="1:12" ht="16.5" customHeight="1" thickTop="1" thickBot="1" x14ac:dyDescent="0.3">
      <c r="A41" s="402" t="s">
        <v>328</v>
      </c>
      <c r="B41" s="402"/>
      <c r="C41" s="402"/>
      <c r="D41" s="402">
        <f>NPV(0.12,G8:G37)/NPV(0.12,D8:D37)</f>
        <v>2.9080423573123046</v>
      </c>
      <c r="E41" s="402"/>
      <c r="F41" s="393"/>
      <c r="G41" s="393"/>
      <c r="H41" s="401"/>
    </row>
    <row r="42" spans="1:12" ht="16.5" customHeight="1" thickTop="1" thickBot="1" x14ac:dyDescent="0.3">
      <c r="A42" s="403" t="s">
        <v>325</v>
      </c>
      <c r="B42" s="403"/>
      <c r="C42" s="403"/>
      <c r="D42" s="402">
        <f>H38</f>
        <v>109522.40560345644</v>
      </c>
      <c r="E42" s="403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view="pageBreakPreview" topLeftCell="A13" zoomScale="70" zoomScaleNormal="85" zoomScaleSheetLayoutView="70" workbookViewId="0">
      <selection activeCell="C2" sqref="C2:S56"/>
    </sheetView>
  </sheetViews>
  <sheetFormatPr defaultRowHeight="15" x14ac:dyDescent="0.25"/>
  <cols>
    <col min="1" max="1" width="29.28515625" style="451" customWidth="1"/>
    <col min="2" max="2" width="13.28515625" style="451" customWidth="1"/>
    <col min="3" max="3" width="11.7109375" style="451" customWidth="1"/>
    <col min="4" max="4" width="9.5703125" style="451" customWidth="1"/>
    <col min="5" max="5" width="11.5703125" style="451" customWidth="1"/>
    <col min="6" max="6" width="10.85546875" style="451" customWidth="1"/>
    <col min="7" max="7" width="12.42578125" style="451" customWidth="1"/>
    <col min="8" max="8" width="9.5703125" style="451" customWidth="1"/>
    <col min="9" max="9" width="11.42578125" style="451" customWidth="1"/>
    <col min="10" max="10" width="12.42578125" style="451" customWidth="1"/>
    <col min="11" max="12" width="9.5703125" style="451" customWidth="1"/>
    <col min="13" max="13" width="13.42578125" style="451" customWidth="1"/>
    <col min="14" max="20" width="9.5703125" style="451" customWidth="1"/>
    <col min="21" max="21" width="9.28515625" style="451" customWidth="1"/>
  </cols>
  <sheetData>
    <row r="1" spans="1:21" s="435" customFormat="1" ht="55.5" customHeight="1" x14ac:dyDescent="0.3">
      <c r="A1" s="434" t="s">
        <v>363</v>
      </c>
      <c r="B1" s="434" t="s">
        <v>364</v>
      </c>
      <c r="C1" s="434" t="s">
        <v>365</v>
      </c>
      <c r="D1" s="434" t="s">
        <v>366</v>
      </c>
      <c r="E1" s="434" t="s">
        <v>367</v>
      </c>
      <c r="F1" s="434" t="s">
        <v>368</v>
      </c>
      <c r="G1" s="434" t="s">
        <v>369</v>
      </c>
      <c r="H1" s="434" t="s">
        <v>370</v>
      </c>
      <c r="I1" s="434" t="s">
        <v>371</v>
      </c>
      <c r="J1" s="434" t="s">
        <v>372</v>
      </c>
      <c r="K1" s="434" t="s">
        <v>373</v>
      </c>
      <c r="L1" s="434" t="s">
        <v>374</v>
      </c>
      <c r="M1" s="434" t="s">
        <v>375</v>
      </c>
      <c r="N1" s="434" t="s">
        <v>376</v>
      </c>
      <c r="O1" s="434" t="s">
        <v>377</v>
      </c>
      <c r="P1" s="434" t="s">
        <v>378</v>
      </c>
      <c r="Q1" s="434" t="s">
        <v>379</v>
      </c>
      <c r="R1" s="434" t="s">
        <v>380</v>
      </c>
      <c r="S1" s="434" t="s">
        <v>117</v>
      </c>
      <c r="T1" s="434" t="s">
        <v>11</v>
      </c>
      <c r="U1" s="434" t="s">
        <v>381</v>
      </c>
    </row>
    <row r="2" spans="1:21" ht="18.75" customHeight="1" x14ac:dyDescent="0.3">
      <c r="A2" s="436" t="s">
        <v>382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  <c r="S2" s="436"/>
      <c r="T2" s="436"/>
      <c r="U2" s="436">
        <v>2</v>
      </c>
    </row>
    <row r="3" spans="1:21" ht="18.75" customHeight="1" x14ac:dyDescent="0.3">
      <c r="A3" s="436" t="s">
        <v>383</v>
      </c>
      <c r="B3" s="436"/>
      <c r="C3" s="436"/>
      <c r="D3" s="436"/>
      <c r="E3" s="436"/>
      <c r="F3" s="436"/>
      <c r="G3" s="436"/>
      <c r="H3" s="436"/>
      <c r="I3" s="436"/>
      <c r="J3" s="436"/>
      <c r="K3" s="436"/>
      <c r="L3" s="436"/>
      <c r="M3" s="436"/>
      <c r="N3" s="436"/>
      <c r="O3" s="436"/>
      <c r="P3" s="436"/>
      <c r="Q3" s="436"/>
      <c r="R3" s="436"/>
      <c r="S3" s="436"/>
      <c r="T3" s="436"/>
      <c r="U3" s="436">
        <v>3</v>
      </c>
    </row>
    <row r="4" spans="1:21" ht="18.75" customHeight="1" x14ac:dyDescent="0.3">
      <c r="A4" s="436" t="s">
        <v>384</v>
      </c>
      <c r="B4" s="436"/>
      <c r="C4" s="436"/>
      <c r="D4" s="436"/>
      <c r="E4" s="436"/>
      <c r="F4" s="436"/>
      <c r="G4" s="436"/>
      <c r="H4" s="436"/>
      <c r="I4" s="436"/>
      <c r="J4" s="436"/>
      <c r="K4" s="436"/>
      <c r="L4" s="436"/>
      <c r="M4" s="436"/>
      <c r="N4" s="436"/>
      <c r="O4" s="436"/>
      <c r="P4" s="436"/>
      <c r="Q4" s="436"/>
      <c r="R4" s="436"/>
      <c r="S4" s="436"/>
      <c r="T4" s="436"/>
      <c r="U4" s="436">
        <v>4</v>
      </c>
    </row>
    <row r="5" spans="1:21" ht="18.75" customHeight="1" x14ac:dyDescent="0.3">
      <c r="A5" s="436" t="s">
        <v>385</v>
      </c>
      <c r="B5" s="436"/>
      <c r="C5" s="436"/>
      <c r="D5" s="436"/>
      <c r="E5" s="436"/>
      <c r="F5" s="436"/>
      <c r="G5" s="436"/>
      <c r="H5" s="436"/>
      <c r="I5" s="436"/>
      <c r="J5" s="436"/>
      <c r="K5" s="436"/>
      <c r="L5" s="436"/>
      <c r="M5" s="436"/>
      <c r="N5" s="436"/>
      <c r="O5" s="436"/>
      <c r="P5" s="436"/>
      <c r="Q5" s="436"/>
      <c r="R5" s="436"/>
      <c r="S5" s="436"/>
      <c r="T5" s="436"/>
      <c r="U5" s="436">
        <v>5</v>
      </c>
    </row>
    <row r="6" spans="1:21" ht="18.75" customHeight="1" x14ac:dyDescent="0.3">
      <c r="A6" s="436" t="s">
        <v>386</v>
      </c>
      <c r="B6" s="436"/>
      <c r="C6" s="436"/>
      <c r="D6" s="436"/>
      <c r="E6" s="436"/>
      <c r="F6" s="436"/>
      <c r="G6" s="436"/>
      <c r="H6" s="436"/>
      <c r="I6" s="436"/>
      <c r="J6" s="436"/>
      <c r="K6" s="436"/>
      <c r="L6" s="436"/>
      <c r="M6" s="436"/>
      <c r="N6" s="436"/>
      <c r="O6" s="436"/>
      <c r="P6" s="436"/>
      <c r="Q6" s="436"/>
      <c r="R6" s="436"/>
      <c r="S6" s="436"/>
      <c r="T6" s="436"/>
      <c r="U6" s="436">
        <v>6</v>
      </c>
    </row>
    <row r="7" spans="1:21" ht="18.75" customHeight="1" x14ac:dyDescent="0.3">
      <c r="A7" s="436" t="s">
        <v>387</v>
      </c>
      <c r="B7" s="436"/>
      <c r="C7" s="436"/>
      <c r="D7" s="436"/>
      <c r="E7" s="436"/>
      <c r="F7" s="436"/>
      <c r="G7" s="436"/>
      <c r="H7" s="436"/>
      <c r="I7" s="436"/>
      <c r="J7" s="436"/>
      <c r="K7" s="436"/>
      <c r="L7" s="436"/>
      <c r="M7" s="436"/>
      <c r="N7" s="436"/>
      <c r="O7" s="436"/>
      <c r="P7" s="436"/>
      <c r="Q7" s="436"/>
      <c r="R7" s="436"/>
      <c r="S7" s="436"/>
      <c r="T7" s="436"/>
      <c r="U7" s="436">
        <v>7</v>
      </c>
    </row>
    <row r="8" spans="1:21" ht="18.75" customHeight="1" x14ac:dyDescent="0.3">
      <c r="A8" s="436" t="s">
        <v>388</v>
      </c>
      <c r="B8" s="436"/>
      <c r="C8" s="436"/>
      <c r="D8" s="436"/>
      <c r="E8" s="436"/>
      <c r="F8" s="436"/>
      <c r="G8" s="436"/>
      <c r="H8" s="436"/>
      <c r="I8" s="436"/>
      <c r="J8" s="436"/>
      <c r="K8" s="436"/>
      <c r="L8" s="436"/>
      <c r="M8" s="436"/>
      <c r="N8" s="436"/>
      <c r="O8" s="436"/>
      <c r="P8" s="436"/>
      <c r="Q8" s="436"/>
      <c r="R8" s="436"/>
      <c r="S8" s="436"/>
      <c r="T8" s="436"/>
      <c r="U8" s="436">
        <v>8</v>
      </c>
    </row>
    <row r="9" spans="1:21" ht="18.75" customHeight="1" x14ac:dyDescent="0.3">
      <c r="A9" s="436" t="s">
        <v>389</v>
      </c>
      <c r="B9" s="436"/>
      <c r="C9" s="436"/>
      <c r="D9" s="436"/>
      <c r="E9" s="436"/>
      <c r="F9" s="436"/>
      <c r="G9" s="436"/>
      <c r="H9" s="436"/>
      <c r="I9" s="436"/>
      <c r="J9" s="436"/>
      <c r="K9" s="436"/>
      <c r="L9" s="436"/>
      <c r="M9" s="436"/>
      <c r="N9" s="436"/>
      <c r="O9" s="436"/>
      <c r="P9" s="436"/>
      <c r="Q9" s="436"/>
      <c r="R9" s="436"/>
      <c r="S9" s="436"/>
      <c r="T9" s="436"/>
      <c r="U9" s="436">
        <v>9</v>
      </c>
    </row>
    <row r="10" spans="1:21" ht="18.75" customHeight="1" x14ac:dyDescent="0.3">
      <c r="A10" s="436" t="s">
        <v>390</v>
      </c>
      <c r="B10" s="436"/>
      <c r="C10" s="436"/>
      <c r="D10" s="436"/>
      <c r="E10" s="436"/>
      <c r="F10" s="436"/>
      <c r="G10" s="436"/>
      <c r="H10" s="436"/>
      <c r="I10" s="436"/>
      <c r="J10" s="436"/>
      <c r="K10" s="436"/>
      <c r="L10" s="436"/>
      <c r="M10" s="436"/>
      <c r="N10" s="436"/>
      <c r="O10" s="436"/>
      <c r="P10" s="436"/>
      <c r="Q10" s="436"/>
      <c r="R10" s="436"/>
      <c r="S10" s="436"/>
      <c r="T10" s="436"/>
      <c r="U10" s="436">
        <v>10</v>
      </c>
    </row>
    <row r="11" spans="1:21" ht="18.75" customHeight="1" x14ac:dyDescent="0.3">
      <c r="A11" s="436" t="s">
        <v>391</v>
      </c>
      <c r="B11" s="436"/>
      <c r="C11" s="436"/>
      <c r="D11" s="436"/>
      <c r="E11" s="436"/>
      <c r="F11" s="436"/>
      <c r="G11" s="436"/>
      <c r="H11" s="436"/>
      <c r="I11" s="436"/>
      <c r="J11" s="436"/>
      <c r="K11" s="436"/>
      <c r="L11" s="436"/>
      <c r="M11" s="436"/>
      <c r="N11" s="436"/>
      <c r="O11" s="436"/>
      <c r="P11" s="436"/>
      <c r="Q11" s="436"/>
      <c r="R11" s="436"/>
      <c r="S11" s="436"/>
      <c r="T11" s="436"/>
      <c r="U11" s="436">
        <v>11</v>
      </c>
    </row>
    <row r="12" spans="1:21" ht="18.75" customHeight="1" x14ac:dyDescent="0.3">
      <c r="A12" s="436" t="s">
        <v>392</v>
      </c>
      <c r="B12" s="436"/>
      <c r="C12" s="436"/>
      <c r="D12" s="436"/>
      <c r="E12" s="436"/>
      <c r="F12" s="436"/>
      <c r="G12" s="436"/>
      <c r="H12" s="436"/>
      <c r="I12" s="436"/>
      <c r="J12" s="436"/>
      <c r="K12" s="436"/>
      <c r="L12" s="436"/>
      <c r="M12" s="436"/>
      <c r="N12" s="436"/>
      <c r="O12" s="436"/>
      <c r="P12" s="436"/>
      <c r="Q12" s="436"/>
      <c r="R12" s="436"/>
      <c r="S12" s="436"/>
      <c r="T12" s="436"/>
      <c r="U12" s="436">
        <v>12</v>
      </c>
    </row>
    <row r="13" spans="1:21" ht="18.75" customHeight="1" x14ac:dyDescent="0.3">
      <c r="A13" s="436" t="s">
        <v>393</v>
      </c>
      <c r="B13" s="436"/>
      <c r="C13" s="436"/>
      <c r="D13" s="436"/>
      <c r="E13" s="436"/>
      <c r="F13" s="436"/>
      <c r="G13" s="436"/>
      <c r="H13" s="436"/>
      <c r="I13" s="436"/>
      <c r="J13" s="436"/>
      <c r="K13" s="436"/>
      <c r="L13" s="436"/>
      <c r="M13" s="436"/>
      <c r="N13" s="436"/>
      <c r="O13" s="436"/>
      <c r="P13" s="436"/>
      <c r="Q13" s="436"/>
      <c r="R13" s="436"/>
      <c r="S13" s="436"/>
      <c r="T13" s="436"/>
      <c r="U13" s="436">
        <v>13</v>
      </c>
    </row>
    <row r="14" spans="1:21" ht="18.75" customHeight="1" x14ac:dyDescent="0.3">
      <c r="A14" s="436" t="s">
        <v>394</v>
      </c>
      <c r="B14" s="436"/>
      <c r="C14" s="436"/>
      <c r="D14" s="436"/>
      <c r="E14" s="436"/>
      <c r="F14" s="436"/>
      <c r="G14" s="436"/>
      <c r="H14" s="436"/>
      <c r="I14" s="436"/>
      <c r="J14" s="436"/>
      <c r="K14" s="436"/>
      <c r="L14" s="436"/>
      <c r="M14" s="436"/>
      <c r="N14" s="436"/>
      <c r="O14" s="436"/>
      <c r="P14" s="436"/>
      <c r="Q14" s="436"/>
      <c r="R14" s="436"/>
      <c r="S14" s="436"/>
      <c r="T14" s="436"/>
      <c r="U14" s="436">
        <v>14</v>
      </c>
    </row>
    <row r="15" spans="1:21" ht="18.75" customHeight="1" x14ac:dyDescent="0.3">
      <c r="A15" s="436" t="s">
        <v>395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6"/>
      <c r="M15" s="436"/>
      <c r="N15" s="436"/>
      <c r="O15" s="436"/>
      <c r="P15" s="436"/>
      <c r="Q15" s="436"/>
      <c r="R15" s="436"/>
      <c r="S15" s="436"/>
      <c r="T15" s="436"/>
      <c r="U15" s="436">
        <v>15</v>
      </c>
    </row>
    <row r="16" spans="1:21" ht="18.75" customHeight="1" x14ac:dyDescent="0.3">
      <c r="A16" s="436" t="s">
        <v>396</v>
      </c>
      <c r="B16" s="436"/>
      <c r="C16" s="436"/>
      <c r="D16" s="436"/>
      <c r="E16" s="436"/>
      <c r="F16" s="436"/>
      <c r="G16" s="436"/>
      <c r="H16" s="436"/>
      <c r="I16" s="436"/>
      <c r="J16" s="436"/>
      <c r="K16" s="436"/>
      <c r="L16" s="436"/>
      <c r="M16" s="436"/>
      <c r="N16" s="436"/>
      <c r="O16" s="436"/>
      <c r="P16" s="436"/>
      <c r="Q16" s="436"/>
      <c r="R16" s="436"/>
      <c r="S16" s="436"/>
      <c r="T16" s="436"/>
      <c r="U16" s="436">
        <v>16</v>
      </c>
    </row>
    <row r="17" spans="1:21" ht="18.75" customHeight="1" x14ac:dyDescent="0.3">
      <c r="A17" s="436" t="s">
        <v>397</v>
      </c>
      <c r="B17" s="436"/>
      <c r="C17" s="436"/>
      <c r="D17" s="436"/>
      <c r="E17" s="436"/>
      <c r="F17" s="436"/>
      <c r="G17" s="436"/>
      <c r="H17" s="436"/>
      <c r="I17" s="436"/>
      <c r="J17" s="436"/>
      <c r="K17" s="436"/>
      <c r="L17" s="436"/>
      <c r="M17" s="436"/>
      <c r="N17" s="436"/>
      <c r="O17" s="436"/>
      <c r="P17" s="436"/>
      <c r="Q17" s="436"/>
      <c r="R17" s="436"/>
      <c r="S17" s="436"/>
      <c r="T17" s="436"/>
      <c r="U17" s="436">
        <v>17</v>
      </c>
    </row>
    <row r="18" spans="1:21" ht="18.75" customHeight="1" x14ac:dyDescent="0.3">
      <c r="A18" s="436" t="s">
        <v>398</v>
      </c>
      <c r="B18" s="436"/>
      <c r="C18" s="436"/>
      <c r="D18" s="436"/>
      <c r="E18" s="436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436"/>
      <c r="Q18" s="436"/>
      <c r="R18" s="436"/>
      <c r="S18" s="436"/>
      <c r="T18" s="436"/>
      <c r="U18" s="436">
        <v>18</v>
      </c>
    </row>
    <row r="19" spans="1:21" ht="18.75" customHeight="1" x14ac:dyDescent="0.3">
      <c r="A19" s="436" t="s">
        <v>399</v>
      </c>
      <c r="B19" s="436"/>
      <c r="C19" s="436"/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>
        <v>19</v>
      </c>
    </row>
    <row r="20" spans="1:21" ht="18.75" customHeight="1" x14ac:dyDescent="0.3">
      <c r="A20" s="436" t="s">
        <v>400</v>
      </c>
      <c r="B20" s="436"/>
      <c r="C20" s="436"/>
      <c r="D20" s="436"/>
      <c r="E20" s="436"/>
      <c r="F20" s="436"/>
      <c r="G20" s="436"/>
      <c r="H20" s="436"/>
      <c r="I20" s="436"/>
      <c r="J20" s="436"/>
      <c r="K20" s="436"/>
      <c r="L20" s="436"/>
      <c r="M20" s="436"/>
      <c r="N20" s="436"/>
      <c r="O20" s="436"/>
      <c r="P20" s="436"/>
      <c r="Q20" s="436"/>
      <c r="R20" s="436"/>
      <c r="S20" s="436"/>
      <c r="T20" s="436"/>
      <c r="U20" s="436">
        <v>20</v>
      </c>
    </row>
    <row r="21" spans="1:21" ht="18.75" customHeight="1" x14ac:dyDescent="0.3">
      <c r="A21" s="436" t="s">
        <v>401</v>
      </c>
      <c r="B21" s="436"/>
      <c r="C21" s="436"/>
      <c r="D21" s="436"/>
      <c r="E21" s="436"/>
      <c r="F21" s="436"/>
      <c r="G21" s="436"/>
      <c r="H21" s="436"/>
      <c r="I21" s="436"/>
      <c r="J21" s="436"/>
      <c r="K21" s="436"/>
      <c r="L21" s="436"/>
      <c r="M21" s="436"/>
      <c r="N21" s="436"/>
      <c r="O21" s="436"/>
      <c r="P21" s="436"/>
      <c r="Q21" s="436"/>
      <c r="R21" s="436"/>
      <c r="S21" s="436"/>
      <c r="T21" s="436"/>
      <c r="U21" s="436">
        <v>21</v>
      </c>
    </row>
    <row r="22" spans="1:21" ht="18.75" customHeight="1" x14ac:dyDescent="0.3">
      <c r="A22" s="436" t="s">
        <v>402</v>
      </c>
      <c r="B22" s="436"/>
      <c r="C22" s="436"/>
      <c r="D22" s="436"/>
      <c r="E22" s="436"/>
      <c r="F22" s="436"/>
      <c r="G22" s="436"/>
      <c r="H22" s="436"/>
      <c r="I22" s="436"/>
      <c r="J22" s="436"/>
      <c r="K22" s="436"/>
      <c r="L22" s="436"/>
      <c r="M22" s="436"/>
      <c r="N22" s="436"/>
      <c r="O22" s="436"/>
      <c r="P22" s="436"/>
      <c r="Q22" s="436"/>
      <c r="R22" s="436"/>
      <c r="S22" s="436"/>
      <c r="T22" s="436"/>
      <c r="U22" s="436">
        <v>22</v>
      </c>
    </row>
    <row r="23" spans="1:21" ht="18.75" customHeight="1" x14ac:dyDescent="0.3">
      <c r="A23" s="436" t="s">
        <v>403</v>
      </c>
      <c r="B23" s="436"/>
      <c r="C23" s="436"/>
      <c r="D23" s="436"/>
      <c r="E23" s="436"/>
      <c r="F23" s="436"/>
      <c r="G23" s="436"/>
      <c r="H23" s="436"/>
      <c r="I23" s="436"/>
      <c r="J23" s="436"/>
      <c r="K23" s="436"/>
      <c r="L23" s="436"/>
      <c r="M23" s="436"/>
      <c r="N23" s="436"/>
      <c r="O23" s="436"/>
      <c r="P23" s="436"/>
      <c r="Q23" s="436"/>
      <c r="R23" s="436"/>
      <c r="S23" s="436"/>
      <c r="T23" s="436"/>
      <c r="U23" s="436">
        <v>23</v>
      </c>
    </row>
    <row r="24" spans="1:21" ht="18.75" customHeight="1" x14ac:dyDescent="0.3">
      <c r="A24" s="436" t="s">
        <v>404</v>
      </c>
      <c r="B24" s="436"/>
      <c r="C24" s="436"/>
      <c r="D24" s="436"/>
      <c r="E24" s="436"/>
      <c r="F24" s="436"/>
      <c r="G24" s="436"/>
      <c r="H24" s="436"/>
      <c r="I24" s="436"/>
      <c r="J24" s="436"/>
      <c r="K24" s="436"/>
      <c r="L24" s="436"/>
      <c r="M24" s="436"/>
      <c r="N24" s="436"/>
      <c r="O24" s="436"/>
      <c r="P24" s="436"/>
      <c r="Q24" s="436"/>
      <c r="R24" s="436"/>
      <c r="S24" s="436"/>
      <c r="T24" s="436"/>
      <c r="U24" s="436">
        <v>24</v>
      </c>
    </row>
    <row r="25" spans="1:21" ht="18.75" customHeight="1" x14ac:dyDescent="0.3">
      <c r="A25" s="436" t="s">
        <v>405</v>
      </c>
      <c r="B25" s="436"/>
      <c r="C25" s="436"/>
      <c r="D25" s="436"/>
      <c r="E25" s="436"/>
      <c r="F25" s="436"/>
      <c r="G25" s="436"/>
      <c r="H25" s="436"/>
      <c r="I25" s="436"/>
      <c r="J25" s="436"/>
      <c r="K25" s="436"/>
      <c r="L25" s="436"/>
      <c r="M25" s="436"/>
      <c r="N25" s="436"/>
      <c r="O25" s="436"/>
      <c r="P25" s="436"/>
      <c r="Q25" s="436"/>
      <c r="R25" s="436"/>
      <c r="S25" s="436"/>
      <c r="T25" s="436"/>
      <c r="U25" s="436">
        <v>25</v>
      </c>
    </row>
    <row r="26" spans="1:21" ht="18.75" customHeight="1" x14ac:dyDescent="0.3">
      <c r="A26" s="436" t="s">
        <v>406</v>
      </c>
      <c r="B26" s="436"/>
      <c r="C26" s="436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>
        <v>26</v>
      </c>
    </row>
    <row r="27" spans="1:21" ht="18.75" customHeight="1" x14ac:dyDescent="0.3">
      <c r="A27" s="436" t="s">
        <v>407</v>
      </c>
      <c r="B27" s="436"/>
      <c r="C27" s="436"/>
      <c r="D27" s="436"/>
      <c r="E27" s="436"/>
      <c r="F27" s="436"/>
      <c r="G27" s="436"/>
      <c r="H27" s="436"/>
      <c r="I27" s="436"/>
      <c r="J27" s="436"/>
      <c r="K27" s="436"/>
      <c r="L27" s="436"/>
      <c r="M27" s="436"/>
      <c r="N27" s="436"/>
      <c r="O27" s="436"/>
      <c r="P27" s="436"/>
      <c r="Q27" s="436"/>
      <c r="R27" s="436"/>
      <c r="S27" s="436"/>
      <c r="T27" s="436"/>
      <c r="U27" s="436">
        <v>27</v>
      </c>
    </row>
    <row r="28" spans="1:21" ht="18.75" customHeight="1" x14ac:dyDescent="0.3">
      <c r="A28" s="436" t="s">
        <v>408</v>
      </c>
      <c r="B28" s="436"/>
      <c r="C28" s="436"/>
      <c r="D28" s="436"/>
      <c r="E28" s="436"/>
      <c r="F28" s="436"/>
      <c r="G28" s="436"/>
      <c r="H28" s="436"/>
      <c r="I28" s="436"/>
      <c r="J28" s="436"/>
      <c r="K28" s="436"/>
      <c r="L28" s="436"/>
      <c r="M28" s="436"/>
      <c r="N28" s="436"/>
      <c r="O28" s="436"/>
      <c r="P28" s="436"/>
      <c r="Q28" s="436"/>
      <c r="R28" s="436"/>
      <c r="S28" s="436"/>
      <c r="T28" s="436"/>
      <c r="U28" s="436">
        <v>28</v>
      </c>
    </row>
    <row r="29" spans="1:21" ht="18.75" customHeight="1" x14ac:dyDescent="0.3">
      <c r="A29" s="436" t="s">
        <v>409</v>
      </c>
      <c r="B29" s="436"/>
      <c r="C29" s="436"/>
      <c r="D29" s="436"/>
      <c r="E29" s="436"/>
      <c r="F29" s="436"/>
      <c r="G29" s="436"/>
      <c r="H29" s="436"/>
      <c r="I29" s="436"/>
      <c r="J29" s="436"/>
      <c r="K29" s="436"/>
      <c r="L29" s="436"/>
      <c r="M29" s="436"/>
      <c r="N29" s="436"/>
      <c r="O29" s="436"/>
      <c r="P29" s="436"/>
      <c r="Q29" s="436"/>
      <c r="R29" s="436"/>
      <c r="S29" s="436"/>
      <c r="T29" s="436"/>
      <c r="U29" s="436">
        <v>29</v>
      </c>
    </row>
    <row r="30" spans="1:21" ht="18.75" customHeight="1" x14ac:dyDescent="0.3">
      <c r="A30" s="436" t="s">
        <v>410</v>
      </c>
      <c r="B30" s="436"/>
      <c r="C30" s="436"/>
      <c r="D30" s="436"/>
      <c r="E30" s="436"/>
      <c r="F30" s="436"/>
      <c r="G30" s="436"/>
      <c r="H30" s="436"/>
      <c r="I30" s="436"/>
      <c r="J30" s="436"/>
      <c r="K30" s="436"/>
      <c r="L30" s="436"/>
      <c r="M30" s="436"/>
      <c r="N30" s="436"/>
      <c r="O30" s="436"/>
      <c r="P30" s="436"/>
      <c r="Q30" s="436"/>
      <c r="R30" s="436"/>
      <c r="S30" s="436"/>
      <c r="T30" s="436"/>
      <c r="U30" s="436">
        <v>30</v>
      </c>
    </row>
    <row r="31" spans="1:21" ht="18.75" customHeight="1" x14ac:dyDescent="0.3">
      <c r="A31" s="436" t="s">
        <v>411</v>
      </c>
      <c r="B31" s="436"/>
      <c r="C31" s="436"/>
      <c r="D31" s="436"/>
      <c r="E31" s="436"/>
      <c r="F31" s="436"/>
      <c r="G31" s="436"/>
      <c r="H31" s="436"/>
      <c r="I31" s="436"/>
      <c r="J31" s="436"/>
      <c r="K31" s="436"/>
      <c r="L31" s="436"/>
      <c r="M31" s="436"/>
      <c r="N31" s="436"/>
      <c r="O31" s="436"/>
      <c r="P31" s="436"/>
      <c r="Q31" s="436"/>
      <c r="R31" s="436"/>
      <c r="S31" s="436"/>
      <c r="T31" s="436"/>
      <c r="U31" s="436">
        <v>31</v>
      </c>
    </row>
    <row r="32" spans="1:21" ht="18.75" customHeight="1" x14ac:dyDescent="0.3">
      <c r="A32" s="436" t="s">
        <v>412</v>
      </c>
      <c r="B32" s="436"/>
      <c r="C32" s="436"/>
      <c r="D32" s="436"/>
      <c r="E32" s="436"/>
      <c r="F32" s="436"/>
      <c r="G32" s="436"/>
      <c r="H32" s="436"/>
      <c r="I32" s="436"/>
      <c r="J32" s="436"/>
      <c r="K32" s="436"/>
      <c r="L32" s="436"/>
      <c r="M32" s="436"/>
      <c r="N32" s="436"/>
      <c r="O32" s="436"/>
      <c r="P32" s="436"/>
      <c r="Q32" s="436"/>
      <c r="R32" s="436"/>
      <c r="S32" s="436"/>
      <c r="T32" s="436"/>
      <c r="U32" s="436">
        <v>32</v>
      </c>
    </row>
    <row r="33" spans="1:21" ht="18.75" customHeight="1" x14ac:dyDescent="0.3">
      <c r="A33" s="436" t="s">
        <v>413</v>
      </c>
      <c r="B33" s="436"/>
      <c r="C33" s="436"/>
      <c r="D33" s="436"/>
      <c r="E33" s="436"/>
      <c r="F33" s="436"/>
      <c r="G33" s="436"/>
      <c r="H33" s="436"/>
      <c r="I33" s="436"/>
      <c r="J33" s="436"/>
      <c r="K33" s="436"/>
      <c r="L33" s="436"/>
      <c r="M33" s="436"/>
      <c r="N33" s="436"/>
      <c r="O33" s="436"/>
      <c r="P33" s="436"/>
      <c r="Q33" s="436"/>
      <c r="R33" s="436"/>
      <c r="S33" s="436"/>
      <c r="T33" s="436"/>
      <c r="U33" s="436">
        <v>33</v>
      </c>
    </row>
    <row r="34" spans="1:21" ht="18.75" customHeight="1" x14ac:dyDescent="0.3">
      <c r="A34" s="436" t="s">
        <v>414</v>
      </c>
      <c r="B34" s="436"/>
      <c r="C34" s="436"/>
      <c r="D34" s="436"/>
      <c r="E34" s="436"/>
      <c r="F34" s="436"/>
      <c r="G34" s="436"/>
      <c r="H34" s="436"/>
      <c r="I34" s="436"/>
      <c r="J34" s="436"/>
      <c r="K34" s="436"/>
      <c r="L34" s="436"/>
      <c r="M34" s="436"/>
      <c r="N34" s="436"/>
      <c r="O34" s="436"/>
      <c r="P34" s="436"/>
      <c r="Q34" s="436"/>
      <c r="R34" s="436"/>
      <c r="S34" s="436"/>
      <c r="T34" s="436"/>
      <c r="U34" s="436">
        <v>34</v>
      </c>
    </row>
    <row r="35" spans="1:21" ht="18.75" customHeight="1" x14ac:dyDescent="0.3">
      <c r="A35" s="436" t="s">
        <v>415</v>
      </c>
      <c r="B35" s="436"/>
      <c r="C35" s="436"/>
      <c r="D35" s="436"/>
      <c r="E35" s="436"/>
      <c r="F35" s="436"/>
      <c r="G35" s="436"/>
      <c r="H35" s="436"/>
      <c r="I35" s="436"/>
      <c r="J35" s="436"/>
      <c r="K35" s="436"/>
      <c r="L35" s="436"/>
      <c r="M35" s="436"/>
      <c r="N35" s="436"/>
      <c r="O35" s="436"/>
      <c r="P35" s="436"/>
      <c r="Q35" s="436"/>
      <c r="R35" s="436"/>
      <c r="S35" s="436"/>
      <c r="T35" s="436"/>
      <c r="U35" s="436">
        <v>35</v>
      </c>
    </row>
    <row r="36" spans="1:21" ht="18.75" customHeight="1" x14ac:dyDescent="0.3">
      <c r="A36" s="436" t="s">
        <v>416</v>
      </c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>
        <v>36</v>
      </c>
    </row>
    <row r="37" spans="1:21" ht="18.75" customHeight="1" x14ac:dyDescent="0.3">
      <c r="A37" s="436" t="s">
        <v>417</v>
      </c>
      <c r="B37" s="436"/>
      <c r="C37" s="436"/>
      <c r="D37" s="436"/>
      <c r="E37" s="436"/>
      <c r="F37" s="436"/>
      <c r="G37" s="436"/>
      <c r="H37" s="436"/>
      <c r="I37" s="436"/>
      <c r="J37" s="436"/>
      <c r="K37" s="436"/>
      <c r="L37" s="436"/>
      <c r="M37" s="436"/>
      <c r="N37" s="436"/>
      <c r="O37" s="436"/>
      <c r="P37" s="436"/>
      <c r="Q37" s="436"/>
      <c r="R37" s="436"/>
      <c r="S37" s="436"/>
      <c r="T37" s="436"/>
      <c r="U37" s="436">
        <v>37</v>
      </c>
    </row>
    <row r="38" spans="1:21" ht="18.75" customHeight="1" x14ac:dyDescent="0.3">
      <c r="A38" s="436" t="s">
        <v>418</v>
      </c>
      <c r="B38" s="436"/>
      <c r="C38" s="436"/>
      <c r="D38" s="436"/>
      <c r="E38" s="436"/>
      <c r="F38" s="436"/>
      <c r="G38" s="436"/>
      <c r="H38" s="436"/>
      <c r="I38" s="436"/>
      <c r="J38" s="436"/>
      <c r="K38" s="436"/>
      <c r="L38" s="436"/>
      <c r="M38" s="436"/>
      <c r="N38" s="436"/>
      <c r="O38" s="436"/>
      <c r="P38" s="436"/>
      <c r="Q38" s="436"/>
      <c r="R38" s="436"/>
      <c r="S38" s="436"/>
      <c r="T38" s="436"/>
      <c r="U38" s="436">
        <v>38</v>
      </c>
    </row>
    <row r="39" spans="1:21" ht="18.75" customHeight="1" x14ac:dyDescent="0.3">
      <c r="A39" s="436" t="s">
        <v>419</v>
      </c>
      <c r="B39" s="436"/>
      <c r="C39" s="436"/>
      <c r="D39" s="436"/>
      <c r="E39" s="436"/>
      <c r="F39" s="436"/>
      <c r="G39" s="436"/>
      <c r="H39" s="436"/>
      <c r="I39" s="436"/>
      <c r="J39" s="436"/>
      <c r="K39" s="436"/>
      <c r="L39" s="436"/>
      <c r="M39" s="436"/>
      <c r="N39" s="436"/>
      <c r="O39" s="436"/>
      <c r="P39" s="436"/>
      <c r="Q39" s="436"/>
      <c r="R39" s="436"/>
      <c r="S39" s="436"/>
      <c r="T39" s="436"/>
      <c r="U39" s="436">
        <v>39</v>
      </c>
    </row>
    <row r="40" spans="1:21" ht="18.75" customHeight="1" x14ac:dyDescent="0.3">
      <c r="A40" s="436" t="s">
        <v>420</v>
      </c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>
        <v>40</v>
      </c>
    </row>
    <row r="41" spans="1:21" ht="18.75" customHeight="1" x14ac:dyDescent="0.3">
      <c r="A41" s="436" t="s">
        <v>421</v>
      </c>
      <c r="B41" s="436"/>
      <c r="C41" s="436"/>
      <c r="D41" s="436"/>
      <c r="E41" s="436"/>
      <c r="F41" s="436"/>
      <c r="G41" s="436"/>
      <c r="H41" s="436"/>
      <c r="I41" s="436"/>
      <c r="J41" s="436"/>
      <c r="K41" s="436"/>
      <c r="L41" s="436"/>
      <c r="M41" s="436"/>
      <c r="N41" s="436"/>
      <c r="O41" s="436"/>
      <c r="P41" s="436"/>
      <c r="Q41" s="436"/>
      <c r="R41" s="436"/>
      <c r="S41" s="436"/>
      <c r="T41" s="436"/>
      <c r="U41" s="436">
        <v>41</v>
      </c>
    </row>
    <row r="42" spans="1:21" ht="18.75" customHeight="1" x14ac:dyDescent="0.3">
      <c r="A42" s="436" t="s">
        <v>422</v>
      </c>
      <c r="B42" s="436"/>
      <c r="C42" s="436"/>
      <c r="D42" s="436"/>
      <c r="E42" s="436"/>
      <c r="F42" s="436"/>
      <c r="G42" s="436"/>
      <c r="H42" s="436"/>
      <c r="I42" s="436"/>
      <c r="J42" s="436"/>
      <c r="K42" s="436"/>
      <c r="L42" s="436"/>
      <c r="M42" s="436"/>
      <c r="N42" s="436"/>
      <c r="O42" s="436"/>
      <c r="P42" s="436"/>
      <c r="Q42" s="436"/>
      <c r="R42" s="436"/>
      <c r="S42" s="436"/>
      <c r="T42" s="436"/>
      <c r="U42" s="436">
        <v>42</v>
      </c>
    </row>
    <row r="43" spans="1:21" ht="18.75" customHeight="1" x14ac:dyDescent="0.3">
      <c r="A43" s="436" t="s">
        <v>423</v>
      </c>
      <c r="B43" s="436"/>
      <c r="C43" s="436"/>
      <c r="D43" s="436"/>
      <c r="E43" s="436"/>
      <c r="F43" s="436"/>
      <c r="G43" s="436"/>
      <c r="H43" s="436"/>
      <c r="I43" s="436"/>
      <c r="J43" s="436"/>
      <c r="K43" s="436"/>
      <c r="L43" s="436"/>
      <c r="M43" s="436"/>
      <c r="N43" s="436"/>
      <c r="O43" s="436"/>
      <c r="P43" s="436"/>
      <c r="Q43" s="436"/>
      <c r="R43" s="436"/>
      <c r="S43" s="436"/>
      <c r="T43" s="436"/>
      <c r="U43" s="436">
        <v>43</v>
      </c>
    </row>
    <row r="44" spans="1:21" ht="18.75" customHeight="1" x14ac:dyDescent="0.3">
      <c r="A44" s="436" t="s">
        <v>424</v>
      </c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>
        <v>44</v>
      </c>
    </row>
    <row r="45" spans="1:21" ht="18.75" customHeight="1" x14ac:dyDescent="0.3">
      <c r="A45" s="436" t="s">
        <v>425</v>
      </c>
      <c r="B45" s="436"/>
      <c r="C45" s="436"/>
      <c r="D45" s="436"/>
      <c r="E45" s="436"/>
      <c r="F45" s="436"/>
      <c r="G45" s="436"/>
      <c r="H45" s="436"/>
      <c r="I45" s="436"/>
      <c r="J45" s="436"/>
      <c r="K45" s="436"/>
      <c r="L45" s="436"/>
      <c r="M45" s="436"/>
      <c r="N45" s="436"/>
      <c r="O45" s="436"/>
      <c r="P45" s="436"/>
      <c r="Q45" s="436"/>
      <c r="R45" s="436"/>
      <c r="S45" s="436"/>
      <c r="T45" s="436"/>
      <c r="U45" s="436">
        <v>45</v>
      </c>
    </row>
    <row r="46" spans="1:21" ht="18.75" customHeight="1" x14ac:dyDescent="0.3">
      <c r="A46" s="436" t="s">
        <v>426</v>
      </c>
      <c r="B46" s="436"/>
      <c r="C46" s="436"/>
      <c r="D46" s="436"/>
      <c r="E46" s="436"/>
      <c r="F46" s="436"/>
      <c r="G46" s="436"/>
      <c r="H46" s="436"/>
      <c r="I46" s="436"/>
      <c r="J46" s="436"/>
      <c r="K46" s="436"/>
      <c r="L46" s="436"/>
      <c r="M46" s="436"/>
      <c r="N46" s="436"/>
      <c r="O46" s="436"/>
      <c r="P46" s="436"/>
      <c r="Q46" s="436"/>
      <c r="R46" s="436"/>
      <c r="S46" s="436"/>
      <c r="T46" s="436"/>
      <c r="U46" s="436">
        <v>46</v>
      </c>
    </row>
    <row r="47" spans="1:21" ht="18.75" customHeight="1" x14ac:dyDescent="0.3">
      <c r="A47" s="436" t="s">
        <v>427</v>
      </c>
      <c r="B47" s="436"/>
      <c r="C47" s="436"/>
      <c r="D47" s="436"/>
      <c r="E47" s="436"/>
      <c r="F47" s="436"/>
      <c r="G47" s="436"/>
      <c r="H47" s="436"/>
      <c r="I47" s="436"/>
      <c r="J47" s="436"/>
      <c r="K47" s="436"/>
      <c r="L47" s="436"/>
      <c r="M47" s="436"/>
      <c r="N47" s="436"/>
      <c r="O47" s="436"/>
      <c r="P47" s="436"/>
      <c r="Q47" s="436"/>
      <c r="R47" s="436"/>
      <c r="S47" s="436"/>
      <c r="T47" s="436"/>
      <c r="U47" s="436">
        <v>47</v>
      </c>
    </row>
    <row r="48" spans="1:21" ht="18.75" customHeight="1" x14ac:dyDescent="0.3">
      <c r="A48" s="436" t="s">
        <v>428</v>
      </c>
      <c r="B48" s="436"/>
      <c r="C48" s="436"/>
      <c r="D48" s="436"/>
      <c r="E48" s="436"/>
      <c r="F48" s="436"/>
      <c r="G48" s="436"/>
      <c r="H48" s="436"/>
      <c r="I48" s="436"/>
      <c r="J48" s="436"/>
      <c r="K48" s="436"/>
      <c r="L48" s="436"/>
      <c r="M48" s="436"/>
      <c r="N48" s="436"/>
      <c r="O48" s="436"/>
      <c r="P48" s="436"/>
      <c r="Q48" s="436"/>
      <c r="R48" s="436"/>
      <c r="S48" s="436"/>
      <c r="T48" s="436"/>
      <c r="U48" s="436">
        <v>48</v>
      </c>
    </row>
    <row r="49" spans="1:21" ht="18.75" customHeight="1" x14ac:dyDescent="0.3">
      <c r="A49" s="436" t="s">
        <v>429</v>
      </c>
      <c r="B49" s="436"/>
      <c r="C49" s="436"/>
      <c r="D49" s="436"/>
      <c r="E49" s="436"/>
      <c r="F49" s="436"/>
      <c r="G49" s="436"/>
      <c r="H49" s="436"/>
      <c r="I49" s="436"/>
      <c r="J49" s="436"/>
      <c r="K49" s="436"/>
      <c r="L49" s="436"/>
      <c r="M49" s="436"/>
      <c r="N49" s="436"/>
      <c r="O49" s="436"/>
      <c r="P49" s="436"/>
      <c r="Q49" s="436"/>
      <c r="R49" s="436"/>
      <c r="S49" s="436"/>
      <c r="T49" s="436"/>
      <c r="U49" s="436">
        <v>49</v>
      </c>
    </row>
    <row r="50" spans="1:21" ht="18.75" customHeight="1" x14ac:dyDescent="0.3">
      <c r="A50" s="436" t="s">
        <v>430</v>
      </c>
      <c r="B50" s="436"/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>
        <v>50</v>
      </c>
    </row>
    <row r="51" spans="1:21" ht="18.75" customHeight="1" x14ac:dyDescent="0.3">
      <c r="A51" s="436" t="s">
        <v>431</v>
      </c>
      <c r="B51" s="436"/>
      <c r="C51" s="436"/>
      <c r="D51" s="436"/>
      <c r="E51" s="436"/>
      <c r="F51" s="436"/>
      <c r="G51" s="436"/>
      <c r="H51" s="436"/>
      <c r="I51" s="436"/>
      <c r="J51" s="436"/>
      <c r="K51" s="436"/>
      <c r="L51" s="436"/>
      <c r="M51" s="436"/>
      <c r="N51" s="436"/>
      <c r="O51" s="436"/>
      <c r="P51" s="436"/>
      <c r="Q51" s="436"/>
      <c r="R51" s="436"/>
      <c r="S51" s="436"/>
      <c r="T51" s="436"/>
      <c r="U51" s="436">
        <v>51</v>
      </c>
    </row>
    <row r="52" spans="1:21" ht="18.75" customHeight="1" x14ac:dyDescent="0.3">
      <c r="A52" s="436" t="s">
        <v>432</v>
      </c>
      <c r="B52" s="436"/>
      <c r="C52" s="436"/>
      <c r="D52" s="436"/>
      <c r="E52" s="436"/>
      <c r="F52" s="436"/>
      <c r="G52" s="436"/>
      <c r="H52" s="436"/>
      <c r="I52" s="436"/>
      <c r="J52" s="436"/>
      <c r="K52" s="436"/>
      <c r="L52" s="436"/>
      <c r="M52" s="436"/>
      <c r="N52" s="436"/>
      <c r="O52" s="436"/>
      <c r="P52" s="436"/>
      <c r="Q52" s="436"/>
      <c r="R52" s="436"/>
      <c r="S52" s="436"/>
      <c r="T52" s="436"/>
      <c r="U52" s="436">
        <v>52</v>
      </c>
    </row>
    <row r="53" spans="1:21" ht="18.75" customHeight="1" x14ac:dyDescent="0.3">
      <c r="A53" s="436" t="s">
        <v>433</v>
      </c>
      <c r="B53" s="436"/>
      <c r="C53" s="436"/>
      <c r="D53" s="436"/>
      <c r="E53" s="436"/>
      <c r="F53" s="436"/>
      <c r="G53" s="436"/>
      <c r="H53" s="436"/>
      <c r="I53" s="436"/>
      <c r="J53" s="436"/>
      <c r="K53" s="436"/>
      <c r="L53" s="436"/>
      <c r="M53" s="436"/>
      <c r="N53" s="436"/>
      <c r="O53" s="436"/>
      <c r="P53" s="436"/>
      <c r="Q53" s="436"/>
      <c r="R53" s="436"/>
      <c r="S53" s="436"/>
      <c r="T53" s="436"/>
      <c r="U53" s="436">
        <v>53</v>
      </c>
    </row>
    <row r="54" spans="1:21" ht="18.75" customHeight="1" x14ac:dyDescent="0.3">
      <c r="A54" s="436" t="s">
        <v>434</v>
      </c>
      <c r="B54" s="436"/>
      <c r="C54" s="436"/>
      <c r="D54" s="436"/>
      <c r="E54" s="436"/>
      <c r="F54" s="436"/>
      <c r="G54" s="436"/>
      <c r="H54" s="436"/>
      <c r="I54" s="436"/>
      <c r="J54" s="436"/>
      <c r="K54" s="436"/>
      <c r="L54" s="436"/>
      <c r="M54" s="436"/>
      <c r="N54" s="436"/>
      <c r="O54" s="436"/>
      <c r="P54" s="436"/>
      <c r="Q54" s="436"/>
      <c r="R54" s="436"/>
      <c r="S54" s="436"/>
      <c r="T54" s="436"/>
      <c r="U54" s="436">
        <v>54</v>
      </c>
    </row>
    <row r="55" spans="1:21" ht="18.75" customHeight="1" x14ac:dyDescent="0.3">
      <c r="A55" s="436" t="s">
        <v>435</v>
      </c>
      <c r="B55" s="436"/>
      <c r="C55" s="436"/>
      <c r="D55" s="436"/>
      <c r="E55" s="436"/>
      <c r="F55" s="436"/>
      <c r="G55" s="436"/>
      <c r="H55" s="436"/>
      <c r="I55" s="436"/>
      <c r="J55" s="436"/>
      <c r="K55" s="436"/>
      <c r="L55" s="436"/>
      <c r="M55" s="436"/>
      <c r="N55" s="436"/>
      <c r="O55" s="436"/>
      <c r="P55" s="436"/>
      <c r="Q55" s="436"/>
      <c r="R55" s="436"/>
      <c r="S55" s="436"/>
      <c r="T55" s="436"/>
      <c r="U55" s="436">
        <v>55</v>
      </c>
    </row>
    <row r="56" spans="1:21" ht="18.75" customHeight="1" x14ac:dyDescent="0.3">
      <c r="A56" s="436" t="s">
        <v>436</v>
      </c>
      <c r="B56" s="436"/>
      <c r="C56" s="436"/>
      <c r="D56" s="436"/>
      <c r="E56" s="436"/>
      <c r="F56" s="436"/>
      <c r="G56" s="436"/>
      <c r="H56" s="436"/>
      <c r="I56" s="436"/>
      <c r="J56" s="436"/>
      <c r="K56" s="436"/>
      <c r="L56" s="436"/>
      <c r="M56" s="436"/>
      <c r="N56" s="436"/>
      <c r="O56" s="436"/>
      <c r="P56" s="436"/>
      <c r="Q56" s="436"/>
      <c r="R56" s="436"/>
      <c r="S56" s="436"/>
      <c r="T56" s="436"/>
      <c r="U56" s="436">
        <v>56</v>
      </c>
    </row>
    <row r="57" spans="1:21" ht="18.75" customHeight="1" x14ac:dyDescent="0.3">
      <c r="A57" s="437" t="s">
        <v>11</v>
      </c>
      <c r="B57" s="437"/>
      <c r="C57" s="437">
        <f t="shared" ref="C57:T57" si="0">SUM(C2:C56)</f>
        <v>0</v>
      </c>
      <c r="D57" s="437">
        <f t="shared" si="0"/>
        <v>0</v>
      </c>
      <c r="E57" s="437">
        <f t="shared" si="0"/>
        <v>0</v>
      </c>
      <c r="F57" s="437">
        <f t="shared" si="0"/>
        <v>0</v>
      </c>
      <c r="G57" s="437">
        <f t="shared" si="0"/>
        <v>0</v>
      </c>
      <c r="H57" s="437">
        <f t="shared" si="0"/>
        <v>0</v>
      </c>
      <c r="I57" s="437">
        <f t="shared" si="0"/>
        <v>0</v>
      </c>
      <c r="J57" s="437">
        <f t="shared" si="0"/>
        <v>0</v>
      </c>
      <c r="K57" s="437">
        <f t="shared" si="0"/>
        <v>0</v>
      </c>
      <c r="L57" s="437">
        <f t="shared" si="0"/>
        <v>0</v>
      </c>
      <c r="M57" s="437">
        <f t="shared" si="0"/>
        <v>0</v>
      </c>
      <c r="N57" s="437">
        <f t="shared" si="0"/>
        <v>0</v>
      </c>
      <c r="O57" s="437">
        <f t="shared" si="0"/>
        <v>0</v>
      </c>
      <c r="P57" s="437">
        <f t="shared" si="0"/>
        <v>0</v>
      </c>
      <c r="Q57" s="437">
        <f t="shared" si="0"/>
        <v>0</v>
      </c>
      <c r="R57" s="437">
        <f t="shared" si="0"/>
        <v>0</v>
      </c>
      <c r="S57" s="437">
        <f t="shared" si="0"/>
        <v>0</v>
      </c>
      <c r="T57" s="437">
        <f t="shared" si="0"/>
        <v>0</v>
      </c>
    </row>
  </sheetData>
  <pageMargins left="0.7" right="0.7" top="0.75" bottom="0.75" header="0.3" footer="0.3"/>
  <pageSetup paperSize="9" scale="54" fitToHeight="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57"/>
  <sheetViews>
    <sheetView view="pageBreakPreview" topLeftCell="A49" zoomScale="70" zoomScaleNormal="70" zoomScaleSheetLayoutView="70" workbookViewId="0">
      <selection activeCell="AJ47" sqref="AJ47"/>
    </sheetView>
  </sheetViews>
  <sheetFormatPr defaultColWidth="9.140625" defaultRowHeight="15" x14ac:dyDescent="0.25"/>
  <cols>
    <col min="1" max="1" width="40" style="451" customWidth="1"/>
    <col min="2" max="19" width="32.42578125" style="451" customWidth="1"/>
    <col min="20" max="20" width="26.85546875" style="451" customWidth="1"/>
    <col min="21" max="21" width="12.5703125" style="451" customWidth="1"/>
    <col min="22" max="151" width="9.140625" style="451" customWidth="1"/>
  </cols>
  <sheetData>
    <row r="1" spans="1:21" s="435" customFormat="1" ht="58.5" customHeight="1" x14ac:dyDescent="0.4">
      <c r="A1" s="438" t="s">
        <v>363</v>
      </c>
      <c r="B1" s="438" t="s">
        <v>364</v>
      </c>
      <c r="C1" s="438" t="s">
        <v>365</v>
      </c>
      <c r="D1" s="438" t="s">
        <v>366</v>
      </c>
      <c r="E1" s="438" t="s">
        <v>367</v>
      </c>
      <c r="F1" s="438" t="s">
        <v>368</v>
      </c>
      <c r="G1" s="438" t="s">
        <v>369</v>
      </c>
      <c r="H1" s="438" t="s">
        <v>370</v>
      </c>
      <c r="I1" s="438" t="s">
        <v>371</v>
      </c>
      <c r="J1" s="438" t="s">
        <v>372</v>
      </c>
      <c r="K1" s="438" t="s">
        <v>373</v>
      </c>
      <c r="L1" s="438" t="s">
        <v>374</v>
      </c>
      <c r="M1" s="438" t="s">
        <v>375</v>
      </c>
      <c r="N1" s="438" t="s">
        <v>376</v>
      </c>
      <c r="O1" s="438" t="s">
        <v>377</v>
      </c>
      <c r="P1" s="439" t="s">
        <v>378</v>
      </c>
      <c r="Q1" s="438" t="s">
        <v>379</v>
      </c>
      <c r="R1" s="438" t="s">
        <v>380</v>
      </c>
      <c r="S1" s="438" t="s">
        <v>117</v>
      </c>
      <c r="T1" s="438" t="s">
        <v>11</v>
      </c>
      <c r="U1" s="438" t="s">
        <v>381</v>
      </c>
    </row>
    <row r="2" spans="1:21" ht="33" customHeight="1" x14ac:dyDescent="0.25">
      <c r="A2" s="440" t="s">
        <v>382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  <c r="N2" s="440"/>
      <c r="O2" s="440"/>
      <c r="P2" s="440"/>
      <c r="Q2" s="440"/>
      <c r="R2" s="440"/>
      <c r="S2" s="441"/>
      <c r="T2" s="442">
        <f t="shared" ref="T2:T33" si="0">SUM(C2:S2)</f>
        <v>0</v>
      </c>
      <c r="U2" s="441">
        <v>2</v>
      </c>
    </row>
    <row r="3" spans="1:21" ht="33" customHeight="1" x14ac:dyDescent="0.25">
      <c r="A3" s="441" t="s">
        <v>383</v>
      </c>
      <c r="B3" s="441"/>
      <c r="C3" s="441"/>
      <c r="D3" s="441"/>
      <c r="E3" s="441"/>
      <c r="F3" s="441"/>
      <c r="G3" s="441"/>
      <c r="H3" s="441"/>
      <c r="I3" s="441"/>
      <c r="J3" s="441"/>
      <c r="K3" s="441"/>
      <c r="L3" s="441"/>
      <c r="M3" s="441"/>
      <c r="N3" s="441"/>
      <c r="O3" s="441"/>
      <c r="P3" s="441"/>
      <c r="Q3" s="441"/>
      <c r="R3" s="441"/>
      <c r="S3" s="441"/>
      <c r="T3" s="442">
        <f t="shared" si="0"/>
        <v>0</v>
      </c>
      <c r="U3" s="441">
        <v>3</v>
      </c>
    </row>
    <row r="4" spans="1:21" ht="33" customHeight="1" x14ac:dyDescent="0.25">
      <c r="A4" s="441" t="s">
        <v>384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2">
        <f t="shared" si="0"/>
        <v>0</v>
      </c>
      <c r="U4" s="441">
        <v>4</v>
      </c>
    </row>
    <row r="5" spans="1:21" ht="33" customHeight="1" x14ac:dyDescent="0.25">
      <c r="A5" s="441" t="s">
        <v>385</v>
      </c>
      <c r="B5" s="441"/>
      <c r="C5" s="441"/>
      <c r="D5" s="441"/>
      <c r="E5" s="441"/>
      <c r="F5" s="441"/>
      <c r="G5" s="441"/>
      <c r="H5" s="441"/>
      <c r="I5" s="441"/>
      <c r="J5" s="441"/>
      <c r="K5" s="441"/>
      <c r="L5" s="441"/>
      <c r="M5" s="441"/>
      <c r="N5" s="441"/>
      <c r="O5" s="441"/>
      <c r="P5" s="441"/>
      <c r="Q5" s="441"/>
      <c r="R5" s="441"/>
      <c r="S5" s="441"/>
      <c r="T5" s="442">
        <f t="shared" si="0"/>
        <v>0</v>
      </c>
      <c r="U5" s="441">
        <v>5</v>
      </c>
    </row>
    <row r="6" spans="1:21" ht="33" customHeight="1" x14ac:dyDescent="0.25">
      <c r="A6" s="441" t="s">
        <v>386</v>
      </c>
      <c r="B6" s="441"/>
      <c r="C6" s="441"/>
      <c r="D6" s="441"/>
      <c r="E6" s="441"/>
      <c r="F6" s="441"/>
      <c r="G6" s="441"/>
      <c r="H6" s="441"/>
      <c r="I6" s="441"/>
      <c r="J6" s="441"/>
      <c r="K6" s="441"/>
      <c r="L6" s="441"/>
      <c r="M6" s="441"/>
      <c r="N6" s="441"/>
      <c r="O6" s="441"/>
      <c r="P6" s="441"/>
      <c r="Q6" s="441"/>
      <c r="R6" s="441"/>
      <c r="S6" s="441"/>
      <c r="T6" s="442">
        <f t="shared" si="0"/>
        <v>0</v>
      </c>
      <c r="U6" s="441">
        <v>6</v>
      </c>
    </row>
    <row r="7" spans="1:21" ht="33" customHeight="1" x14ac:dyDescent="0.25">
      <c r="A7" s="441" t="s">
        <v>387</v>
      </c>
      <c r="B7" s="441"/>
      <c r="C7" s="441"/>
      <c r="D7" s="441"/>
      <c r="E7" s="441"/>
      <c r="F7" s="441"/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41"/>
      <c r="R7" s="441"/>
      <c r="S7" s="441"/>
      <c r="T7" s="442">
        <f t="shared" si="0"/>
        <v>0</v>
      </c>
      <c r="U7" s="441">
        <v>7</v>
      </c>
    </row>
    <row r="8" spans="1:21" ht="33" customHeight="1" x14ac:dyDescent="0.25">
      <c r="A8" s="441" t="s">
        <v>388</v>
      </c>
      <c r="B8" s="441"/>
      <c r="C8" s="441"/>
      <c r="D8" s="441"/>
      <c r="E8" s="441"/>
      <c r="F8" s="441"/>
      <c r="G8" s="441"/>
      <c r="H8" s="441"/>
      <c r="I8" s="441"/>
      <c r="J8" s="441"/>
      <c r="K8" s="441"/>
      <c r="L8" s="441"/>
      <c r="M8" s="441"/>
      <c r="N8" s="441"/>
      <c r="O8" s="441"/>
      <c r="P8" s="441"/>
      <c r="Q8" s="441"/>
      <c r="R8" s="441"/>
      <c r="S8" s="441"/>
      <c r="T8" s="442">
        <f t="shared" si="0"/>
        <v>0</v>
      </c>
      <c r="U8" s="441">
        <v>8</v>
      </c>
    </row>
    <row r="9" spans="1:21" ht="33" customHeight="1" x14ac:dyDescent="0.25">
      <c r="A9" s="441" t="s">
        <v>389</v>
      </c>
      <c r="B9" s="441"/>
      <c r="C9" s="441"/>
      <c r="D9" s="441"/>
      <c r="E9" s="441"/>
      <c r="F9" s="441"/>
      <c r="G9" s="441"/>
      <c r="H9" s="441"/>
      <c r="I9" s="441"/>
      <c r="J9" s="441"/>
      <c r="K9" s="441"/>
      <c r="L9" s="441"/>
      <c r="M9" s="441"/>
      <c r="N9" s="441"/>
      <c r="O9" s="441"/>
      <c r="P9" s="441"/>
      <c r="Q9" s="441"/>
      <c r="R9" s="441"/>
      <c r="S9" s="441"/>
      <c r="T9" s="442">
        <f t="shared" si="0"/>
        <v>0</v>
      </c>
      <c r="U9" s="441">
        <v>9</v>
      </c>
    </row>
    <row r="10" spans="1:21" ht="33" customHeight="1" x14ac:dyDescent="0.25">
      <c r="A10" s="441" t="s">
        <v>390</v>
      </c>
      <c r="B10" s="441"/>
      <c r="C10" s="441"/>
      <c r="D10" s="441"/>
      <c r="E10" s="441"/>
      <c r="F10" s="441"/>
      <c r="G10" s="441"/>
      <c r="H10" s="441"/>
      <c r="I10" s="441"/>
      <c r="J10" s="441"/>
      <c r="K10" s="441"/>
      <c r="L10" s="441"/>
      <c r="M10" s="441"/>
      <c r="N10" s="441"/>
      <c r="O10" s="441"/>
      <c r="P10" s="441"/>
      <c r="Q10" s="441"/>
      <c r="R10" s="441"/>
      <c r="S10" s="441"/>
      <c r="T10" s="442">
        <f t="shared" si="0"/>
        <v>0</v>
      </c>
      <c r="U10" s="441">
        <v>10</v>
      </c>
    </row>
    <row r="11" spans="1:21" ht="33" customHeight="1" x14ac:dyDescent="0.25">
      <c r="A11" s="441" t="s">
        <v>391</v>
      </c>
      <c r="B11" s="441"/>
      <c r="C11" s="441"/>
      <c r="D11" s="441"/>
      <c r="E11" s="441"/>
      <c r="F11" s="441"/>
      <c r="G11" s="441"/>
      <c r="H11" s="441"/>
      <c r="I11" s="441"/>
      <c r="J11" s="441"/>
      <c r="K11" s="441"/>
      <c r="L11" s="441"/>
      <c r="M11" s="441"/>
      <c r="N11" s="441"/>
      <c r="O11" s="441"/>
      <c r="P11" s="441"/>
      <c r="Q11" s="441"/>
      <c r="R11" s="441"/>
      <c r="S11" s="441"/>
      <c r="T11" s="442">
        <f t="shared" si="0"/>
        <v>0</v>
      </c>
      <c r="U11" s="441">
        <v>11</v>
      </c>
    </row>
    <row r="12" spans="1:21" ht="33" customHeight="1" x14ac:dyDescent="0.25">
      <c r="A12" s="441" t="s">
        <v>392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1"/>
      <c r="N12" s="441"/>
      <c r="O12" s="441"/>
      <c r="P12" s="441"/>
      <c r="Q12" s="441"/>
      <c r="R12" s="441"/>
      <c r="S12" s="441"/>
      <c r="T12" s="442">
        <f t="shared" si="0"/>
        <v>0</v>
      </c>
      <c r="U12" s="441">
        <v>12</v>
      </c>
    </row>
    <row r="13" spans="1:21" ht="33" customHeight="1" x14ac:dyDescent="0.25">
      <c r="A13" s="441" t="s">
        <v>393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1"/>
      <c r="M13" s="441"/>
      <c r="N13" s="441"/>
      <c r="O13" s="441"/>
      <c r="P13" s="441"/>
      <c r="Q13" s="441"/>
      <c r="R13" s="441"/>
      <c r="S13" s="441"/>
      <c r="T13" s="442">
        <f t="shared" si="0"/>
        <v>0</v>
      </c>
      <c r="U13" s="441">
        <v>13</v>
      </c>
    </row>
    <row r="14" spans="1:21" ht="33" customHeight="1" x14ac:dyDescent="0.25">
      <c r="A14" s="441" t="s">
        <v>394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1"/>
      <c r="N14" s="441"/>
      <c r="O14" s="441"/>
      <c r="P14" s="441"/>
      <c r="Q14" s="441"/>
      <c r="R14" s="441"/>
      <c r="S14" s="441"/>
      <c r="T14" s="442">
        <f t="shared" si="0"/>
        <v>0</v>
      </c>
      <c r="U14" s="441">
        <v>14</v>
      </c>
    </row>
    <row r="15" spans="1:21" ht="33" customHeight="1" x14ac:dyDescent="0.25">
      <c r="A15" s="441" t="s">
        <v>395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1"/>
      <c r="M15" s="441"/>
      <c r="N15" s="441"/>
      <c r="O15" s="441"/>
      <c r="P15" s="441"/>
      <c r="Q15" s="441"/>
      <c r="R15" s="441"/>
      <c r="S15" s="441"/>
      <c r="T15" s="442">
        <f t="shared" si="0"/>
        <v>0</v>
      </c>
      <c r="U15" s="441">
        <v>15</v>
      </c>
    </row>
    <row r="16" spans="1:21" ht="33" customHeight="1" x14ac:dyDescent="0.25">
      <c r="A16" s="441" t="s">
        <v>396</v>
      </c>
      <c r="B16" s="441"/>
      <c r="C16" s="441"/>
      <c r="D16" s="441"/>
      <c r="E16" s="441"/>
      <c r="F16" s="441"/>
      <c r="G16" s="441"/>
      <c r="H16" s="441"/>
      <c r="I16" s="441"/>
      <c r="J16" s="441"/>
      <c r="K16" s="441"/>
      <c r="L16" s="441"/>
      <c r="M16" s="441"/>
      <c r="N16" s="441"/>
      <c r="O16" s="441"/>
      <c r="P16" s="441"/>
      <c r="Q16" s="441"/>
      <c r="R16" s="441"/>
      <c r="S16" s="441"/>
      <c r="T16" s="442">
        <f t="shared" si="0"/>
        <v>0</v>
      </c>
      <c r="U16" s="441">
        <v>16</v>
      </c>
    </row>
    <row r="17" spans="1:21" ht="33" customHeight="1" x14ac:dyDescent="0.25">
      <c r="A17" s="441" t="s">
        <v>397</v>
      </c>
      <c r="B17" s="441"/>
      <c r="C17" s="441"/>
      <c r="D17" s="441"/>
      <c r="E17" s="441"/>
      <c r="F17" s="441"/>
      <c r="G17" s="441"/>
      <c r="H17" s="441"/>
      <c r="I17" s="441"/>
      <c r="J17" s="441"/>
      <c r="K17" s="441"/>
      <c r="L17" s="441"/>
      <c r="M17" s="441"/>
      <c r="N17" s="441"/>
      <c r="O17" s="441"/>
      <c r="P17" s="441"/>
      <c r="Q17" s="441"/>
      <c r="R17" s="441"/>
      <c r="S17" s="441"/>
      <c r="T17" s="442">
        <f t="shared" si="0"/>
        <v>0</v>
      </c>
      <c r="U17" s="441">
        <v>17</v>
      </c>
    </row>
    <row r="18" spans="1:21" ht="33" customHeight="1" x14ac:dyDescent="0.25">
      <c r="A18" s="441" t="s">
        <v>398</v>
      </c>
      <c r="B18" s="441"/>
      <c r="C18" s="441"/>
      <c r="D18" s="441"/>
      <c r="E18" s="441"/>
      <c r="F18" s="441"/>
      <c r="G18" s="441"/>
      <c r="H18" s="441"/>
      <c r="I18" s="441"/>
      <c r="J18" s="441"/>
      <c r="K18" s="441"/>
      <c r="L18" s="441"/>
      <c r="M18" s="441"/>
      <c r="N18" s="441"/>
      <c r="O18" s="441"/>
      <c r="P18" s="441"/>
      <c r="Q18" s="441"/>
      <c r="R18" s="441"/>
      <c r="S18" s="441"/>
      <c r="T18" s="442">
        <f t="shared" si="0"/>
        <v>0</v>
      </c>
      <c r="U18" s="441">
        <v>18</v>
      </c>
    </row>
    <row r="19" spans="1:21" ht="33" customHeight="1" x14ac:dyDescent="0.25">
      <c r="A19" s="441" t="s">
        <v>399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2">
        <f t="shared" si="0"/>
        <v>0</v>
      </c>
      <c r="U19" s="441">
        <v>19</v>
      </c>
    </row>
    <row r="20" spans="1:21" ht="33" customHeight="1" x14ac:dyDescent="0.25">
      <c r="A20" s="441" t="s">
        <v>400</v>
      </c>
      <c r="B20" s="441"/>
      <c r="C20" s="441"/>
      <c r="D20" s="441"/>
      <c r="E20" s="441"/>
      <c r="F20" s="441"/>
      <c r="G20" s="441"/>
      <c r="H20" s="441"/>
      <c r="I20" s="441"/>
      <c r="J20" s="441"/>
      <c r="K20" s="441"/>
      <c r="L20" s="441"/>
      <c r="M20" s="441"/>
      <c r="N20" s="441"/>
      <c r="O20" s="441"/>
      <c r="P20" s="441"/>
      <c r="Q20" s="441"/>
      <c r="R20" s="441"/>
      <c r="S20" s="441"/>
      <c r="T20" s="442">
        <f t="shared" si="0"/>
        <v>0</v>
      </c>
      <c r="U20" s="441">
        <v>20</v>
      </c>
    </row>
    <row r="21" spans="1:21" ht="33" customHeight="1" x14ac:dyDescent="0.25">
      <c r="A21" s="441" t="s">
        <v>401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2">
        <f t="shared" si="0"/>
        <v>0</v>
      </c>
      <c r="U21" s="441">
        <v>21</v>
      </c>
    </row>
    <row r="22" spans="1:21" ht="33" customHeight="1" x14ac:dyDescent="0.25">
      <c r="A22" s="441" t="s">
        <v>402</v>
      </c>
      <c r="B22" s="441"/>
      <c r="C22" s="441"/>
      <c r="D22" s="441"/>
      <c r="E22" s="441"/>
      <c r="F22" s="441"/>
      <c r="G22" s="441"/>
      <c r="H22" s="441"/>
      <c r="I22" s="441"/>
      <c r="J22" s="441"/>
      <c r="K22" s="441"/>
      <c r="L22" s="441"/>
      <c r="M22" s="441"/>
      <c r="N22" s="441"/>
      <c r="O22" s="441"/>
      <c r="P22" s="441"/>
      <c r="Q22" s="441"/>
      <c r="R22" s="441"/>
      <c r="S22" s="441"/>
      <c r="T22" s="442">
        <f t="shared" si="0"/>
        <v>0</v>
      </c>
      <c r="U22" s="441">
        <v>22</v>
      </c>
    </row>
    <row r="23" spans="1:21" ht="33" customHeight="1" x14ac:dyDescent="0.25">
      <c r="A23" s="441" t="s">
        <v>403</v>
      </c>
      <c r="B23" s="441"/>
      <c r="C23" s="441"/>
      <c r="D23" s="441"/>
      <c r="E23" s="441"/>
      <c r="F23" s="441"/>
      <c r="G23" s="441"/>
      <c r="H23" s="441"/>
      <c r="I23" s="441"/>
      <c r="J23" s="441"/>
      <c r="K23" s="441"/>
      <c r="L23" s="441"/>
      <c r="M23" s="441"/>
      <c r="N23" s="441"/>
      <c r="O23" s="441"/>
      <c r="P23" s="441"/>
      <c r="Q23" s="441"/>
      <c r="R23" s="441"/>
      <c r="S23" s="441"/>
      <c r="T23" s="442">
        <f t="shared" si="0"/>
        <v>0</v>
      </c>
      <c r="U23" s="441">
        <v>23</v>
      </c>
    </row>
    <row r="24" spans="1:21" ht="33" customHeight="1" x14ac:dyDescent="0.25">
      <c r="A24" s="441" t="s">
        <v>404</v>
      </c>
      <c r="B24" s="441"/>
      <c r="C24" s="441"/>
      <c r="D24" s="441"/>
      <c r="E24" s="441"/>
      <c r="F24" s="441"/>
      <c r="G24" s="441"/>
      <c r="H24" s="441"/>
      <c r="I24" s="441"/>
      <c r="J24" s="441"/>
      <c r="K24" s="441"/>
      <c r="L24" s="441"/>
      <c r="M24" s="441"/>
      <c r="N24" s="441"/>
      <c r="O24" s="441"/>
      <c r="P24" s="441"/>
      <c r="Q24" s="441"/>
      <c r="R24" s="441"/>
      <c r="S24" s="441"/>
      <c r="T24" s="442">
        <f t="shared" si="0"/>
        <v>0</v>
      </c>
      <c r="U24" s="441">
        <v>24</v>
      </c>
    </row>
    <row r="25" spans="1:21" ht="33" customHeight="1" x14ac:dyDescent="0.25">
      <c r="A25" s="441" t="s">
        <v>405</v>
      </c>
      <c r="B25" s="441"/>
      <c r="C25" s="441"/>
      <c r="D25" s="441"/>
      <c r="E25" s="441"/>
      <c r="F25" s="441"/>
      <c r="G25" s="441"/>
      <c r="H25" s="441"/>
      <c r="I25" s="441"/>
      <c r="J25" s="441"/>
      <c r="K25" s="441"/>
      <c r="L25" s="441"/>
      <c r="M25" s="441"/>
      <c r="N25" s="441"/>
      <c r="O25" s="441"/>
      <c r="P25" s="441"/>
      <c r="Q25" s="441"/>
      <c r="R25" s="441"/>
      <c r="S25" s="441"/>
      <c r="T25" s="442">
        <f t="shared" si="0"/>
        <v>0</v>
      </c>
      <c r="U25" s="441">
        <v>25</v>
      </c>
    </row>
    <row r="26" spans="1:21" ht="33" customHeight="1" x14ac:dyDescent="0.25">
      <c r="A26" s="441" t="s">
        <v>406</v>
      </c>
      <c r="B26" s="441"/>
      <c r="C26" s="441"/>
      <c r="D26" s="441"/>
      <c r="E26" s="441"/>
      <c r="F26" s="441"/>
      <c r="G26" s="441"/>
      <c r="H26" s="441"/>
      <c r="I26" s="441"/>
      <c r="J26" s="441"/>
      <c r="K26" s="441"/>
      <c r="L26" s="441"/>
      <c r="M26" s="441"/>
      <c r="N26" s="441"/>
      <c r="O26" s="441"/>
      <c r="P26" s="441"/>
      <c r="Q26" s="441"/>
      <c r="R26" s="441"/>
      <c r="S26" s="441"/>
      <c r="T26" s="442">
        <f t="shared" si="0"/>
        <v>0</v>
      </c>
      <c r="U26" s="441">
        <v>26</v>
      </c>
    </row>
    <row r="27" spans="1:21" ht="33" customHeight="1" x14ac:dyDescent="0.25">
      <c r="A27" s="441" t="s">
        <v>407</v>
      </c>
      <c r="B27" s="441"/>
      <c r="C27" s="441"/>
      <c r="D27" s="441"/>
      <c r="E27" s="441"/>
      <c r="F27" s="441"/>
      <c r="G27" s="441"/>
      <c r="H27" s="441"/>
      <c r="I27" s="441"/>
      <c r="J27" s="441"/>
      <c r="K27" s="441"/>
      <c r="L27" s="441"/>
      <c r="M27" s="441"/>
      <c r="N27" s="441"/>
      <c r="O27" s="441"/>
      <c r="P27" s="441"/>
      <c r="Q27" s="441"/>
      <c r="R27" s="441"/>
      <c r="S27" s="441"/>
      <c r="T27" s="442">
        <f t="shared" si="0"/>
        <v>0</v>
      </c>
      <c r="U27" s="441">
        <v>27</v>
      </c>
    </row>
    <row r="28" spans="1:21" ht="33" customHeight="1" x14ac:dyDescent="0.25">
      <c r="A28" s="441" t="s">
        <v>408</v>
      </c>
      <c r="B28" s="441"/>
      <c r="C28" s="441"/>
      <c r="D28" s="441"/>
      <c r="E28" s="441"/>
      <c r="F28" s="441"/>
      <c r="G28" s="441"/>
      <c r="H28" s="441"/>
      <c r="I28" s="441"/>
      <c r="J28" s="441"/>
      <c r="K28" s="441"/>
      <c r="L28" s="441"/>
      <c r="M28" s="441"/>
      <c r="N28" s="441"/>
      <c r="O28" s="441"/>
      <c r="P28" s="441"/>
      <c r="Q28" s="441"/>
      <c r="R28" s="441"/>
      <c r="S28" s="441"/>
      <c r="T28" s="442">
        <f t="shared" si="0"/>
        <v>0</v>
      </c>
      <c r="U28" s="441">
        <v>28</v>
      </c>
    </row>
    <row r="29" spans="1:21" ht="33" customHeight="1" x14ac:dyDescent="0.25">
      <c r="A29" s="441" t="s">
        <v>409</v>
      </c>
      <c r="B29" s="441"/>
      <c r="C29" s="441"/>
      <c r="D29" s="441"/>
      <c r="E29" s="441"/>
      <c r="F29" s="441"/>
      <c r="G29" s="441"/>
      <c r="H29" s="441"/>
      <c r="I29" s="441"/>
      <c r="J29" s="441"/>
      <c r="K29" s="441"/>
      <c r="L29" s="441"/>
      <c r="M29" s="441"/>
      <c r="N29" s="441"/>
      <c r="O29" s="441"/>
      <c r="P29" s="441"/>
      <c r="Q29" s="441"/>
      <c r="R29" s="441"/>
      <c r="S29" s="441"/>
      <c r="T29" s="442">
        <f t="shared" si="0"/>
        <v>0</v>
      </c>
      <c r="U29" s="441">
        <v>29</v>
      </c>
    </row>
    <row r="30" spans="1:21" s="621" customFormat="1" ht="33" customHeight="1" x14ac:dyDescent="0.25">
      <c r="A30" s="620" t="s">
        <v>410</v>
      </c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>
        <f t="shared" si="0"/>
        <v>0</v>
      </c>
      <c r="U30" s="620">
        <v>30</v>
      </c>
    </row>
    <row r="31" spans="1:21" s="621" customFormat="1" ht="33" customHeight="1" x14ac:dyDescent="0.25">
      <c r="A31" s="620" t="s">
        <v>411</v>
      </c>
      <c r="B31" s="620"/>
      <c r="C31" s="620"/>
      <c r="D31" s="620"/>
      <c r="E31" s="620"/>
      <c r="F31" s="620"/>
      <c r="G31" s="620"/>
      <c r="H31" s="620"/>
      <c r="I31" s="620"/>
      <c r="J31" s="620"/>
      <c r="K31" s="620"/>
      <c r="L31" s="620"/>
      <c r="M31" s="620"/>
      <c r="N31" s="620"/>
      <c r="O31" s="620"/>
      <c r="P31" s="620"/>
      <c r="Q31" s="620"/>
      <c r="R31" s="620"/>
      <c r="S31" s="620"/>
      <c r="T31" s="620">
        <f t="shared" si="0"/>
        <v>0</v>
      </c>
      <c r="U31" s="620">
        <v>31</v>
      </c>
    </row>
    <row r="32" spans="1:21" s="621" customFormat="1" ht="33" customHeight="1" x14ac:dyDescent="0.25">
      <c r="A32" s="620" t="s">
        <v>412</v>
      </c>
      <c r="B32" s="620"/>
      <c r="C32" s="620"/>
      <c r="D32" s="620"/>
      <c r="E32" s="620"/>
      <c r="F32" s="620"/>
      <c r="G32" s="620"/>
      <c r="H32" s="620"/>
      <c r="I32" s="620"/>
      <c r="J32" s="620"/>
      <c r="K32" s="620"/>
      <c r="L32" s="620"/>
      <c r="M32" s="620"/>
      <c r="N32" s="620"/>
      <c r="O32" s="620"/>
      <c r="P32" s="620"/>
      <c r="Q32" s="620"/>
      <c r="R32" s="620"/>
      <c r="S32" s="620"/>
      <c r="T32" s="620">
        <f t="shared" si="0"/>
        <v>0</v>
      </c>
      <c r="U32" s="620">
        <v>32</v>
      </c>
    </row>
    <row r="33" spans="1:21" s="621" customFormat="1" ht="33" customHeight="1" x14ac:dyDescent="0.25">
      <c r="A33" s="620" t="s">
        <v>413</v>
      </c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0"/>
      <c r="P33" s="620"/>
      <c r="Q33" s="620"/>
      <c r="R33" s="620"/>
      <c r="S33" s="620"/>
      <c r="T33" s="620">
        <f t="shared" si="0"/>
        <v>0</v>
      </c>
      <c r="U33" s="620">
        <v>33</v>
      </c>
    </row>
    <row r="34" spans="1:21" ht="33" customHeight="1" x14ac:dyDescent="0.25">
      <c r="A34" s="441" t="s">
        <v>414</v>
      </c>
      <c r="B34" s="441"/>
      <c r="C34" s="441"/>
      <c r="D34" s="441"/>
      <c r="E34" s="441"/>
      <c r="F34" s="441"/>
      <c r="G34" s="441"/>
      <c r="H34" s="441"/>
      <c r="I34" s="441"/>
      <c r="J34" s="441"/>
      <c r="K34" s="441"/>
      <c r="L34" s="441"/>
      <c r="M34" s="441"/>
      <c r="N34" s="441"/>
      <c r="O34" s="441"/>
      <c r="P34" s="441"/>
      <c r="Q34" s="441"/>
      <c r="R34" s="441"/>
      <c r="S34" s="441"/>
      <c r="T34" s="442">
        <f t="shared" ref="T34:T56" si="1">SUM(C34:S34)</f>
        <v>0</v>
      </c>
      <c r="U34" s="441">
        <v>34</v>
      </c>
    </row>
    <row r="35" spans="1:21" ht="33" customHeight="1" x14ac:dyDescent="0.25">
      <c r="A35" s="441" t="s">
        <v>415</v>
      </c>
      <c r="B35" s="441"/>
      <c r="C35" s="441"/>
      <c r="D35" s="441"/>
      <c r="E35" s="441"/>
      <c r="F35" s="441"/>
      <c r="G35" s="441"/>
      <c r="H35" s="441"/>
      <c r="I35" s="441"/>
      <c r="J35" s="441"/>
      <c r="K35" s="441"/>
      <c r="L35" s="441"/>
      <c r="M35" s="441"/>
      <c r="N35" s="441"/>
      <c r="O35" s="441"/>
      <c r="P35" s="441"/>
      <c r="Q35" s="441"/>
      <c r="R35" s="441"/>
      <c r="S35" s="441"/>
      <c r="T35" s="442">
        <f t="shared" si="1"/>
        <v>0</v>
      </c>
      <c r="U35" s="441">
        <v>35</v>
      </c>
    </row>
    <row r="36" spans="1:21" ht="33" customHeight="1" x14ac:dyDescent="0.25">
      <c r="A36" s="441" t="s">
        <v>416</v>
      </c>
      <c r="B36" s="441"/>
      <c r="C36" s="441"/>
      <c r="D36" s="441"/>
      <c r="E36" s="441"/>
      <c r="F36" s="441"/>
      <c r="G36" s="441"/>
      <c r="H36" s="441"/>
      <c r="I36" s="441"/>
      <c r="J36" s="441"/>
      <c r="K36" s="441"/>
      <c r="L36" s="441"/>
      <c r="M36" s="441"/>
      <c r="N36" s="441"/>
      <c r="O36" s="441"/>
      <c r="P36" s="441"/>
      <c r="Q36" s="441"/>
      <c r="R36" s="441"/>
      <c r="S36" s="441"/>
      <c r="T36" s="442">
        <f t="shared" si="1"/>
        <v>0</v>
      </c>
      <c r="U36" s="441">
        <v>36</v>
      </c>
    </row>
    <row r="37" spans="1:21" ht="33" customHeight="1" x14ac:dyDescent="0.25">
      <c r="A37" s="441" t="s">
        <v>417</v>
      </c>
      <c r="B37" s="441"/>
      <c r="C37" s="441"/>
      <c r="D37" s="441"/>
      <c r="E37" s="441"/>
      <c r="F37" s="441"/>
      <c r="G37" s="441"/>
      <c r="H37" s="441"/>
      <c r="I37" s="441"/>
      <c r="J37" s="441"/>
      <c r="K37" s="441"/>
      <c r="L37" s="441"/>
      <c r="M37" s="441"/>
      <c r="N37" s="441"/>
      <c r="O37" s="441"/>
      <c r="P37" s="441"/>
      <c r="Q37" s="441"/>
      <c r="R37" s="441"/>
      <c r="S37" s="441"/>
      <c r="T37" s="442">
        <f t="shared" si="1"/>
        <v>0</v>
      </c>
      <c r="U37" s="441">
        <v>37</v>
      </c>
    </row>
    <row r="38" spans="1:21" ht="33" customHeight="1" x14ac:dyDescent="0.25">
      <c r="A38" s="441" t="s">
        <v>418</v>
      </c>
      <c r="B38" s="441"/>
      <c r="C38" s="441"/>
      <c r="D38" s="441"/>
      <c r="E38" s="441"/>
      <c r="F38" s="441"/>
      <c r="G38" s="441"/>
      <c r="H38" s="441"/>
      <c r="I38" s="441"/>
      <c r="J38" s="441"/>
      <c r="K38" s="441"/>
      <c r="L38" s="441"/>
      <c r="M38" s="441"/>
      <c r="N38" s="441"/>
      <c r="O38" s="441"/>
      <c r="P38" s="441"/>
      <c r="Q38" s="441"/>
      <c r="R38" s="441"/>
      <c r="S38" s="441"/>
      <c r="T38" s="442">
        <f t="shared" si="1"/>
        <v>0</v>
      </c>
      <c r="U38" s="441">
        <v>38</v>
      </c>
    </row>
    <row r="39" spans="1:21" ht="33" customHeight="1" x14ac:dyDescent="0.25">
      <c r="A39" s="441" t="s">
        <v>419</v>
      </c>
      <c r="B39" s="441"/>
      <c r="C39" s="441"/>
      <c r="D39" s="441"/>
      <c r="E39" s="441"/>
      <c r="F39" s="441"/>
      <c r="G39" s="441"/>
      <c r="H39" s="441"/>
      <c r="I39" s="441"/>
      <c r="J39" s="441"/>
      <c r="K39" s="441"/>
      <c r="L39" s="441"/>
      <c r="M39" s="441"/>
      <c r="N39" s="441"/>
      <c r="O39" s="441"/>
      <c r="P39" s="441"/>
      <c r="Q39" s="441"/>
      <c r="R39" s="441"/>
      <c r="S39" s="441"/>
      <c r="T39" s="442">
        <f t="shared" si="1"/>
        <v>0</v>
      </c>
      <c r="U39" s="441">
        <v>39</v>
      </c>
    </row>
    <row r="40" spans="1:21" ht="33" customHeight="1" x14ac:dyDescent="0.25">
      <c r="A40" s="441" t="s">
        <v>420</v>
      </c>
      <c r="B40" s="441"/>
      <c r="C40" s="441"/>
      <c r="D40" s="441"/>
      <c r="E40" s="441"/>
      <c r="F40" s="441"/>
      <c r="G40" s="441"/>
      <c r="H40" s="441"/>
      <c r="I40" s="441"/>
      <c r="J40" s="441"/>
      <c r="K40" s="441"/>
      <c r="L40" s="441"/>
      <c r="M40" s="441"/>
      <c r="N40" s="441"/>
      <c r="O40" s="441"/>
      <c r="P40" s="441"/>
      <c r="Q40" s="441"/>
      <c r="R40" s="441"/>
      <c r="S40" s="441"/>
      <c r="T40" s="442">
        <f t="shared" si="1"/>
        <v>0</v>
      </c>
      <c r="U40" s="441">
        <v>40</v>
      </c>
    </row>
    <row r="41" spans="1:21" ht="33" customHeight="1" x14ac:dyDescent="0.25">
      <c r="A41" s="441" t="s">
        <v>421</v>
      </c>
      <c r="B41" s="441"/>
      <c r="C41" s="441"/>
      <c r="D41" s="441"/>
      <c r="E41" s="441"/>
      <c r="F41" s="441"/>
      <c r="G41" s="441"/>
      <c r="H41" s="441"/>
      <c r="I41" s="441"/>
      <c r="J41" s="441"/>
      <c r="K41" s="441"/>
      <c r="L41" s="441"/>
      <c r="M41" s="441"/>
      <c r="N41" s="441"/>
      <c r="O41" s="441"/>
      <c r="P41" s="441"/>
      <c r="Q41" s="441"/>
      <c r="R41" s="441"/>
      <c r="S41" s="441"/>
      <c r="T41" s="442">
        <f t="shared" si="1"/>
        <v>0</v>
      </c>
      <c r="U41" s="441">
        <v>41</v>
      </c>
    </row>
    <row r="42" spans="1:21" ht="33" customHeight="1" x14ac:dyDescent="0.25">
      <c r="A42" s="441" t="s">
        <v>422</v>
      </c>
      <c r="B42" s="441"/>
      <c r="C42" s="441"/>
      <c r="D42" s="441"/>
      <c r="E42" s="441"/>
      <c r="F42" s="441"/>
      <c r="G42" s="441"/>
      <c r="H42" s="441"/>
      <c r="I42" s="441"/>
      <c r="J42" s="441"/>
      <c r="K42" s="441"/>
      <c r="L42" s="441"/>
      <c r="M42" s="441"/>
      <c r="N42" s="441"/>
      <c r="O42" s="441"/>
      <c r="P42" s="441"/>
      <c r="Q42" s="441"/>
      <c r="R42" s="441"/>
      <c r="S42" s="441"/>
      <c r="T42" s="442">
        <f t="shared" si="1"/>
        <v>0</v>
      </c>
      <c r="U42" s="441">
        <v>42</v>
      </c>
    </row>
    <row r="43" spans="1:21" ht="33" customHeight="1" x14ac:dyDescent="0.25">
      <c r="A43" s="441" t="s">
        <v>423</v>
      </c>
      <c r="B43" s="441"/>
      <c r="C43" s="441"/>
      <c r="D43" s="441"/>
      <c r="E43" s="441"/>
      <c r="F43" s="441"/>
      <c r="G43" s="441"/>
      <c r="H43" s="441"/>
      <c r="I43" s="441"/>
      <c r="J43" s="441"/>
      <c r="K43" s="441"/>
      <c r="L43" s="441"/>
      <c r="M43" s="441"/>
      <c r="N43" s="441"/>
      <c r="O43" s="441"/>
      <c r="P43" s="441"/>
      <c r="Q43" s="441"/>
      <c r="R43" s="441"/>
      <c r="S43" s="441"/>
      <c r="T43" s="442">
        <f t="shared" si="1"/>
        <v>0</v>
      </c>
      <c r="U43" s="441">
        <v>43</v>
      </c>
    </row>
    <row r="44" spans="1:21" ht="33" customHeight="1" x14ac:dyDescent="0.25">
      <c r="A44" s="441" t="s">
        <v>424</v>
      </c>
      <c r="B44" s="441"/>
      <c r="C44" s="441"/>
      <c r="D44" s="441"/>
      <c r="E44" s="441"/>
      <c r="F44" s="441"/>
      <c r="G44" s="441"/>
      <c r="H44" s="441"/>
      <c r="I44" s="441"/>
      <c r="J44" s="441"/>
      <c r="K44" s="441"/>
      <c r="L44" s="441"/>
      <c r="M44" s="441"/>
      <c r="N44" s="441"/>
      <c r="O44" s="441"/>
      <c r="P44" s="441"/>
      <c r="Q44" s="441"/>
      <c r="R44" s="441"/>
      <c r="S44" s="441"/>
      <c r="T44" s="442">
        <f t="shared" si="1"/>
        <v>0</v>
      </c>
      <c r="U44" s="441">
        <v>44</v>
      </c>
    </row>
    <row r="45" spans="1:21" ht="33" customHeight="1" x14ac:dyDescent="0.25">
      <c r="A45" s="441" t="s">
        <v>425</v>
      </c>
      <c r="B45" s="441"/>
      <c r="C45" s="441"/>
      <c r="D45" s="441"/>
      <c r="E45" s="441"/>
      <c r="F45" s="441"/>
      <c r="G45" s="441"/>
      <c r="H45" s="441"/>
      <c r="I45" s="441"/>
      <c r="J45" s="441"/>
      <c r="K45" s="441"/>
      <c r="L45" s="441"/>
      <c r="M45" s="441"/>
      <c r="N45" s="441"/>
      <c r="O45" s="441"/>
      <c r="P45" s="441"/>
      <c r="Q45" s="441"/>
      <c r="R45" s="441"/>
      <c r="S45" s="441"/>
      <c r="T45" s="442">
        <f t="shared" si="1"/>
        <v>0</v>
      </c>
      <c r="U45" s="441">
        <v>45</v>
      </c>
    </row>
    <row r="46" spans="1:21" ht="33" customHeight="1" x14ac:dyDescent="0.25">
      <c r="A46" s="441" t="s">
        <v>426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2">
        <f t="shared" si="1"/>
        <v>0</v>
      </c>
      <c r="U46" s="441">
        <v>46</v>
      </c>
    </row>
    <row r="47" spans="1:21" ht="33" customHeight="1" x14ac:dyDescent="0.25">
      <c r="A47" s="441" t="s">
        <v>427</v>
      </c>
      <c r="B47" s="441"/>
      <c r="C47" s="441"/>
      <c r="D47" s="441"/>
      <c r="E47" s="441"/>
      <c r="F47" s="441"/>
      <c r="G47" s="441"/>
      <c r="H47" s="441"/>
      <c r="I47" s="441"/>
      <c r="J47" s="441"/>
      <c r="K47" s="441"/>
      <c r="L47" s="441"/>
      <c r="M47" s="441"/>
      <c r="N47" s="441"/>
      <c r="O47" s="441"/>
      <c r="P47" s="441"/>
      <c r="Q47" s="441"/>
      <c r="R47" s="441"/>
      <c r="S47" s="441"/>
      <c r="T47" s="442">
        <f t="shared" si="1"/>
        <v>0</v>
      </c>
      <c r="U47" s="441">
        <v>47</v>
      </c>
    </row>
    <row r="48" spans="1:21" ht="33" customHeight="1" x14ac:dyDescent="0.25">
      <c r="A48" s="441" t="s">
        <v>428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2">
        <f t="shared" si="1"/>
        <v>0</v>
      </c>
      <c r="U48" s="441">
        <v>48</v>
      </c>
    </row>
    <row r="49" spans="1:21" ht="33" customHeight="1" x14ac:dyDescent="0.25">
      <c r="A49" s="441" t="s">
        <v>429</v>
      </c>
      <c r="B49" s="441"/>
      <c r="C49" s="441"/>
      <c r="D49" s="441"/>
      <c r="E49" s="441"/>
      <c r="F49" s="441"/>
      <c r="G49" s="441"/>
      <c r="H49" s="441"/>
      <c r="I49" s="441"/>
      <c r="J49" s="441"/>
      <c r="K49" s="441"/>
      <c r="L49" s="441"/>
      <c r="M49" s="441"/>
      <c r="N49" s="441"/>
      <c r="O49" s="441"/>
      <c r="P49" s="441"/>
      <c r="Q49" s="441"/>
      <c r="R49" s="441"/>
      <c r="S49" s="441"/>
      <c r="T49" s="442">
        <f t="shared" si="1"/>
        <v>0</v>
      </c>
      <c r="U49" s="441">
        <v>49</v>
      </c>
    </row>
    <row r="50" spans="1:21" ht="33" customHeight="1" x14ac:dyDescent="0.25">
      <c r="A50" s="441" t="s">
        <v>430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2">
        <f t="shared" si="1"/>
        <v>0</v>
      </c>
      <c r="U50" s="441">
        <v>50</v>
      </c>
    </row>
    <row r="51" spans="1:21" ht="33" customHeight="1" x14ac:dyDescent="0.25">
      <c r="A51" s="441" t="s">
        <v>431</v>
      </c>
      <c r="B51" s="441"/>
      <c r="C51" s="441"/>
      <c r="D51" s="441"/>
      <c r="E51" s="441"/>
      <c r="F51" s="441"/>
      <c r="G51" s="441"/>
      <c r="H51" s="441"/>
      <c r="I51" s="441"/>
      <c r="J51" s="441"/>
      <c r="K51" s="441"/>
      <c r="L51" s="441"/>
      <c r="M51" s="441"/>
      <c r="N51" s="441"/>
      <c r="O51" s="441"/>
      <c r="P51" s="441"/>
      <c r="Q51" s="441"/>
      <c r="R51" s="441"/>
      <c r="S51" s="441"/>
      <c r="T51" s="442">
        <f t="shared" si="1"/>
        <v>0</v>
      </c>
      <c r="U51" s="441">
        <v>51</v>
      </c>
    </row>
    <row r="52" spans="1:21" ht="33" customHeight="1" x14ac:dyDescent="0.25">
      <c r="A52" s="441" t="s">
        <v>432</v>
      </c>
      <c r="B52" s="441"/>
      <c r="C52" s="441"/>
      <c r="D52" s="441"/>
      <c r="E52" s="441"/>
      <c r="F52" s="441"/>
      <c r="G52" s="441"/>
      <c r="H52" s="441"/>
      <c r="I52" s="441"/>
      <c r="J52" s="441"/>
      <c r="K52" s="441"/>
      <c r="L52" s="441"/>
      <c r="M52" s="441"/>
      <c r="N52" s="441"/>
      <c r="O52" s="441"/>
      <c r="P52" s="441"/>
      <c r="Q52" s="441"/>
      <c r="R52" s="441"/>
      <c r="S52" s="441"/>
      <c r="T52" s="442">
        <f t="shared" si="1"/>
        <v>0</v>
      </c>
      <c r="U52" s="441">
        <v>52</v>
      </c>
    </row>
    <row r="53" spans="1:21" ht="33" customHeight="1" x14ac:dyDescent="0.25">
      <c r="A53" s="441" t="s">
        <v>433</v>
      </c>
      <c r="B53" s="441"/>
      <c r="C53" s="441"/>
      <c r="D53" s="441"/>
      <c r="E53" s="441"/>
      <c r="F53" s="441"/>
      <c r="G53" s="441"/>
      <c r="H53" s="441"/>
      <c r="I53" s="441"/>
      <c r="J53" s="441"/>
      <c r="K53" s="441"/>
      <c r="L53" s="441"/>
      <c r="M53" s="441"/>
      <c r="N53" s="441"/>
      <c r="O53" s="441"/>
      <c r="P53" s="441"/>
      <c r="Q53" s="441"/>
      <c r="R53" s="441"/>
      <c r="S53" s="441"/>
      <c r="T53" s="442">
        <f t="shared" si="1"/>
        <v>0</v>
      </c>
      <c r="U53" s="441">
        <v>53</v>
      </c>
    </row>
    <row r="54" spans="1:21" ht="33" customHeight="1" x14ac:dyDescent="0.25">
      <c r="A54" s="441" t="s">
        <v>434</v>
      </c>
      <c r="B54" s="441"/>
      <c r="C54" s="441"/>
      <c r="D54" s="441"/>
      <c r="E54" s="441"/>
      <c r="F54" s="441"/>
      <c r="G54" s="441"/>
      <c r="H54" s="441"/>
      <c r="I54" s="441"/>
      <c r="J54" s="441"/>
      <c r="K54" s="441"/>
      <c r="L54" s="441"/>
      <c r="M54" s="441"/>
      <c r="N54" s="441"/>
      <c r="O54" s="441"/>
      <c r="P54" s="441"/>
      <c r="Q54" s="441"/>
      <c r="R54" s="441"/>
      <c r="S54" s="441"/>
      <c r="T54" s="442">
        <f t="shared" si="1"/>
        <v>0</v>
      </c>
      <c r="U54" s="441">
        <v>54</v>
      </c>
    </row>
    <row r="55" spans="1:21" ht="33" customHeight="1" x14ac:dyDescent="0.25">
      <c r="A55" s="441" t="s">
        <v>435</v>
      </c>
      <c r="B55" s="441"/>
      <c r="C55" s="441"/>
      <c r="D55" s="441"/>
      <c r="E55" s="441"/>
      <c r="F55" s="441"/>
      <c r="G55" s="441"/>
      <c r="H55" s="441"/>
      <c r="I55" s="441"/>
      <c r="J55" s="441"/>
      <c r="K55" s="441"/>
      <c r="L55" s="441"/>
      <c r="M55" s="441"/>
      <c r="N55" s="441"/>
      <c r="O55" s="441"/>
      <c r="P55" s="441"/>
      <c r="Q55" s="441"/>
      <c r="R55" s="441"/>
      <c r="S55" s="441"/>
      <c r="T55" s="442">
        <f t="shared" si="1"/>
        <v>0</v>
      </c>
      <c r="U55" s="441">
        <v>55</v>
      </c>
    </row>
    <row r="56" spans="1:21" ht="33" customHeight="1" x14ac:dyDescent="0.25">
      <c r="A56" s="441" t="s">
        <v>436</v>
      </c>
      <c r="B56" s="441"/>
      <c r="C56" s="441"/>
      <c r="D56" s="441"/>
      <c r="E56" s="441"/>
      <c r="F56" s="441"/>
      <c r="G56" s="441"/>
      <c r="H56" s="441"/>
      <c r="I56" s="441"/>
      <c r="J56" s="441"/>
      <c r="K56" s="441"/>
      <c r="L56" s="441"/>
      <c r="M56" s="441"/>
      <c r="N56" s="441"/>
      <c r="O56" s="441"/>
      <c r="P56" s="441"/>
      <c r="Q56" s="441"/>
      <c r="R56" s="441"/>
      <c r="S56" s="441"/>
      <c r="T56" s="442">
        <f t="shared" si="1"/>
        <v>0</v>
      </c>
      <c r="U56" s="441">
        <v>56</v>
      </c>
    </row>
    <row r="57" spans="1:21" ht="26.25" customHeight="1" x14ac:dyDescent="0.25">
      <c r="A57" s="441" t="s">
        <v>11</v>
      </c>
      <c r="B57" s="441"/>
      <c r="C57" s="441">
        <f t="shared" ref="C57:T57" si="2">SUM(C2:C56)</f>
        <v>0</v>
      </c>
      <c r="D57" s="441">
        <f t="shared" si="2"/>
        <v>0</v>
      </c>
      <c r="E57" s="441">
        <f t="shared" si="2"/>
        <v>0</v>
      </c>
      <c r="F57" s="441">
        <f t="shared" si="2"/>
        <v>0</v>
      </c>
      <c r="G57" s="441">
        <f t="shared" si="2"/>
        <v>0</v>
      </c>
      <c r="H57" s="441">
        <f t="shared" si="2"/>
        <v>0</v>
      </c>
      <c r="I57" s="441">
        <f t="shared" si="2"/>
        <v>0</v>
      </c>
      <c r="J57" s="441">
        <f t="shared" si="2"/>
        <v>0</v>
      </c>
      <c r="K57" s="441">
        <f t="shared" si="2"/>
        <v>0</v>
      </c>
      <c r="L57" s="441">
        <f t="shared" si="2"/>
        <v>0</v>
      </c>
      <c r="M57" s="441">
        <f t="shared" si="2"/>
        <v>0</v>
      </c>
      <c r="N57" s="441">
        <f t="shared" si="2"/>
        <v>0</v>
      </c>
      <c r="O57" s="441">
        <f t="shared" si="2"/>
        <v>0</v>
      </c>
      <c r="P57" s="441">
        <f t="shared" si="2"/>
        <v>0</v>
      </c>
      <c r="Q57" s="441">
        <f t="shared" si="2"/>
        <v>0</v>
      </c>
      <c r="R57" s="441">
        <f t="shared" si="2"/>
        <v>0</v>
      </c>
      <c r="S57" s="441">
        <f t="shared" si="2"/>
        <v>0</v>
      </c>
      <c r="T57" s="441">
        <f t="shared" si="2"/>
        <v>0</v>
      </c>
      <c r="U57" s="441"/>
    </row>
  </sheetData>
  <pageMargins left="0.7" right="0.7" top="0.75" bottom="0.75" header="0.3" footer="0.3"/>
  <pageSetup paperSize="9" scale="25" fitToHeight="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32"/>
  <sheetViews>
    <sheetView view="pageBreakPreview" topLeftCell="A28" zoomScale="40" zoomScaleNormal="85" zoomScaleSheetLayoutView="40" workbookViewId="0">
      <selection activeCell="V53" sqref="V53"/>
    </sheetView>
  </sheetViews>
  <sheetFormatPr defaultColWidth="9.140625" defaultRowHeight="15" x14ac:dyDescent="0.25"/>
  <cols>
    <col min="1" max="1" width="65.42578125" style="451" customWidth="1"/>
    <col min="2" max="2" width="22.85546875" style="451" customWidth="1"/>
    <col min="3" max="3" width="23.5703125" style="451" customWidth="1"/>
    <col min="4" max="10" width="22.85546875" style="451" customWidth="1"/>
    <col min="11" max="11" width="25.7109375" style="451" customWidth="1"/>
    <col min="12" max="12" width="29.85546875" style="451" customWidth="1"/>
    <col min="13" max="13" width="27.5703125" style="451" customWidth="1"/>
    <col min="14" max="18" width="22.85546875" style="451" customWidth="1"/>
    <col min="19" max="19" width="25.7109375" style="451" customWidth="1"/>
    <col min="20" max="21" width="22.85546875" style="451" customWidth="1"/>
    <col min="22" max="158" width="9.140625" style="451" customWidth="1"/>
  </cols>
  <sheetData>
    <row r="1" spans="1:21" s="435" customFormat="1" ht="113.25" customHeight="1" x14ac:dyDescent="0.25">
      <c r="A1" s="439" t="s">
        <v>363</v>
      </c>
      <c r="B1" s="439" t="s">
        <v>364</v>
      </c>
      <c r="C1" s="439" t="s">
        <v>365</v>
      </c>
      <c r="D1" s="439" t="s">
        <v>366</v>
      </c>
      <c r="E1" s="439" t="s">
        <v>367</v>
      </c>
      <c r="F1" s="439" t="s">
        <v>368</v>
      </c>
      <c r="G1" s="439" t="s">
        <v>369</v>
      </c>
      <c r="H1" s="439" t="s">
        <v>370</v>
      </c>
      <c r="I1" s="439" t="s">
        <v>371</v>
      </c>
      <c r="J1" s="439" t="s">
        <v>372</v>
      </c>
      <c r="K1" s="439" t="s">
        <v>373</v>
      </c>
      <c r="L1" s="439" t="s">
        <v>374</v>
      </c>
      <c r="M1" s="439" t="s">
        <v>375</v>
      </c>
      <c r="N1" s="439" t="s">
        <v>376</v>
      </c>
      <c r="O1" s="439" t="s">
        <v>377</v>
      </c>
      <c r="P1" s="439" t="s">
        <v>378</v>
      </c>
      <c r="Q1" s="439" t="s">
        <v>379</v>
      </c>
      <c r="R1" s="439" t="s">
        <v>380</v>
      </c>
      <c r="S1" s="439" t="s">
        <v>117</v>
      </c>
      <c r="T1" s="439" t="s">
        <v>11</v>
      </c>
      <c r="U1" s="439" t="s">
        <v>381</v>
      </c>
    </row>
    <row r="2" spans="1:21" ht="53.25" customHeight="1" x14ac:dyDescent="0.25">
      <c r="A2" s="443" t="s">
        <v>437</v>
      </c>
      <c r="B2" s="443" t="s">
        <v>438</v>
      </c>
      <c r="C2" s="444">
        <v>0</v>
      </c>
      <c r="D2" s="444">
        <v>0</v>
      </c>
      <c r="E2" s="444">
        <v>1</v>
      </c>
      <c r="F2" s="444">
        <v>0</v>
      </c>
      <c r="G2" s="444">
        <v>0</v>
      </c>
      <c r="H2" s="444">
        <v>0</v>
      </c>
      <c r="I2" s="444">
        <v>11.095000000000001</v>
      </c>
      <c r="J2" s="444">
        <v>0</v>
      </c>
      <c r="K2" s="444">
        <v>0</v>
      </c>
      <c r="L2" s="444">
        <v>0</v>
      </c>
      <c r="M2" s="444">
        <v>0.315</v>
      </c>
      <c r="N2" s="444">
        <v>0</v>
      </c>
      <c r="O2" s="443">
        <v>0</v>
      </c>
      <c r="P2" s="443">
        <v>0</v>
      </c>
      <c r="Q2" s="443">
        <v>0</v>
      </c>
      <c r="R2" s="443">
        <v>0</v>
      </c>
      <c r="S2" s="443">
        <v>0</v>
      </c>
      <c r="T2" s="443"/>
      <c r="U2" s="443">
        <v>2</v>
      </c>
    </row>
    <row r="3" spans="1:21" ht="53.25" customHeight="1" x14ac:dyDescent="0.25">
      <c r="A3" s="443" t="s">
        <v>439</v>
      </c>
      <c r="B3" s="443" t="s">
        <v>440</v>
      </c>
      <c r="C3" s="444">
        <v>15</v>
      </c>
      <c r="D3" s="444">
        <v>0</v>
      </c>
      <c r="E3" s="444">
        <v>6</v>
      </c>
      <c r="F3" s="444">
        <v>3</v>
      </c>
      <c r="G3" s="444">
        <v>2</v>
      </c>
      <c r="H3" s="444">
        <v>0</v>
      </c>
      <c r="I3" s="444">
        <v>20</v>
      </c>
      <c r="J3" s="444">
        <v>0</v>
      </c>
      <c r="K3" s="444">
        <v>0</v>
      </c>
      <c r="L3" s="444">
        <v>0</v>
      </c>
      <c r="M3" s="444">
        <v>29.417999999999999</v>
      </c>
      <c r="N3" s="444">
        <v>0</v>
      </c>
      <c r="O3" s="443">
        <v>0</v>
      </c>
      <c r="P3" s="443">
        <v>0</v>
      </c>
      <c r="Q3" s="443">
        <v>0</v>
      </c>
      <c r="R3" s="443">
        <v>0</v>
      </c>
      <c r="S3" s="443">
        <v>0</v>
      </c>
      <c r="T3" s="443"/>
      <c r="U3" s="443">
        <v>3</v>
      </c>
    </row>
    <row r="4" spans="1:21" ht="53.25" customHeight="1" x14ac:dyDescent="0.25">
      <c r="A4" s="443" t="s">
        <v>441</v>
      </c>
      <c r="B4" s="443" t="s">
        <v>442</v>
      </c>
      <c r="C4" s="444">
        <v>7</v>
      </c>
      <c r="D4" s="444">
        <v>0</v>
      </c>
      <c r="E4" s="444">
        <v>0</v>
      </c>
      <c r="F4" s="444">
        <v>0</v>
      </c>
      <c r="G4" s="444">
        <v>4</v>
      </c>
      <c r="H4" s="444">
        <v>0</v>
      </c>
      <c r="I4" s="444">
        <v>25.7</v>
      </c>
      <c r="J4" s="444">
        <v>0</v>
      </c>
      <c r="K4" s="444">
        <v>0</v>
      </c>
      <c r="L4" s="444">
        <v>0</v>
      </c>
      <c r="M4" s="444">
        <v>0.8</v>
      </c>
      <c r="N4" s="444">
        <v>0</v>
      </c>
      <c r="O4" s="443">
        <v>0</v>
      </c>
      <c r="P4" s="443">
        <v>0</v>
      </c>
      <c r="Q4" s="443">
        <v>0</v>
      </c>
      <c r="R4" s="443">
        <v>0</v>
      </c>
      <c r="S4" s="443">
        <v>0</v>
      </c>
      <c r="T4" s="443"/>
      <c r="U4" s="443">
        <v>4</v>
      </c>
    </row>
    <row r="5" spans="1:21" ht="53.25" customHeight="1" x14ac:dyDescent="0.25">
      <c r="A5" s="443" t="s">
        <v>443</v>
      </c>
      <c r="B5" s="443" t="s">
        <v>444</v>
      </c>
      <c r="C5" s="444">
        <v>14</v>
      </c>
      <c r="D5" s="444">
        <v>0</v>
      </c>
      <c r="E5" s="444">
        <v>4</v>
      </c>
      <c r="F5" s="444">
        <v>2</v>
      </c>
      <c r="G5" s="444">
        <v>2</v>
      </c>
      <c r="H5" s="444">
        <v>0</v>
      </c>
      <c r="I5" s="444">
        <v>10.757</v>
      </c>
      <c r="J5" s="444">
        <v>0</v>
      </c>
      <c r="K5" s="444">
        <v>0</v>
      </c>
      <c r="L5" s="444">
        <v>0</v>
      </c>
      <c r="M5" s="444">
        <v>23.29</v>
      </c>
      <c r="N5" s="444">
        <v>0</v>
      </c>
      <c r="O5" s="443">
        <v>0</v>
      </c>
      <c r="P5" s="443">
        <v>0</v>
      </c>
      <c r="Q5" s="443">
        <v>0</v>
      </c>
      <c r="R5" s="443">
        <v>0</v>
      </c>
      <c r="S5" s="443">
        <v>0</v>
      </c>
      <c r="T5" s="443"/>
      <c r="U5" s="443">
        <v>5</v>
      </c>
    </row>
    <row r="6" spans="1:21" ht="53.25" customHeight="1" x14ac:dyDescent="0.25">
      <c r="A6" s="443" t="s">
        <v>445</v>
      </c>
      <c r="B6" s="443" t="s">
        <v>446</v>
      </c>
      <c r="C6" s="444">
        <v>25</v>
      </c>
      <c r="D6" s="444">
        <v>0</v>
      </c>
      <c r="E6" s="444">
        <v>6</v>
      </c>
      <c r="F6" s="444">
        <v>5</v>
      </c>
      <c r="G6" s="444">
        <v>3</v>
      </c>
      <c r="H6" s="444">
        <v>0</v>
      </c>
      <c r="I6" s="444">
        <v>48.968000000000004</v>
      </c>
      <c r="J6" s="444">
        <v>0</v>
      </c>
      <c r="K6" s="444">
        <v>0</v>
      </c>
      <c r="L6" s="444">
        <v>0</v>
      </c>
      <c r="M6" s="444">
        <v>70.39500000000001</v>
      </c>
      <c r="N6" s="444">
        <v>0</v>
      </c>
      <c r="O6" s="443">
        <v>0</v>
      </c>
      <c r="P6" s="443">
        <v>20</v>
      </c>
      <c r="Q6" s="443">
        <v>0</v>
      </c>
      <c r="R6" s="443">
        <v>0</v>
      </c>
      <c r="S6" s="443">
        <v>0</v>
      </c>
      <c r="T6" s="443"/>
      <c r="U6" s="443">
        <v>6</v>
      </c>
    </row>
    <row r="7" spans="1:21" ht="53.25" customHeight="1" x14ac:dyDescent="0.25">
      <c r="A7" s="443" t="s">
        <v>447</v>
      </c>
      <c r="B7" s="443" t="s">
        <v>448</v>
      </c>
      <c r="C7" s="444">
        <v>6</v>
      </c>
      <c r="D7" s="444">
        <v>0</v>
      </c>
      <c r="E7" s="444">
        <v>2</v>
      </c>
      <c r="F7" s="444">
        <v>3</v>
      </c>
      <c r="G7" s="444">
        <v>1</v>
      </c>
      <c r="H7" s="444">
        <v>0</v>
      </c>
      <c r="I7" s="444">
        <v>9.92</v>
      </c>
      <c r="J7" s="444">
        <v>0</v>
      </c>
      <c r="K7" s="444">
        <v>0</v>
      </c>
      <c r="L7" s="444">
        <v>0</v>
      </c>
      <c r="M7" s="444">
        <v>21</v>
      </c>
      <c r="N7" s="444">
        <v>5</v>
      </c>
      <c r="O7" s="443">
        <v>0</v>
      </c>
      <c r="P7" s="443">
        <v>0</v>
      </c>
      <c r="Q7" s="443">
        <v>0</v>
      </c>
      <c r="R7" s="443">
        <v>0</v>
      </c>
      <c r="S7" s="443">
        <v>0</v>
      </c>
      <c r="T7" s="443"/>
      <c r="U7" s="443">
        <v>7</v>
      </c>
    </row>
    <row r="8" spans="1:21" ht="53.25" customHeight="1" x14ac:dyDescent="0.25">
      <c r="A8" s="443" t="s">
        <v>449</v>
      </c>
      <c r="B8" s="443" t="s">
        <v>450</v>
      </c>
      <c r="C8" s="444">
        <v>4</v>
      </c>
      <c r="D8" s="444">
        <v>0</v>
      </c>
      <c r="E8" s="444">
        <v>2</v>
      </c>
      <c r="F8" s="444">
        <v>1</v>
      </c>
      <c r="G8" s="444">
        <v>0</v>
      </c>
      <c r="H8" s="444">
        <v>0</v>
      </c>
      <c r="I8" s="444">
        <v>1.925</v>
      </c>
      <c r="J8" s="444">
        <v>0</v>
      </c>
      <c r="K8" s="444">
        <v>0</v>
      </c>
      <c r="L8" s="444">
        <v>0</v>
      </c>
      <c r="M8" s="444">
        <v>4.51</v>
      </c>
      <c r="N8" s="444">
        <v>0</v>
      </c>
      <c r="O8" s="443">
        <v>0</v>
      </c>
      <c r="P8" s="443">
        <v>0</v>
      </c>
      <c r="Q8" s="443">
        <v>0</v>
      </c>
      <c r="R8" s="443">
        <v>0</v>
      </c>
      <c r="S8" s="443">
        <v>0</v>
      </c>
      <c r="T8" s="443"/>
      <c r="U8" s="443">
        <v>8</v>
      </c>
    </row>
    <row r="9" spans="1:21" ht="53.25" customHeight="1" x14ac:dyDescent="0.25">
      <c r="A9" s="443" t="s">
        <v>451</v>
      </c>
      <c r="B9" s="443" t="s">
        <v>452</v>
      </c>
      <c r="C9" s="444">
        <v>15</v>
      </c>
      <c r="D9" s="444">
        <v>0</v>
      </c>
      <c r="E9" s="444">
        <v>1</v>
      </c>
      <c r="F9" s="444">
        <v>1</v>
      </c>
      <c r="G9" s="444">
        <v>3</v>
      </c>
      <c r="H9" s="444">
        <v>0</v>
      </c>
      <c r="I9" s="444">
        <v>11</v>
      </c>
      <c r="J9" s="444">
        <v>0</v>
      </c>
      <c r="K9" s="444">
        <v>0</v>
      </c>
      <c r="L9" s="444">
        <v>0</v>
      </c>
      <c r="M9" s="444">
        <v>22.047999999999998</v>
      </c>
      <c r="N9" s="444">
        <v>0</v>
      </c>
      <c r="O9" s="443">
        <v>0</v>
      </c>
      <c r="P9" s="443">
        <v>0</v>
      </c>
      <c r="Q9" s="443">
        <v>0</v>
      </c>
      <c r="R9" s="443">
        <v>0</v>
      </c>
      <c r="S9" s="443">
        <v>0</v>
      </c>
      <c r="T9" s="443"/>
      <c r="U9" s="443">
        <v>9</v>
      </c>
    </row>
    <row r="10" spans="1:21" ht="53.25" customHeight="1" x14ac:dyDescent="0.25">
      <c r="A10" s="443" t="s">
        <v>453</v>
      </c>
      <c r="B10" s="443" t="s">
        <v>454</v>
      </c>
      <c r="C10" s="444">
        <v>0</v>
      </c>
      <c r="D10" s="444">
        <v>0</v>
      </c>
      <c r="E10" s="444">
        <v>2</v>
      </c>
      <c r="F10" s="444">
        <v>4</v>
      </c>
      <c r="G10" s="444">
        <v>2</v>
      </c>
      <c r="H10" s="444">
        <v>0</v>
      </c>
      <c r="I10" s="444">
        <v>22.7</v>
      </c>
      <c r="J10" s="444">
        <v>0</v>
      </c>
      <c r="K10" s="444">
        <v>0</v>
      </c>
      <c r="L10" s="444">
        <v>0</v>
      </c>
      <c r="M10" s="444">
        <v>0.54</v>
      </c>
      <c r="N10" s="444">
        <v>0</v>
      </c>
      <c r="O10" s="443">
        <v>0</v>
      </c>
      <c r="P10" s="443">
        <v>0</v>
      </c>
      <c r="Q10" s="443">
        <v>0</v>
      </c>
      <c r="R10" s="443">
        <v>0</v>
      </c>
      <c r="S10" s="443">
        <v>0</v>
      </c>
      <c r="T10" s="443"/>
      <c r="U10" s="443">
        <v>10</v>
      </c>
    </row>
    <row r="11" spans="1:21" ht="53.25" customHeight="1" x14ac:dyDescent="0.25">
      <c r="A11" s="443" t="s">
        <v>455</v>
      </c>
      <c r="B11" s="443" t="s">
        <v>456</v>
      </c>
      <c r="C11" s="444">
        <v>15</v>
      </c>
      <c r="D11" s="444">
        <v>0</v>
      </c>
      <c r="E11" s="444">
        <v>6</v>
      </c>
      <c r="F11" s="444">
        <v>9</v>
      </c>
      <c r="G11" s="444">
        <v>5</v>
      </c>
      <c r="H11" s="444">
        <v>0</v>
      </c>
      <c r="I11" s="444">
        <v>30.058</v>
      </c>
      <c r="J11" s="444">
        <v>0</v>
      </c>
      <c r="K11" s="444">
        <v>0</v>
      </c>
      <c r="L11" s="444">
        <v>0</v>
      </c>
      <c r="M11" s="444">
        <v>23.815000000000001</v>
      </c>
      <c r="N11" s="444">
        <v>1</v>
      </c>
      <c r="O11" s="443">
        <v>0</v>
      </c>
      <c r="P11" s="443">
        <v>0</v>
      </c>
      <c r="Q11" s="443">
        <v>0</v>
      </c>
      <c r="R11" s="443">
        <v>0</v>
      </c>
      <c r="S11" s="443">
        <v>0</v>
      </c>
      <c r="T11" s="443"/>
      <c r="U11" s="443">
        <v>11</v>
      </c>
    </row>
    <row r="12" spans="1:21" ht="53.25" customHeight="1" x14ac:dyDescent="0.25">
      <c r="A12" s="443" t="s">
        <v>457</v>
      </c>
      <c r="B12" s="443" t="s">
        <v>458</v>
      </c>
      <c r="C12" s="444">
        <v>2</v>
      </c>
      <c r="D12" s="444">
        <v>0</v>
      </c>
      <c r="E12" s="444">
        <v>3</v>
      </c>
      <c r="F12" s="444">
        <v>2</v>
      </c>
      <c r="G12" s="444">
        <v>0</v>
      </c>
      <c r="H12" s="444">
        <v>0</v>
      </c>
      <c r="I12" s="444">
        <v>11.97</v>
      </c>
      <c r="J12" s="444">
        <v>0</v>
      </c>
      <c r="K12" s="444">
        <v>0</v>
      </c>
      <c r="L12" s="444">
        <v>0</v>
      </c>
      <c r="M12" s="444">
        <v>3.0710000000000002</v>
      </c>
      <c r="N12" s="444">
        <v>1</v>
      </c>
      <c r="O12" s="443">
        <v>0</v>
      </c>
      <c r="P12" s="443">
        <v>0</v>
      </c>
      <c r="Q12" s="443">
        <v>0</v>
      </c>
      <c r="R12" s="443">
        <v>0</v>
      </c>
      <c r="S12" s="443">
        <v>0</v>
      </c>
      <c r="T12" s="443"/>
      <c r="U12" s="443">
        <v>12</v>
      </c>
    </row>
    <row r="13" spans="1:21" ht="53.25" customHeight="1" x14ac:dyDescent="0.25">
      <c r="A13" s="443" t="s">
        <v>459</v>
      </c>
      <c r="B13" s="443" t="s">
        <v>460</v>
      </c>
      <c r="C13" s="444">
        <v>15</v>
      </c>
      <c r="D13" s="444">
        <v>0</v>
      </c>
      <c r="E13" s="444">
        <v>4</v>
      </c>
      <c r="F13" s="444">
        <v>6</v>
      </c>
      <c r="G13" s="444">
        <v>4</v>
      </c>
      <c r="H13" s="444">
        <v>0</v>
      </c>
      <c r="I13" s="444">
        <v>87.983000000000004</v>
      </c>
      <c r="J13" s="444">
        <v>0</v>
      </c>
      <c r="K13" s="444">
        <v>0</v>
      </c>
      <c r="L13" s="444">
        <v>0</v>
      </c>
      <c r="M13" s="444">
        <v>38.465000000000003</v>
      </c>
      <c r="N13" s="444">
        <v>0</v>
      </c>
      <c r="O13" s="443">
        <v>0</v>
      </c>
      <c r="P13" s="443">
        <v>0</v>
      </c>
      <c r="Q13" s="443">
        <v>0</v>
      </c>
      <c r="R13" s="443">
        <v>0</v>
      </c>
      <c r="S13" s="443">
        <v>0</v>
      </c>
      <c r="T13" s="443"/>
      <c r="U13" s="443">
        <v>13</v>
      </c>
    </row>
    <row r="14" spans="1:21" ht="53.25" customHeight="1" x14ac:dyDescent="0.25">
      <c r="A14" s="443" t="s">
        <v>461</v>
      </c>
      <c r="B14" s="443" t="s">
        <v>462</v>
      </c>
      <c r="C14" s="444">
        <v>0</v>
      </c>
      <c r="D14" s="444">
        <v>0</v>
      </c>
      <c r="E14" s="444">
        <v>0</v>
      </c>
      <c r="F14" s="444">
        <v>0</v>
      </c>
      <c r="G14" s="444">
        <v>0</v>
      </c>
      <c r="H14" s="444">
        <v>0</v>
      </c>
      <c r="I14" s="444">
        <v>0</v>
      </c>
      <c r="J14" s="444">
        <v>0</v>
      </c>
      <c r="K14" s="444">
        <v>0</v>
      </c>
      <c r="L14" s="444">
        <v>0</v>
      </c>
      <c r="M14" s="444">
        <v>0</v>
      </c>
      <c r="N14" s="444">
        <v>0</v>
      </c>
      <c r="O14" s="443">
        <v>0</v>
      </c>
      <c r="P14" s="443">
        <v>0</v>
      </c>
      <c r="Q14" s="443">
        <v>0</v>
      </c>
      <c r="R14" s="443">
        <v>0</v>
      </c>
      <c r="S14" s="443">
        <v>0</v>
      </c>
      <c r="T14" s="443"/>
      <c r="U14" s="443">
        <v>14</v>
      </c>
    </row>
    <row r="15" spans="1:21" ht="53.25" customHeight="1" x14ac:dyDescent="0.25">
      <c r="A15" s="443" t="s">
        <v>463</v>
      </c>
      <c r="B15" s="443" t="s">
        <v>464</v>
      </c>
      <c r="C15" s="444">
        <v>9</v>
      </c>
      <c r="D15" s="444">
        <v>0</v>
      </c>
      <c r="E15" s="444">
        <v>2</v>
      </c>
      <c r="F15" s="444">
        <v>7</v>
      </c>
      <c r="G15" s="444">
        <v>6</v>
      </c>
      <c r="H15" s="444">
        <v>0</v>
      </c>
      <c r="I15" s="444">
        <v>50.508000000000003</v>
      </c>
      <c r="J15" s="444">
        <v>0</v>
      </c>
      <c r="K15" s="444">
        <v>0</v>
      </c>
      <c r="L15" s="444">
        <v>0</v>
      </c>
      <c r="M15" s="444">
        <v>16.54</v>
      </c>
      <c r="N15" s="444">
        <v>0</v>
      </c>
      <c r="O15" s="443">
        <v>0</v>
      </c>
      <c r="P15" s="443">
        <v>0</v>
      </c>
      <c r="Q15" s="443">
        <v>0</v>
      </c>
      <c r="R15" s="443">
        <v>0</v>
      </c>
      <c r="S15" s="443">
        <v>0</v>
      </c>
      <c r="T15" s="443"/>
      <c r="U15" s="443">
        <v>15</v>
      </c>
    </row>
    <row r="16" spans="1:21" ht="53.25" customHeight="1" x14ac:dyDescent="0.25">
      <c r="A16" s="443" t="s">
        <v>465</v>
      </c>
      <c r="B16" s="443" t="s">
        <v>466</v>
      </c>
      <c r="C16" s="444">
        <v>0</v>
      </c>
      <c r="D16" s="444">
        <v>0</v>
      </c>
      <c r="E16" s="444">
        <v>0</v>
      </c>
      <c r="F16" s="444">
        <v>0</v>
      </c>
      <c r="G16" s="444">
        <v>0</v>
      </c>
      <c r="H16" s="444">
        <v>0</v>
      </c>
      <c r="I16" s="444">
        <v>0</v>
      </c>
      <c r="J16" s="444">
        <v>1.22</v>
      </c>
      <c r="K16" s="444">
        <v>0</v>
      </c>
      <c r="L16" s="444">
        <v>0</v>
      </c>
      <c r="M16" s="444">
        <v>0</v>
      </c>
      <c r="N16" s="444">
        <v>0</v>
      </c>
      <c r="O16" s="443">
        <v>0</v>
      </c>
      <c r="P16" s="443">
        <v>0</v>
      </c>
      <c r="Q16" s="443">
        <v>0</v>
      </c>
      <c r="R16" s="443">
        <v>2</v>
      </c>
      <c r="S16" s="443">
        <v>0</v>
      </c>
      <c r="T16" s="443"/>
      <c r="U16" s="443">
        <v>16</v>
      </c>
    </row>
    <row r="17" spans="1:21" ht="53.25" customHeight="1" x14ac:dyDescent="0.25">
      <c r="A17" s="443" t="s">
        <v>467</v>
      </c>
      <c r="B17" s="443" t="s">
        <v>468</v>
      </c>
      <c r="C17" s="444">
        <v>0</v>
      </c>
      <c r="D17" s="444">
        <v>0</v>
      </c>
      <c r="E17" s="444">
        <v>0</v>
      </c>
      <c r="F17" s="444">
        <v>0</v>
      </c>
      <c r="G17" s="444">
        <v>0</v>
      </c>
      <c r="H17" s="444">
        <v>0</v>
      </c>
      <c r="I17" s="444">
        <v>0</v>
      </c>
      <c r="J17" s="444">
        <v>2.1509999999999998</v>
      </c>
      <c r="K17" s="444">
        <v>0</v>
      </c>
      <c r="L17" s="444">
        <v>0</v>
      </c>
      <c r="M17" s="444">
        <v>0</v>
      </c>
      <c r="N17" s="444">
        <v>0</v>
      </c>
      <c r="O17" s="443">
        <v>0</v>
      </c>
      <c r="P17" s="443">
        <v>0</v>
      </c>
      <c r="Q17" s="443">
        <v>0</v>
      </c>
      <c r="R17" s="443">
        <v>3</v>
      </c>
      <c r="S17" s="443">
        <v>0</v>
      </c>
      <c r="T17" s="443"/>
      <c r="U17" s="443">
        <v>17</v>
      </c>
    </row>
    <row r="18" spans="1:21" ht="53.25" customHeight="1" x14ac:dyDescent="0.25">
      <c r="A18" s="443" t="s">
        <v>469</v>
      </c>
      <c r="B18" s="443" t="s">
        <v>470</v>
      </c>
      <c r="C18" s="444">
        <v>0</v>
      </c>
      <c r="D18" s="444">
        <v>0</v>
      </c>
      <c r="E18" s="444">
        <v>0</v>
      </c>
      <c r="F18" s="444">
        <v>0</v>
      </c>
      <c r="G18" s="444">
        <v>0</v>
      </c>
      <c r="H18" s="444">
        <v>0</v>
      </c>
      <c r="I18" s="444">
        <v>0</v>
      </c>
      <c r="J18" s="444">
        <v>8.18</v>
      </c>
      <c r="K18" s="444">
        <v>0</v>
      </c>
      <c r="L18" s="444">
        <v>0</v>
      </c>
      <c r="M18" s="444">
        <v>0</v>
      </c>
      <c r="N18" s="444">
        <v>0</v>
      </c>
      <c r="O18" s="443">
        <v>0</v>
      </c>
      <c r="P18" s="443">
        <v>0</v>
      </c>
      <c r="Q18" s="443">
        <v>0</v>
      </c>
      <c r="R18" s="443">
        <v>2</v>
      </c>
      <c r="S18" s="443">
        <v>0</v>
      </c>
      <c r="T18" s="443"/>
      <c r="U18" s="443">
        <v>18</v>
      </c>
    </row>
    <row r="19" spans="1:21" ht="53.25" customHeight="1" x14ac:dyDescent="0.25">
      <c r="A19" s="443" t="s">
        <v>471</v>
      </c>
      <c r="B19" s="443" t="s">
        <v>472</v>
      </c>
      <c r="C19" s="444">
        <v>0</v>
      </c>
      <c r="D19" s="444">
        <v>0</v>
      </c>
      <c r="E19" s="444">
        <v>0</v>
      </c>
      <c r="F19" s="444">
        <v>0</v>
      </c>
      <c r="G19" s="444">
        <v>0</v>
      </c>
      <c r="H19" s="444">
        <v>0</v>
      </c>
      <c r="I19" s="444">
        <v>0</v>
      </c>
      <c r="J19" s="444">
        <v>0</v>
      </c>
      <c r="K19" s="444">
        <v>0</v>
      </c>
      <c r="L19" s="444">
        <v>0</v>
      </c>
      <c r="M19" s="444">
        <v>0</v>
      </c>
      <c r="N19" s="444">
        <v>0</v>
      </c>
      <c r="O19" s="443">
        <v>0</v>
      </c>
      <c r="P19" s="443">
        <v>0</v>
      </c>
      <c r="Q19" s="443">
        <v>0</v>
      </c>
      <c r="R19" s="443">
        <v>6</v>
      </c>
      <c r="S19" s="443">
        <v>0</v>
      </c>
      <c r="T19" s="443"/>
      <c r="U19" s="443">
        <v>19</v>
      </c>
    </row>
    <row r="20" spans="1:21" ht="53.25" customHeight="1" x14ac:dyDescent="0.25">
      <c r="A20" s="443" t="s">
        <v>473</v>
      </c>
      <c r="B20" s="443" t="s">
        <v>474</v>
      </c>
      <c r="C20" s="444">
        <v>0</v>
      </c>
      <c r="D20" s="444">
        <v>0</v>
      </c>
      <c r="E20" s="444">
        <v>0</v>
      </c>
      <c r="F20" s="444">
        <v>0</v>
      </c>
      <c r="G20" s="444">
        <v>0</v>
      </c>
      <c r="H20" s="444">
        <v>0</v>
      </c>
      <c r="I20" s="444">
        <v>0</v>
      </c>
      <c r="J20" s="444">
        <v>0</v>
      </c>
      <c r="K20" s="444">
        <v>0</v>
      </c>
      <c r="L20" s="444">
        <v>0</v>
      </c>
      <c r="M20" s="444">
        <v>0</v>
      </c>
      <c r="N20" s="444">
        <v>0</v>
      </c>
      <c r="O20" s="443">
        <v>0</v>
      </c>
      <c r="P20" s="443">
        <v>0</v>
      </c>
      <c r="Q20" s="443">
        <v>0</v>
      </c>
      <c r="R20" s="443">
        <v>9</v>
      </c>
      <c r="S20" s="443">
        <v>0</v>
      </c>
      <c r="T20" s="443"/>
      <c r="U20" s="443">
        <v>20</v>
      </c>
    </row>
    <row r="21" spans="1:21" ht="53.25" customHeight="1" x14ac:dyDescent="0.25">
      <c r="A21" s="443" t="s">
        <v>475</v>
      </c>
      <c r="B21" s="443" t="s">
        <v>476</v>
      </c>
      <c r="C21" s="444">
        <v>0</v>
      </c>
      <c r="D21" s="444">
        <v>0</v>
      </c>
      <c r="E21" s="444">
        <v>0</v>
      </c>
      <c r="F21" s="444">
        <v>0</v>
      </c>
      <c r="G21" s="444">
        <v>0</v>
      </c>
      <c r="H21" s="444">
        <v>0</v>
      </c>
      <c r="I21" s="444">
        <v>0</v>
      </c>
      <c r="J21" s="444">
        <v>0</v>
      </c>
      <c r="K21" s="444">
        <v>0</v>
      </c>
      <c r="L21" s="444">
        <v>0</v>
      </c>
      <c r="M21" s="444">
        <v>0</v>
      </c>
      <c r="N21" s="444">
        <v>0</v>
      </c>
      <c r="O21" s="443">
        <v>0</v>
      </c>
      <c r="P21" s="443">
        <v>0</v>
      </c>
      <c r="Q21" s="443">
        <v>0</v>
      </c>
      <c r="R21" s="443">
        <v>0</v>
      </c>
      <c r="S21" s="443">
        <v>0</v>
      </c>
      <c r="T21" s="443"/>
      <c r="U21" s="443">
        <v>21</v>
      </c>
    </row>
    <row r="22" spans="1:21" s="445" customFormat="1" ht="53.25" customHeight="1" x14ac:dyDescent="0.25">
      <c r="A22" s="444" t="s">
        <v>477</v>
      </c>
      <c r="B22" s="444" t="s">
        <v>478</v>
      </c>
      <c r="C22" s="444">
        <v>0</v>
      </c>
      <c r="D22" s="444">
        <v>2</v>
      </c>
      <c r="E22" s="444">
        <v>0</v>
      </c>
      <c r="F22" s="444">
        <v>0</v>
      </c>
      <c r="G22" s="444">
        <v>0</v>
      </c>
      <c r="H22" s="444">
        <v>0</v>
      </c>
      <c r="I22" s="444">
        <v>0</v>
      </c>
      <c r="J22" s="444">
        <v>3.3119999999999998</v>
      </c>
      <c r="K22" s="444">
        <v>0</v>
      </c>
      <c r="L22" s="444">
        <v>26.952000000000002</v>
      </c>
      <c r="M22" s="444">
        <v>0</v>
      </c>
      <c r="N22" s="444">
        <v>0</v>
      </c>
      <c r="O22" s="444">
        <v>0</v>
      </c>
      <c r="P22" s="444">
        <v>0</v>
      </c>
      <c r="Q22" s="444">
        <v>0</v>
      </c>
      <c r="R22" s="444">
        <v>4</v>
      </c>
      <c r="S22" s="444">
        <v>0</v>
      </c>
      <c r="T22" s="444"/>
      <c r="U22" s="444">
        <v>22</v>
      </c>
    </row>
    <row r="23" spans="1:21" s="445" customFormat="1" ht="53.25" customHeight="1" x14ac:dyDescent="0.25">
      <c r="A23" s="444" t="s">
        <v>479</v>
      </c>
      <c r="B23" s="444" t="s">
        <v>480</v>
      </c>
      <c r="C23" s="444">
        <v>0</v>
      </c>
      <c r="D23" s="444">
        <v>2</v>
      </c>
      <c r="E23" s="444">
        <v>0</v>
      </c>
      <c r="F23" s="444">
        <v>0</v>
      </c>
      <c r="G23" s="444">
        <v>0</v>
      </c>
      <c r="H23" s="444">
        <v>0</v>
      </c>
      <c r="I23" s="444">
        <v>0</v>
      </c>
      <c r="J23" s="444">
        <v>19.695</v>
      </c>
      <c r="K23" s="444">
        <v>0</v>
      </c>
      <c r="L23" s="444">
        <v>22.4</v>
      </c>
      <c r="M23" s="444">
        <v>0</v>
      </c>
      <c r="N23" s="444">
        <v>0</v>
      </c>
      <c r="O23" s="444">
        <v>0</v>
      </c>
      <c r="P23" s="444">
        <v>0</v>
      </c>
      <c r="Q23" s="444">
        <v>0</v>
      </c>
      <c r="R23" s="444">
        <v>0</v>
      </c>
      <c r="S23" s="444">
        <v>0</v>
      </c>
      <c r="T23" s="444"/>
      <c r="U23" s="444">
        <v>23</v>
      </c>
    </row>
    <row r="24" spans="1:21" s="445" customFormat="1" ht="53.25" customHeight="1" x14ac:dyDescent="0.25">
      <c r="A24" s="444" t="s">
        <v>481</v>
      </c>
      <c r="B24" s="444" t="s">
        <v>482</v>
      </c>
      <c r="C24" s="444">
        <v>0</v>
      </c>
      <c r="D24" s="444">
        <v>1</v>
      </c>
      <c r="E24" s="444">
        <v>0</v>
      </c>
      <c r="F24" s="444">
        <v>0</v>
      </c>
      <c r="G24" s="444">
        <v>0</v>
      </c>
      <c r="H24" s="444">
        <v>0</v>
      </c>
      <c r="I24" s="444">
        <v>0</v>
      </c>
      <c r="J24" s="444">
        <v>13.27</v>
      </c>
      <c r="K24" s="444">
        <v>35.520000000000003</v>
      </c>
      <c r="L24" s="444">
        <v>0</v>
      </c>
      <c r="M24" s="444">
        <v>0</v>
      </c>
      <c r="N24" s="444">
        <v>0</v>
      </c>
      <c r="O24" s="444">
        <v>0</v>
      </c>
      <c r="P24" s="444">
        <v>0</v>
      </c>
      <c r="Q24" s="444">
        <v>0</v>
      </c>
      <c r="R24" s="444">
        <v>10</v>
      </c>
      <c r="S24" s="444">
        <v>0</v>
      </c>
      <c r="T24" s="444"/>
      <c r="U24" s="444">
        <v>24</v>
      </c>
    </row>
    <row r="25" spans="1:21" ht="53.25" customHeight="1" x14ac:dyDescent="0.25">
      <c r="A25" s="443" t="s">
        <v>483</v>
      </c>
      <c r="B25" s="443" t="s">
        <v>484</v>
      </c>
      <c r="C25" s="444">
        <v>0</v>
      </c>
      <c r="D25" s="444">
        <v>0</v>
      </c>
      <c r="E25" s="444">
        <v>0</v>
      </c>
      <c r="F25" s="444">
        <v>0</v>
      </c>
      <c r="G25" s="444">
        <v>0</v>
      </c>
      <c r="H25" s="444">
        <v>0</v>
      </c>
      <c r="I25" s="444">
        <v>0</v>
      </c>
      <c r="J25" s="444">
        <v>30.98</v>
      </c>
      <c r="K25" s="444">
        <v>20.9</v>
      </c>
      <c r="L25" s="444">
        <v>0</v>
      </c>
      <c r="M25" s="444">
        <v>0</v>
      </c>
      <c r="N25" s="444">
        <v>0</v>
      </c>
      <c r="O25" s="443">
        <v>0</v>
      </c>
      <c r="P25" s="443">
        <v>0</v>
      </c>
      <c r="Q25" s="443">
        <v>0</v>
      </c>
      <c r="R25" s="443">
        <v>16</v>
      </c>
      <c r="S25" s="443">
        <v>0</v>
      </c>
      <c r="T25" s="443"/>
      <c r="U25" s="443">
        <v>25</v>
      </c>
    </row>
    <row r="26" spans="1:21" ht="53.25" customHeight="1" x14ac:dyDescent="0.25">
      <c r="A26" s="443" t="s">
        <v>485</v>
      </c>
      <c r="B26" s="443" t="s">
        <v>486</v>
      </c>
      <c r="C26" s="444">
        <v>0</v>
      </c>
      <c r="D26" s="444">
        <v>0</v>
      </c>
      <c r="E26" s="444">
        <v>0</v>
      </c>
      <c r="F26" s="444">
        <v>0</v>
      </c>
      <c r="G26" s="444">
        <v>0</v>
      </c>
      <c r="H26" s="444">
        <v>0</v>
      </c>
      <c r="I26" s="444">
        <v>0</v>
      </c>
      <c r="J26" s="444">
        <v>6.133</v>
      </c>
      <c r="K26" s="444">
        <v>10.69</v>
      </c>
      <c r="L26" s="444">
        <v>3.56</v>
      </c>
      <c r="M26" s="444">
        <v>0</v>
      </c>
      <c r="N26" s="444">
        <v>0</v>
      </c>
      <c r="O26" s="443">
        <v>0</v>
      </c>
      <c r="P26" s="443">
        <v>0</v>
      </c>
      <c r="Q26" s="443">
        <v>0</v>
      </c>
      <c r="R26" s="443">
        <v>6</v>
      </c>
      <c r="S26" s="443">
        <v>0</v>
      </c>
      <c r="T26" s="443"/>
      <c r="U26" s="443">
        <v>26</v>
      </c>
    </row>
    <row r="27" spans="1:21" ht="53.25" customHeight="1" x14ac:dyDescent="0.25">
      <c r="A27" s="443" t="s">
        <v>487</v>
      </c>
      <c r="B27" s="443" t="s">
        <v>488</v>
      </c>
      <c r="C27" s="444">
        <v>0</v>
      </c>
      <c r="D27" s="444">
        <v>0</v>
      </c>
      <c r="E27" s="444">
        <v>0</v>
      </c>
      <c r="F27" s="444">
        <v>0</v>
      </c>
      <c r="G27" s="444">
        <v>0</v>
      </c>
      <c r="H27" s="444">
        <v>0</v>
      </c>
      <c r="I27" s="444">
        <v>0</v>
      </c>
      <c r="J27" s="444">
        <v>10.195</v>
      </c>
      <c r="K27" s="444">
        <v>0</v>
      </c>
      <c r="L27" s="444">
        <v>5</v>
      </c>
      <c r="M27" s="444">
        <v>0</v>
      </c>
      <c r="N27" s="444">
        <v>0</v>
      </c>
      <c r="O27" s="443">
        <v>0</v>
      </c>
      <c r="P27" s="443">
        <v>0</v>
      </c>
      <c r="Q27" s="443">
        <v>0</v>
      </c>
      <c r="R27" s="443">
        <v>16</v>
      </c>
      <c r="S27" s="443">
        <v>0</v>
      </c>
      <c r="T27" s="443"/>
      <c r="U27" s="443">
        <v>27</v>
      </c>
    </row>
    <row r="28" spans="1:21" ht="53.25" customHeight="1" x14ac:dyDescent="0.25">
      <c r="A28" s="443" t="s">
        <v>489</v>
      </c>
      <c r="B28" s="443" t="s">
        <v>490</v>
      </c>
      <c r="C28" s="444">
        <v>0</v>
      </c>
      <c r="D28" s="444">
        <v>0</v>
      </c>
      <c r="E28" s="444">
        <v>0</v>
      </c>
      <c r="F28" s="444">
        <v>0</v>
      </c>
      <c r="G28" s="444">
        <v>0</v>
      </c>
      <c r="H28" s="444">
        <v>0</v>
      </c>
      <c r="I28" s="444">
        <v>0</v>
      </c>
      <c r="J28" s="444">
        <v>13.837999999999999</v>
      </c>
      <c r="K28" s="444">
        <v>0</v>
      </c>
      <c r="L28" s="444">
        <v>0</v>
      </c>
      <c r="M28" s="444">
        <v>0</v>
      </c>
      <c r="N28" s="444">
        <v>0</v>
      </c>
      <c r="O28" s="443">
        <v>0</v>
      </c>
      <c r="P28" s="443">
        <v>0</v>
      </c>
      <c r="Q28" s="443">
        <v>0</v>
      </c>
      <c r="R28" s="443">
        <v>8</v>
      </c>
      <c r="S28" s="443">
        <v>0</v>
      </c>
      <c r="T28" s="443"/>
      <c r="U28" s="443">
        <v>28</v>
      </c>
    </row>
    <row r="29" spans="1:21" ht="53.25" customHeight="1" x14ac:dyDescent="0.25">
      <c r="A29" s="443" t="s">
        <v>491</v>
      </c>
      <c r="B29" s="443" t="s">
        <v>492</v>
      </c>
      <c r="C29" s="444">
        <v>0</v>
      </c>
      <c r="D29" s="444">
        <v>0</v>
      </c>
      <c r="E29" s="444">
        <v>0</v>
      </c>
      <c r="F29" s="444">
        <v>0</v>
      </c>
      <c r="G29" s="444">
        <v>0</v>
      </c>
      <c r="H29" s="444">
        <v>0</v>
      </c>
      <c r="I29" s="444">
        <v>0</v>
      </c>
      <c r="J29" s="444">
        <v>0</v>
      </c>
      <c r="K29" s="444">
        <v>0</v>
      </c>
      <c r="L29" s="444">
        <v>0</v>
      </c>
      <c r="M29" s="444">
        <v>0</v>
      </c>
      <c r="N29" s="444">
        <v>0</v>
      </c>
      <c r="O29" s="443">
        <v>0</v>
      </c>
      <c r="P29" s="443">
        <v>0</v>
      </c>
      <c r="Q29" s="443">
        <v>0</v>
      </c>
      <c r="R29" s="443">
        <v>2</v>
      </c>
      <c r="S29" s="443">
        <v>0</v>
      </c>
      <c r="T29" s="443"/>
      <c r="U29" s="443">
        <v>29</v>
      </c>
    </row>
    <row r="30" spans="1:21" ht="53.25" customHeight="1" x14ac:dyDescent="0.25">
      <c r="A30" s="443" t="s">
        <v>493</v>
      </c>
      <c r="B30" s="443" t="s">
        <v>494</v>
      </c>
      <c r="C30" s="444">
        <v>0</v>
      </c>
      <c r="D30" s="444">
        <v>0</v>
      </c>
      <c r="E30" s="444">
        <v>0</v>
      </c>
      <c r="F30" s="444">
        <v>0</v>
      </c>
      <c r="G30" s="444">
        <v>0</v>
      </c>
      <c r="H30" s="444">
        <v>0</v>
      </c>
      <c r="I30" s="444">
        <v>0</v>
      </c>
      <c r="J30" s="444">
        <v>0</v>
      </c>
      <c r="K30" s="444">
        <v>0</v>
      </c>
      <c r="L30" s="444">
        <v>0</v>
      </c>
      <c r="M30" s="444">
        <v>0</v>
      </c>
      <c r="N30" s="444">
        <v>0</v>
      </c>
      <c r="O30" s="443">
        <v>0</v>
      </c>
      <c r="P30" s="443">
        <v>0</v>
      </c>
      <c r="Q30" s="443">
        <v>0</v>
      </c>
      <c r="R30" s="443">
        <v>2</v>
      </c>
      <c r="S30" s="443">
        <v>0</v>
      </c>
      <c r="T30" s="443"/>
      <c r="U30" s="443">
        <v>30</v>
      </c>
    </row>
    <row r="31" spans="1:21" ht="53.25" customHeight="1" x14ac:dyDescent="0.25">
      <c r="A31" s="443" t="s">
        <v>495</v>
      </c>
      <c r="B31" s="443" t="s">
        <v>496</v>
      </c>
      <c r="C31" s="444">
        <v>0</v>
      </c>
      <c r="D31" s="444">
        <v>0</v>
      </c>
      <c r="E31" s="444">
        <v>0</v>
      </c>
      <c r="F31" s="444">
        <v>0</v>
      </c>
      <c r="G31" s="444">
        <v>0</v>
      </c>
      <c r="H31" s="444">
        <v>0</v>
      </c>
      <c r="I31" s="444">
        <v>0</v>
      </c>
      <c r="J31" s="444">
        <v>0</v>
      </c>
      <c r="K31" s="444">
        <v>0</v>
      </c>
      <c r="L31" s="444">
        <v>0</v>
      </c>
      <c r="M31" s="444">
        <v>0</v>
      </c>
      <c r="N31" s="444">
        <v>0</v>
      </c>
      <c r="O31" s="443">
        <v>0</v>
      </c>
      <c r="P31" s="443">
        <v>0</v>
      </c>
      <c r="Q31" s="443">
        <v>60</v>
      </c>
      <c r="R31" s="443">
        <v>0</v>
      </c>
      <c r="S31" s="443">
        <v>2</v>
      </c>
      <c r="T31" s="443"/>
      <c r="U31" s="443">
        <v>31</v>
      </c>
    </row>
    <row r="32" spans="1:21" ht="33" customHeight="1" x14ac:dyDescent="0.25">
      <c r="A32" s="444" t="s">
        <v>11</v>
      </c>
      <c r="B32" s="446"/>
      <c r="C32" s="444">
        <f t="shared" ref="C32:T32" si="0">SUM(C2:C31)</f>
        <v>127</v>
      </c>
      <c r="D32" s="444">
        <f t="shared" si="0"/>
        <v>5</v>
      </c>
      <c r="E32" s="444">
        <f t="shared" si="0"/>
        <v>39</v>
      </c>
      <c r="F32" s="444">
        <f t="shared" si="0"/>
        <v>43</v>
      </c>
      <c r="G32" s="444">
        <f t="shared" si="0"/>
        <v>32</v>
      </c>
      <c r="H32" s="444">
        <f t="shared" si="0"/>
        <v>0</v>
      </c>
      <c r="I32" s="444">
        <f t="shared" si="0"/>
        <v>342.584</v>
      </c>
      <c r="J32" s="444">
        <f t="shared" si="0"/>
        <v>108.97399999999999</v>
      </c>
      <c r="K32" s="444">
        <f t="shared" si="0"/>
        <v>67.11</v>
      </c>
      <c r="L32" s="444">
        <f t="shared" si="0"/>
        <v>57.912000000000006</v>
      </c>
      <c r="M32" s="444">
        <f t="shared" si="0"/>
        <v>254.20699999999999</v>
      </c>
      <c r="N32" s="444">
        <f t="shared" si="0"/>
        <v>7</v>
      </c>
      <c r="O32" s="444">
        <f t="shared" si="0"/>
        <v>0</v>
      </c>
      <c r="P32" s="444">
        <f t="shared" si="0"/>
        <v>20</v>
      </c>
      <c r="Q32" s="444">
        <f t="shared" si="0"/>
        <v>60</v>
      </c>
      <c r="R32" s="444">
        <f t="shared" si="0"/>
        <v>86</v>
      </c>
      <c r="S32" s="444">
        <f t="shared" si="0"/>
        <v>2</v>
      </c>
      <c r="T32" s="444">
        <f t="shared" si="0"/>
        <v>0</v>
      </c>
      <c r="U32" s="444"/>
    </row>
  </sheetData>
  <pageMargins left="0.7" right="0.7" top="0.75" bottom="0.75" header="0.3" footer="0.3"/>
  <pageSetup paperSize="9" scale="24" fitToHeight="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zoomScale="205" zoomScaleNormal="205" workbookViewId="0">
      <selection activeCell="D2" sqref="D2"/>
    </sheetView>
  </sheetViews>
  <sheetFormatPr defaultRowHeight="15" x14ac:dyDescent="0.25"/>
  <cols>
    <col min="1" max="1" width="23.140625" style="451" customWidth="1"/>
    <col min="2" max="2" width="8.85546875" style="451" customWidth="1"/>
    <col min="3" max="3" width="6.28515625" style="451" customWidth="1"/>
    <col min="4" max="4" width="14.5703125" style="451" customWidth="1"/>
    <col min="5" max="5" width="14" style="451" customWidth="1"/>
    <col min="6" max="6" width="15.140625" style="451" customWidth="1"/>
    <col min="7" max="32" width="8.7109375" style="451" customWidth="1"/>
  </cols>
  <sheetData>
    <row r="1" spans="1:7" x14ac:dyDescent="0.25">
      <c r="A1" s="450" t="s">
        <v>122</v>
      </c>
      <c r="B1" s="450" t="s">
        <v>497</v>
      </c>
      <c r="C1" s="450" t="s">
        <v>498</v>
      </c>
      <c r="D1" s="450" t="s">
        <v>499</v>
      </c>
      <c r="E1" s="450" t="s">
        <v>500</v>
      </c>
      <c r="F1" s="450" t="s">
        <v>501</v>
      </c>
    </row>
    <row r="2" spans="1:7" s="464" customFormat="1" x14ac:dyDescent="0.25">
      <c r="A2" s="446" t="s">
        <v>502</v>
      </c>
      <c r="B2" s="463">
        <v>1</v>
      </c>
      <c r="C2" s="463">
        <v>2</v>
      </c>
      <c r="D2" s="468">
        <v>5403.27</v>
      </c>
      <c r="E2" s="468">
        <v>5360.27</v>
      </c>
      <c r="F2" s="468">
        <f t="shared" ref="F2:F10" si="0">E2-D2</f>
        <v>-43</v>
      </c>
    </row>
    <row r="3" spans="1:7" s="464" customFormat="1" x14ac:dyDescent="0.25">
      <c r="A3" s="446" t="s">
        <v>503</v>
      </c>
      <c r="B3" s="463">
        <v>2</v>
      </c>
      <c r="C3" s="463">
        <v>3</v>
      </c>
      <c r="D3" s="468">
        <v>350</v>
      </c>
      <c r="E3" s="468">
        <v>210</v>
      </c>
      <c r="F3" s="468">
        <f t="shared" si="0"/>
        <v>-140</v>
      </c>
    </row>
    <row r="4" spans="1:7" s="464" customFormat="1" x14ac:dyDescent="0.25">
      <c r="A4" s="446" t="s">
        <v>504</v>
      </c>
      <c r="B4" s="463">
        <v>3</v>
      </c>
      <c r="C4" s="463">
        <v>4</v>
      </c>
      <c r="D4" s="468">
        <v>4491.97</v>
      </c>
      <c r="E4" s="468">
        <v>5236.54</v>
      </c>
      <c r="F4" s="468">
        <f t="shared" si="0"/>
        <v>744.56999999999971</v>
      </c>
    </row>
    <row r="5" spans="1:7" s="464" customFormat="1" x14ac:dyDescent="0.25">
      <c r="A5" s="446" t="s">
        <v>505</v>
      </c>
      <c r="B5" s="463">
        <v>4</v>
      </c>
      <c r="C5" s="463">
        <v>5</v>
      </c>
      <c r="D5" s="468">
        <v>7901.4</v>
      </c>
      <c r="E5" s="468">
        <v>7901.4</v>
      </c>
      <c r="F5" s="468">
        <f t="shared" si="0"/>
        <v>0</v>
      </c>
    </row>
    <row r="6" spans="1:7" s="464" customFormat="1" x14ac:dyDescent="0.25">
      <c r="A6" s="446" t="s">
        <v>506</v>
      </c>
      <c r="B6" s="463">
        <v>5</v>
      </c>
      <c r="C6" s="463">
        <v>6</v>
      </c>
      <c r="D6" s="468">
        <v>265</v>
      </c>
      <c r="E6" s="468">
        <v>290</v>
      </c>
      <c r="F6" s="468">
        <f t="shared" si="0"/>
        <v>25</v>
      </c>
    </row>
    <row r="7" spans="1:7" s="464" customFormat="1" x14ac:dyDescent="0.25">
      <c r="A7" s="446" t="s">
        <v>507</v>
      </c>
      <c r="B7" s="463">
        <v>6</v>
      </c>
      <c r="C7" s="463">
        <v>7</v>
      </c>
      <c r="D7" s="468">
        <v>1066.22</v>
      </c>
      <c r="E7" s="468">
        <v>1054.22</v>
      </c>
      <c r="F7" s="468">
        <f t="shared" si="0"/>
        <v>-12</v>
      </c>
    </row>
    <row r="8" spans="1:7" s="464" customFormat="1" x14ac:dyDescent="0.25">
      <c r="A8" s="446" t="s">
        <v>508</v>
      </c>
      <c r="B8" s="463">
        <v>7</v>
      </c>
      <c r="C8" s="463">
        <v>8</v>
      </c>
      <c r="D8" s="468">
        <v>24000</v>
      </c>
      <c r="E8" s="468">
        <v>20000</v>
      </c>
      <c r="F8" s="468">
        <f t="shared" si="0"/>
        <v>-4000</v>
      </c>
    </row>
    <row r="9" spans="1:7" s="467" customFormat="1" x14ac:dyDescent="0.25">
      <c r="A9" s="465" t="s">
        <v>509</v>
      </c>
      <c r="B9" s="466">
        <v>8</v>
      </c>
      <c r="C9" s="466">
        <v>9</v>
      </c>
      <c r="D9" s="469">
        <v>53727</v>
      </c>
      <c r="E9" s="469">
        <v>60687.03</v>
      </c>
      <c r="F9" s="468">
        <f t="shared" si="0"/>
        <v>6960.0299999999988</v>
      </c>
    </row>
    <row r="10" spans="1:7" s="464" customFormat="1" x14ac:dyDescent="0.25">
      <c r="A10" s="446" t="s">
        <v>510</v>
      </c>
      <c r="B10" s="463">
        <v>9</v>
      </c>
      <c r="C10" s="463">
        <v>10</v>
      </c>
      <c r="D10" s="468">
        <v>660.14</v>
      </c>
      <c r="E10" s="468">
        <v>40</v>
      </c>
      <c r="F10" s="468">
        <f t="shared" si="0"/>
        <v>-620.14</v>
      </c>
    </row>
    <row r="11" spans="1:7" s="464" customFormat="1" x14ac:dyDescent="0.25">
      <c r="A11" s="446" t="s">
        <v>11</v>
      </c>
      <c r="B11" s="446"/>
      <c r="C11" s="446"/>
      <c r="D11" s="468">
        <f>SUM(D2:D10)</f>
        <v>97865</v>
      </c>
      <c r="E11" s="468">
        <f>SUM(E2:E10)</f>
        <v>100779.45999999999</v>
      </c>
      <c r="F11" s="468">
        <f>SUM(F2:F10)</f>
        <v>2914.4599999999987</v>
      </c>
    </row>
    <row r="12" spans="1:7" x14ac:dyDescent="0.25">
      <c r="E12" s="627">
        <f>E11-D11</f>
        <v>2914.4599999999919</v>
      </c>
    </row>
    <row r="16" spans="1:7" x14ac:dyDescent="0.25">
      <c r="A16" s="711">
        <v>0</v>
      </c>
      <c r="B16" s="711" t="s">
        <v>502</v>
      </c>
      <c r="C16" s="711">
        <v>1</v>
      </c>
      <c r="D16" s="711">
        <v>2</v>
      </c>
      <c r="E16" s="450">
        <v>5403.27</v>
      </c>
      <c r="F16" s="450">
        <v>5360.27</v>
      </c>
      <c r="G16" s="450">
        <v>-43</v>
      </c>
    </row>
    <row r="17" spans="1:7" x14ac:dyDescent="0.25">
      <c r="A17" s="711">
        <v>1</v>
      </c>
      <c r="B17" s="711" t="s">
        <v>503</v>
      </c>
      <c r="C17" s="711">
        <v>2</v>
      </c>
      <c r="D17" s="711">
        <v>3</v>
      </c>
      <c r="E17" s="450">
        <v>350</v>
      </c>
      <c r="F17" s="450">
        <v>210</v>
      </c>
      <c r="G17" s="450">
        <v>-140</v>
      </c>
    </row>
    <row r="18" spans="1:7" x14ac:dyDescent="0.25">
      <c r="A18" s="711">
        <v>2</v>
      </c>
      <c r="B18" s="711" t="s">
        <v>504</v>
      </c>
      <c r="C18" s="711">
        <v>3</v>
      </c>
      <c r="D18" s="711">
        <v>4</v>
      </c>
      <c r="E18" s="450">
        <v>4491.97</v>
      </c>
      <c r="F18" s="450">
        <v>5236.54</v>
      </c>
      <c r="G18" s="450">
        <v>744.57</v>
      </c>
    </row>
    <row r="19" spans="1:7" x14ac:dyDescent="0.25">
      <c r="A19" s="711">
        <v>3</v>
      </c>
      <c r="B19" s="711" t="s">
        <v>505</v>
      </c>
      <c r="C19" s="711">
        <v>4</v>
      </c>
      <c r="D19" s="711">
        <v>5</v>
      </c>
      <c r="E19" s="450">
        <v>7901.4</v>
      </c>
      <c r="F19" s="450">
        <v>7901.4</v>
      </c>
      <c r="G19" s="450">
        <v>0</v>
      </c>
    </row>
    <row r="20" spans="1:7" x14ac:dyDescent="0.25">
      <c r="A20" s="711">
        <v>4</v>
      </c>
      <c r="B20" s="711" t="s">
        <v>506</v>
      </c>
      <c r="C20" s="711">
        <v>5</v>
      </c>
      <c r="D20" s="711">
        <v>6</v>
      </c>
      <c r="E20" s="450">
        <v>265</v>
      </c>
      <c r="F20" s="450">
        <v>290</v>
      </c>
      <c r="G20" s="450">
        <v>25</v>
      </c>
    </row>
    <row r="21" spans="1:7" x14ac:dyDescent="0.25">
      <c r="A21" s="711">
        <v>5</v>
      </c>
      <c r="B21" s="711" t="s">
        <v>507</v>
      </c>
      <c r="C21" s="711">
        <v>6</v>
      </c>
      <c r="D21" s="711">
        <v>7</v>
      </c>
      <c r="E21" s="450">
        <v>1066.22</v>
      </c>
      <c r="F21" s="450">
        <v>1054.22</v>
      </c>
      <c r="G21" s="450">
        <v>-12</v>
      </c>
    </row>
    <row r="22" spans="1:7" x14ac:dyDescent="0.25">
      <c r="A22" s="711">
        <v>6</v>
      </c>
      <c r="B22" s="711" t="s">
        <v>508</v>
      </c>
      <c r="C22" s="711">
        <v>7</v>
      </c>
      <c r="D22" s="711">
        <v>8</v>
      </c>
      <c r="E22" s="450">
        <v>24000</v>
      </c>
      <c r="F22" s="450">
        <v>20000</v>
      </c>
      <c r="G22" s="450">
        <v>-4000</v>
      </c>
    </row>
    <row r="23" spans="1:7" x14ac:dyDescent="0.25">
      <c r="A23" s="711">
        <v>7</v>
      </c>
      <c r="B23" s="711" t="s">
        <v>509</v>
      </c>
      <c r="C23" s="711">
        <v>8</v>
      </c>
      <c r="D23" s="711">
        <v>9</v>
      </c>
      <c r="E23" s="450">
        <v>53727</v>
      </c>
      <c r="F23" s="450">
        <v>60687.03</v>
      </c>
      <c r="G23" s="450">
        <v>6960.03</v>
      </c>
    </row>
    <row r="24" spans="1:7" x14ac:dyDescent="0.25">
      <c r="A24" s="711">
        <v>8</v>
      </c>
      <c r="B24" s="711" t="s">
        <v>510</v>
      </c>
      <c r="C24" s="711">
        <v>9</v>
      </c>
      <c r="D24" s="711">
        <v>10</v>
      </c>
      <c r="E24" s="450">
        <v>660.14</v>
      </c>
      <c r="F24" s="450">
        <v>40</v>
      </c>
      <c r="G24" s="450">
        <v>-620.14</v>
      </c>
    </row>
  </sheetData>
  <pageMargins left="0.7" right="0.7" top="0.75" bottom="0.75" header="0.3" footer="0.3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2" sqref="T1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2"/>
  <sheetViews>
    <sheetView view="pageBreakPreview" topLeftCell="C89" zoomScaleNormal="25" zoomScaleSheetLayoutView="100" workbookViewId="0">
      <selection activeCell="F100" sqref="F100"/>
    </sheetView>
  </sheetViews>
  <sheetFormatPr defaultColWidth="14.42578125" defaultRowHeight="12.75" x14ac:dyDescent="0.25"/>
  <cols>
    <col min="1" max="1" width="5.7109375" style="162" customWidth="1"/>
    <col min="2" max="2" width="12.42578125" style="162" customWidth="1"/>
    <col min="3" max="3" width="84.7109375" style="247" customWidth="1"/>
    <col min="4" max="4" width="6.140625" style="247" customWidth="1"/>
    <col min="5" max="5" width="9" style="247" customWidth="1"/>
    <col min="6" max="6" width="11" style="579" customWidth="1"/>
    <col min="7" max="7" width="11.28515625" style="569" customWidth="1"/>
    <col min="8" max="8" width="6.85546875" style="569" customWidth="1"/>
    <col min="9" max="9" width="9.7109375" style="569" customWidth="1"/>
    <col min="10" max="10" width="8.28515625" style="569" customWidth="1"/>
    <col min="11" max="11" width="6.140625" style="162" customWidth="1"/>
    <col min="12" max="12" width="4" style="162" customWidth="1"/>
    <col min="13" max="13" width="4.140625" style="162" customWidth="1"/>
    <col min="14" max="14" width="4.7109375" style="720" customWidth="1"/>
    <col min="15" max="15" width="8.140625" style="720" customWidth="1"/>
    <col min="16" max="16" width="9.85546875" style="734" customWidth="1"/>
    <col min="17" max="17" width="10.42578125" style="734" customWidth="1"/>
    <col min="18" max="18" width="5.42578125" style="720" customWidth="1"/>
    <col min="19" max="19" width="10.42578125" style="734" customWidth="1"/>
    <col min="20" max="20" width="8.85546875" style="734" customWidth="1"/>
    <col min="21" max="21" width="6.28515625" style="720" customWidth="1"/>
    <col min="22" max="22" width="2.85546875" style="720" customWidth="1"/>
    <col min="23" max="23" width="2.7109375" style="720" customWidth="1"/>
    <col min="24" max="24" width="4.7109375" style="720" customWidth="1"/>
    <col min="25" max="25" width="7.42578125" style="720" customWidth="1"/>
    <col min="26" max="26" width="10.42578125" style="734" customWidth="1"/>
    <col min="27" max="27" width="10.7109375" style="734" customWidth="1"/>
    <col min="28" max="28" width="5.7109375" style="720" customWidth="1"/>
    <col min="29" max="29" width="10.7109375" style="734" customWidth="1"/>
    <col min="30" max="30" width="9" style="734" customWidth="1"/>
    <col min="31" max="31" width="6.140625" style="720" customWidth="1"/>
    <col min="32" max="33" width="3" style="720" customWidth="1"/>
    <col min="34" max="34" width="5" style="720" customWidth="1"/>
    <col min="35" max="35" width="9.140625" style="720" customWidth="1"/>
    <col min="36" max="36" width="9.42578125" style="734" customWidth="1"/>
    <col min="37" max="37" width="8.7109375" style="734" customWidth="1"/>
    <col min="38" max="38" width="5.85546875" style="734" customWidth="1"/>
    <col min="39" max="39" width="9.85546875" style="734" customWidth="1"/>
    <col min="40" max="40" width="8.42578125" style="720" customWidth="1"/>
    <col min="41" max="41" width="6.28515625" style="720" customWidth="1"/>
    <col min="42" max="42" width="2.7109375" style="720" customWidth="1"/>
    <col min="43" max="43" width="3.140625" style="720" customWidth="1"/>
    <col min="44" max="199" width="14.42578125" style="162" customWidth="1"/>
    <col min="200" max="16384" width="14.42578125" style="162"/>
  </cols>
  <sheetData>
    <row r="1" spans="1:43" ht="24.75" customHeight="1" x14ac:dyDescent="0.25">
      <c r="A1" s="160" t="s">
        <v>132</v>
      </c>
      <c r="B1" s="160"/>
      <c r="C1" s="160"/>
      <c r="D1" s="160"/>
      <c r="E1" s="160"/>
      <c r="F1" s="558"/>
      <c r="G1" s="558"/>
      <c r="H1" s="558"/>
      <c r="I1" s="558"/>
      <c r="J1" s="558"/>
      <c r="K1" s="160"/>
      <c r="L1" s="160"/>
      <c r="M1" s="160"/>
      <c r="N1" s="161"/>
      <c r="O1" s="160"/>
      <c r="P1" s="558"/>
      <c r="Q1" s="558"/>
      <c r="R1" s="160"/>
      <c r="S1" s="558"/>
      <c r="T1" s="842" t="s">
        <v>133</v>
      </c>
      <c r="U1" s="797"/>
      <c r="V1" s="797"/>
      <c r="W1" s="797"/>
      <c r="X1" s="161"/>
      <c r="Y1" s="160"/>
      <c r="Z1" s="558"/>
      <c r="AA1" s="558"/>
      <c r="AB1" s="558"/>
      <c r="AC1" s="558"/>
      <c r="AD1" s="558"/>
      <c r="AE1" s="558"/>
      <c r="AF1" s="558"/>
      <c r="AG1" s="558"/>
      <c r="AH1" s="623"/>
      <c r="AI1" s="558"/>
      <c r="AJ1" s="558"/>
      <c r="AK1" s="843"/>
      <c r="AL1" s="844"/>
      <c r="AM1" s="844"/>
      <c r="AN1" s="797"/>
      <c r="AO1" s="558"/>
      <c r="AP1" s="558"/>
      <c r="AQ1" s="558"/>
    </row>
    <row r="2" spans="1:43" ht="10.5" customHeight="1" x14ac:dyDescent="0.25">
      <c r="B2" s="163"/>
      <c r="C2" s="163"/>
      <c r="D2" s="163"/>
      <c r="E2" s="163"/>
      <c r="F2" s="559"/>
      <c r="G2" s="559"/>
      <c r="H2" s="559"/>
      <c r="I2" s="559"/>
      <c r="J2" s="559"/>
      <c r="K2" s="163"/>
      <c r="L2" s="163"/>
      <c r="N2" s="164"/>
      <c r="O2" s="735"/>
      <c r="P2" s="736"/>
      <c r="Q2" s="622"/>
      <c r="R2" s="165"/>
      <c r="S2" s="845"/>
      <c r="T2" s="844"/>
      <c r="U2" s="797"/>
      <c r="V2" s="797"/>
      <c r="W2" s="797"/>
      <c r="X2" s="164"/>
      <c r="Y2" s="735"/>
      <c r="Z2" s="736"/>
      <c r="AA2" s="622"/>
      <c r="AB2" s="622"/>
      <c r="AC2" s="622"/>
      <c r="AD2" s="624"/>
      <c r="AE2" s="624"/>
      <c r="AF2" s="624"/>
      <c r="AG2" s="624"/>
      <c r="AH2" s="624"/>
      <c r="AI2" s="624"/>
      <c r="AJ2" s="624"/>
      <c r="AK2" s="624"/>
      <c r="AL2" s="624"/>
      <c r="AM2" s="846"/>
      <c r="AN2" s="797"/>
      <c r="AO2" s="797"/>
      <c r="AP2" s="797"/>
      <c r="AQ2" s="797"/>
    </row>
    <row r="3" spans="1:43" ht="24.75" customHeight="1" x14ac:dyDescent="0.25">
      <c r="A3" s="821" t="s">
        <v>2</v>
      </c>
      <c r="B3" s="821" t="s">
        <v>134</v>
      </c>
      <c r="C3" s="847" t="s">
        <v>4</v>
      </c>
      <c r="D3" s="848" t="s">
        <v>135</v>
      </c>
      <c r="E3" s="808"/>
      <c r="F3" s="808"/>
      <c r="G3" s="808"/>
      <c r="H3" s="808"/>
      <c r="I3" s="808"/>
      <c r="J3" s="808"/>
      <c r="K3" s="808"/>
      <c r="L3" s="808"/>
      <c r="M3" s="808"/>
      <c r="N3" s="849" t="s">
        <v>136</v>
      </c>
      <c r="O3" s="808"/>
      <c r="P3" s="808"/>
      <c r="Q3" s="808"/>
      <c r="R3" s="808"/>
      <c r="S3" s="808"/>
      <c r="T3" s="808"/>
      <c r="U3" s="808"/>
      <c r="V3" s="808"/>
      <c r="W3" s="820"/>
      <c r="X3" s="849" t="s">
        <v>137</v>
      </c>
      <c r="Y3" s="808"/>
      <c r="Z3" s="808"/>
      <c r="AA3" s="808"/>
      <c r="AB3" s="808"/>
      <c r="AC3" s="808"/>
      <c r="AD3" s="808"/>
      <c r="AE3" s="808"/>
      <c r="AF3" s="808"/>
      <c r="AG3" s="820"/>
      <c r="AH3" s="850" t="s">
        <v>138</v>
      </c>
      <c r="AI3" s="833"/>
      <c r="AJ3" s="833"/>
      <c r="AK3" s="833"/>
      <c r="AL3" s="833"/>
      <c r="AM3" s="833"/>
      <c r="AN3" s="833"/>
      <c r="AO3" s="833"/>
      <c r="AP3" s="833"/>
      <c r="AQ3" s="834"/>
    </row>
    <row r="4" spans="1:43" ht="12.75" customHeight="1" x14ac:dyDescent="0.25">
      <c r="A4" s="804"/>
      <c r="B4" s="804"/>
      <c r="C4" s="804"/>
      <c r="D4" s="821" t="s">
        <v>8</v>
      </c>
      <c r="E4" s="851" t="s">
        <v>139</v>
      </c>
      <c r="F4" s="851" t="s">
        <v>10</v>
      </c>
      <c r="G4" s="808"/>
      <c r="H4" s="808"/>
      <c r="I4" s="808"/>
      <c r="J4" s="808"/>
      <c r="K4" s="808"/>
      <c r="L4" s="808"/>
      <c r="M4" s="820"/>
      <c r="N4" s="849" t="s">
        <v>8</v>
      </c>
      <c r="O4" s="852" t="s">
        <v>139</v>
      </c>
      <c r="P4" s="852" t="s">
        <v>10</v>
      </c>
      <c r="Q4" s="808"/>
      <c r="R4" s="808"/>
      <c r="S4" s="808"/>
      <c r="T4" s="808"/>
      <c r="U4" s="808"/>
      <c r="V4" s="808"/>
      <c r="W4" s="820"/>
      <c r="X4" s="849" t="s">
        <v>8</v>
      </c>
      <c r="Y4" s="852" t="s">
        <v>139</v>
      </c>
      <c r="Z4" s="852" t="s">
        <v>10</v>
      </c>
      <c r="AA4" s="808"/>
      <c r="AB4" s="808"/>
      <c r="AC4" s="808"/>
      <c r="AD4" s="808"/>
      <c r="AE4" s="808"/>
      <c r="AF4" s="808"/>
      <c r="AG4" s="820"/>
      <c r="AH4" s="849" t="s">
        <v>8</v>
      </c>
      <c r="AI4" s="852" t="s">
        <v>139</v>
      </c>
      <c r="AJ4" s="852" t="s">
        <v>10</v>
      </c>
      <c r="AK4" s="808"/>
      <c r="AL4" s="808"/>
      <c r="AM4" s="808"/>
      <c r="AN4" s="808"/>
      <c r="AO4" s="808"/>
      <c r="AP4" s="808"/>
      <c r="AQ4" s="820"/>
    </row>
    <row r="5" spans="1:43" ht="12.75" customHeight="1" x14ac:dyDescent="0.25">
      <c r="A5" s="804"/>
      <c r="B5" s="804"/>
      <c r="C5" s="804"/>
      <c r="D5" s="804"/>
      <c r="E5" s="804"/>
      <c r="F5" s="853" t="s">
        <v>11</v>
      </c>
      <c r="G5" s="560" t="s">
        <v>12</v>
      </c>
      <c r="H5" s="821" t="s">
        <v>13</v>
      </c>
      <c r="I5" s="808"/>
      <c r="J5" s="808"/>
      <c r="K5" s="820"/>
      <c r="L5" s="854" t="s">
        <v>14</v>
      </c>
      <c r="M5" s="854" t="s">
        <v>15</v>
      </c>
      <c r="N5" s="804"/>
      <c r="O5" s="804"/>
      <c r="P5" s="855" t="s">
        <v>11</v>
      </c>
      <c r="Q5" s="855" t="s">
        <v>12</v>
      </c>
      <c r="R5" s="849" t="s">
        <v>13</v>
      </c>
      <c r="S5" s="808"/>
      <c r="T5" s="808"/>
      <c r="U5" s="820"/>
      <c r="V5" s="815" t="s">
        <v>14</v>
      </c>
      <c r="W5" s="815" t="s">
        <v>15</v>
      </c>
      <c r="X5" s="804"/>
      <c r="Y5" s="804"/>
      <c r="Z5" s="855" t="s">
        <v>11</v>
      </c>
      <c r="AA5" s="855" t="s">
        <v>12</v>
      </c>
      <c r="AB5" s="849" t="s">
        <v>13</v>
      </c>
      <c r="AC5" s="808"/>
      <c r="AD5" s="808"/>
      <c r="AE5" s="820"/>
      <c r="AF5" s="815" t="s">
        <v>14</v>
      </c>
      <c r="AG5" s="815" t="s">
        <v>15</v>
      </c>
      <c r="AH5" s="804"/>
      <c r="AI5" s="804"/>
      <c r="AJ5" s="855" t="s">
        <v>11</v>
      </c>
      <c r="AK5" s="855" t="s">
        <v>12</v>
      </c>
      <c r="AL5" s="849" t="s">
        <v>13</v>
      </c>
      <c r="AM5" s="808"/>
      <c r="AN5" s="808"/>
      <c r="AO5" s="820"/>
      <c r="AP5" s="815" t="s">
        <v>14</v>
      </c>
      <c r="AQ5" s="815" t="s">
        <v>15</v>
      </c>
    </row>
    <row r="6" spans="1:43" ht="18.75" customHeight="1" x14ac:dyDescent="0.25">
      <c r="A6" s="804"/>
      <c r="B6" s="804"/>
      <c r="C6" s="804"/>
      <c r="D6" s="804"/>
      <c r="E6" s="804"/>
      <c r="F6" s="804"/>
      <c r="G6" s="562"/>
      <c r="H6" s="853" t="s">
        <v>16</v>
      </c>
      <c r="I6" s="820"/>
      <c r="J6" s="857" t="s">
        <v>17</v>
      </c>
      <c r="K6" s="834"/>
      <c r="L6" s="804"/>
      <c r="M6" s="804"/>
      <c r="N6" s="804"/>
      <c r="O6" s="804"/>
      <c r="P6" s="804"/>
      <c r="Q6" s="804"/>
      <c r="R6" s="849" t="s">
        <v>16</v>
      </c>
      <c r="S6" s="820"/>
      <c r="T6" s="856" t="s">
        <v>17</v>
      </c>
      <c r="U6" s="834"/>
      <c r="V6" s="804"/>
      <c r="W6" s="804"/>
      <c r="X6" s="804"/>
      <c r="Y6" s="804"/>
      <c r="Z6" s="804"/>
      <c r="AA6" s="804"/>
      <c r="AB6" s="849" t="s">
        <v>16</v>
      </c>
      <c r="AC6" s="820"/>
      <c r="AD6" s="856" t="s">
        <v>17</v>
      </c>
      <c r="AE6" s="834"/>
      <c r="AF6" s="804"/>
      <c r="AG6" s="804"/>
      <c r="AH6" s="804"/>
      <c r="AI6" s="804"/>
      <c r="AJ6" s="804"/>
      <c r="AK6" s="804"/>
      <c r="AL6" s="855" t="s">
        <v>16</v>
      </c>
      <c r="AM6" s="820"/>
      <c r="AN6" s="856" t="s">
        <v>17</v>
      </c>
      <c r="AO6" s="834"/>
      <c r="AP6" s="804"/>
      <c r="AQ6" s="804"/>
    </row>
    <row r="7" spans="1:43" ht="35.25" customHeight="1" x14ac:dyDescent="0.25">
      <c r="A7" s="805"/>
      <c r="B7" s="805"/>
      <c r="C7" s="805"/>
      <c r="D7" s="805"/>
      <c r="E7" s="805"/>
      <c r="F7" s="805"/>
      <c r="G7" s="564"/>
      <c r="H7" s="565" t="s">
        <v>18</v>
      </c>
      <c r="I7" s="566" t="s">
        <v>140</v>
      </c>
      <c r="J7" s="565" t="s">
        <v>141</v>
      </c>
      <c r="K7" s="166" t="s">
        <v>142</v>
      </c>
      <c r="L7" s="805"/>
      <c r="M7" s="805"/>
      <c r="N7" s="805"/>
      <c r="O7" s="805"/>
      <c r="P7" s="805"/>
      <c r="Q7" s="805"/>
      <c r="R7" s="166" t="s">
        <v>18</v>
      </c>
      <c r="S7" s="591" t="s">
        <v>140</v>
      </c>
      <c r="T7" s="593" t="s">
        <v>141</v>
      </c>
      <c r="U7" s="166" t="s">
        <v>142</v>
      </c>
      <c r="V7" s="805"/>
      <c r="W7" s="805"/>
      <c r="X7" s="805"/>
      <c r="Y7" s="805"/>
      <c r="Z7" s="805"/>
      <c r="AA7" s="805"/>
      <c r="AB7" s="166" t="s">
        <v>18</v>
      </c>
      <c r="AC7" s="591" t="s">
        <v>140</v>
      </c>
      <c r="AD7" s="593" t="s">
        <v>141</v>
      </c>
      <c r="AE7" s="166" t="s">
        <v>142</v>
      </c>
      <c r="AF7" s="805"/>
      <c r="AG7" s="805"/>
      <c r="AH7" s="805"/>
      <c r="AI7" s="805"/>
      <c r="AJ7" s="805"/>
      <c r="AK7" s="805"/>
      <c r="AL7" s="596" t="s">
        <v>18</v>
      </c>
      <c r="AM7" s="591" t="s">
        <v>140</v>
      </c>
      <c r="AN7" s="167" t="s">
        <v>141</v>
      </c>
      <c r="AO7" s="166" t="s">
        <v>142</v>
      </c>
      <c r="AP7" s="805"/>
      <c r="AQ7" s="805"/>
    </row>
    <row r="8" spans="1:43" s="170" customFormat="1" x14ac:dyDescent="0.25">
      <c r="A8" s="168">
        <v>1</v>
      </c>
      <c r="B8" s="168">
        <v>2</v>
      </c>
      <c r="C8" s="737">
        <v>3</v>
      </c>
      <c r="D8" s="737">
        <v>4</v>
      </c>
      <c r="E8" s="737">
        <v>5</v>
      </c>
      <c r="F8" s="564">
        <v>6</v>
      </c>
      <c r="G8" s="567">
        <v>7</v>
      </c>
      <c r="H8" s="567">
        <v>8</v>
      </c>
      <c r="I8" s="567">
        <v>9</v>
      </c>
      <c r="J8" s="567">
        <v>10</v>
      </c>
      <c r="K8" s="168">
        <v>11</v>
      </c>
      <c r="L8" s="168">
        <v>12</v>
      </c>
      <c r="M8" s="168">
        <v>13</v>
      </c>
      <c r="N8" s="737">
        <v>14</v>
      </c>
      <c r="O8" s="737">
        <v>15</v>
      </c>
      <c r="P8" s="580">
        <v>16</v>
      </c>
      <c r="Q8" s="586">
        <v>17</v>
      </c>
      <c r="R8" s="168">
        <v>18</v>
      </c>
      <c r="S8" s="586">
        <v>19</v>
      </c>
      <c r="T8" s="586">
        <v>20</v>
      </c>
      <c r="U8" s="168">
        <v>21</v>
      </c>
      <c r="V8" s="168">
        <v>22</v>
      </c>
      <c r="W8" s="168">
        <v>23</v>
      </c>
      <c r="X8" s="740">
        <v>24</v>
      </c>
      <c r="Y8" s="740">
        <v>25</v>
      </c>
      <c r="Z8" s="594">
        <v>26</v>
      </c>
      <c r="AA8" s="594">
        <v>27</v>
      </c>
      <c r="AB8" s="740">
        <v>28</v>
      </c>
      <c r="AC8" s="594">
        <v>29</v>
      </c>
      <c r="AD8" s="594">
        <v>30</v>
      </c>
      <c r="AE8" s="740">
        <v>31</v>
      </c>
      <c r="AF8" s="740">
        <v>32</v>
      </c>
      <c r="AG8" s="740">
        <v>33</v>
      </c>
      <c r="AH8" s="169">
        <v>34</v>
      </c>
      <c r="AI8" s="169">
        <v>35</v>
      </c>
      <c r="AJ8" s="597">
        <v>36</v>
      </c>
      <c r="AK8" s="597">
        <v>37</v>
      </c>
      <c r="AL8" s="594">
        <v>38</v>
      </c>
      <c r="AM8" s="594">
        <v>39</v>
      </c>
      <c r="AN8" s="740">
        <v>40</v>
      </c>
      <c r="AO8" s="740">
        <v>41</v>
      </c>
      <c r="AP8" s="740">
        <v>42</v>
      </c>
      <c r="AQ8" s="740">
        <v>43</v>
      </c>
    </row>
    <row r="9" spans="1:43" ht="15.75" customHeight="1" x14ac:dyDescent="0.25">
      <c r="A9" s="859" t="s">
        <v>20</v>
      </c>
      <c r="B9" s="808"/>
      <c r="C9" s="820"/>
      <c r="D9" s="171"/>
      <c r="E9" s="171"/>
      <c r="F9" s="568"/>
      <c r="M9" s="172"/>
      <c r="N9" s="173"/>
      <c r="P9" s="581"/>
      <c r="Q9" s="581"/>
      <c r="U9" s="174"/>
      <c r="V9" s="174"/>
      <c r="W9" s="175"/>
      <c r="X9" s="174"/>
      <c r="AG9" s="176"/>
      <c r="AQ9" s="176"/>
    </row>
    <row r="10" spans="1:43" ht="13.5" customHeight="1" x14ac:dyDescent="0.25">
      <c r="A10" s="177"/>
      <c r="B10" s="178"/>
      <c r="C10" s="179" t="s">
        <v>21</v>
      </c>
      <c r="D10" s="179"/>
      <c r="E10" s="179"/>
      <c r="F10" s="570"/>
      <c r="G10" s="571"/>
      <c r="H10" s="571"/>
      <c r="I10" s="571"/>
      <c r="J10" s="571"/>
      <c r="K10" s="180"/>
      <c r="L10" s="181"/>
      <c r="M10" s="182"/>
      <c r="N10" s="57"/>
      <c r="O10" s="183"/>
      <c r="P10" s="582"/>
      <c r="Q10" s="587"/>
      <c r="R10" s="184"/>
      <c r="S10" s="587"/>
      <c r="T10" s="587"/>
      <c r="U10" s="184"/>
      <c r="V10" s="184"/>
      <c r="W10" s="183"/>
      <c r="X10" s="57"/>
      <c r="Y10" s="185"/>
      <c r="Z10" s="582"/>
      <c r="AA10" s="595"/>
      <c r="AB10" s="184"/>
      <c r="AC10" s="587"/>
      <c r="AD10" s="587"/>
      <c r="AE10" s="184"/>
      <c r="AF10" s="184"/>
      <c r="AG10" s="183"/>
      <c r="AH10" s="57"/>
      <c r="AI10" s="186"/>
      <c r="AJ10" s="582"/>
      <c r="AK10" s="595"/>
      <c r="AL10" s="587"/>
      <c r="AM10" s="587"/>
      <c r="AN10" s="184"/>
      <c r="AO10" s="184"/>
      <c r="AP10" s="184"/>
      <c r="AQ10" s="183"/>
    </row>
    <row r="11" spans="1:43" ht="17.25" customHeight="1" x14ac:dyDescent="0.25">
      <c r="A11" s="177"/>
      <c r="B11" s="187">
        <v>3111302</v>
      </c>
      <c r="C11" s="124" t="s">
        <v>22</v>
      </c>
      <c r="D11" s="188"/>
      <c r="E11" s="189" t="s">
        <v>143</v>
      </c>
      <c r="F11" s="570">
        <v>1.01</v>
      </c>
      <c r="G11" s="571">
        <v>1.01</v>
      </c>
      <c r="H11" s="572"/>
      <c r="I11" s="571">
        <v>0</v>
      </c>
      <c r="J11" s="571">
        <v>0</v>
      </c>
      <c r="K11" s="180"/>
      <c r="L11" s="181"/>
      <c r="M11" s="182"/>
      <c r="N11" s="92"/>
      <c r="O11" s="190" t="s">
        <v>143</v>
      </c>
      <c r="P11" s="582">
        <v>0.5</v>
      </c>
      <c r="Q11" s="587">
        <v>0.5</v>
      </c>
      <c r="R11" s="184"/>
      <c r="S11" s="587">
        <v>0</v>
      </c>
      <c r="T11" s="587">
        <v>0</v>
      </c>
      <c r="U11" s="184"/>
      <c r="V11" s="184"/>
      <c r="W11" s="183"/>
      <c r="X11" s="92"/>
      <c r="Y11" s="190" t="s">
        <v>143</v>
      </c>
      <c r="Z11" s="582">
        <v>2.0242</v>
      </c>
      <c r="AA11" s="587">
        <v>2.0242</v>
      </c>
      <c r="AB11" s="184"/>
      <c r="AC11" s="587">
        <v>0</v>
      </c>
      <c r="AD11" s="587">
        <v>0</v>
      </c>
      <c r="AE11" s="184"/>
      <c r="AF11" s="184"/>
      <c r="AG11" s="183"/>
      <c r="AH11" s="92"/>
      <c r="AI11" s="190" t="s">
        <v>143</v>
      </c>
      <c r="AJ11" s="582">
        <v>1.4658</v>
      </c>
      <c r="AK11" s="595">
        <v>1.4658</v>
      </c>
      <c r="AL11" s="587"/>
      <c r="AM11" s="587">
        <v>0</v>
      </c>
      <c r="AN11" s="184">
        <v>0</v>
      </c>
      <c r="AO11" s="184"/>
      <c r="AP11" s="184"/>
      <c r="AQ11" s="183"/>
    </row>
    <row r="12" spans="1:43" ht="17.25" customHeight="1" x14ac:dyDescent="0.25">
      <c r="A12" s="177"/>
      <c r="B12" s="187">
        <v>3111327</v>
      </c>
      <c r="C12" s="188" t="s">
        <v>24</v>
      </c>
      <c r="D12" s="188"/>
      <c r="E12" s="188"/>
      <c r="F12" s="570">
        <v>0</v>
      </c>
      <c r="G12" s="571">
        <v>0</v>
      </c>
      <c r="H12" s="572"/>
      <c r="I12" s="571">
        <v>0</v>
      </c>
      <c r="J12" s="571">
        <v>0</v>
      </c>
      <c r="K12" s="180"/>
      <c r="L12" s="181"/>
      <c r="M12" s="182"/>
      <c r="N12" s="92"/>
      <c r="O12" s="190" t="s">
        <v>143</v>
      </c>
      <c r="P12" s="582">
        <v>0</v>
      </c>
      <c r="Q12" s="587">
        <v>0</v>
      </c>
      <c r="R12" s="184"/>
      <c r="S12" s="587">
        <v>0</v>
      </c>
      <c r="T12" s="587">
        <v>0</v>
      </c>
      <c r="U12" s="184"/>
      <c r="V12" s="184"/>
      <c r="W12" s="183"/>
      <c r="X12" s="92"/>
      <c r="Y12" s="190" t="s">
        <v>143</v>
      </c>
      <c r="Z12" s="582">
        <v>6.3</v>
      </c>
      <c r="AA12" s="587">
        <v>6.3</v>
      </c>
      <c r="AB12" s="184"/>
      <c r="AC12" s="587">
        <v>0</v>
      </c>
      <c r="AD12" s="587">
        <v>0</v>
      </c>
      <c r="AE12" s="184"/>
      <c r="AF12" s="184"/>
      <c r="AG12" s="183"/>
      <c r="AH12" s="92"/>
      <c r="AI12" s="190" t="s">
        <v>143</v>
      </c>
      <c r="AJ12" s="582">
        <v>3.7</v>
      </c>
      <c r="AK12" s="595">
        <v>3.7</v>
      </c>
      <c r="AL12" s="587"/>
      <c r="AM12" s="587">
        <v>0</v>
      </c>
      <c r="AN12" s="184">
        <v>0</v>
      </c>
      <c r="AO12" s="184"/>
      <c r="AP12" s="184"/>
      <c r="AQ12" s="183"/>
    </row>
    <row r="13" spans="1:43" ht="17.25" customHeight="1" x14ac:dyDescent="0.25">
      <c r="A13" s="177"/>
      <c r="B13" s="187">
        <v>3111338</v>
      </c>
      <c r="C13" s="188" t="s">
        <v>25</v>
      </c>
      <c r="D13" s="188"/>
      <c r="E13" s="188"/>
      <c r="F13" s="570">
        <v>36.61</v>
      </c>
      <c r="G13" s="571">
        <v>36.61</v>
      </c>
      <c r="H13" s="572"/>
      <c r="I13" s="571">
        <v>0</v>
      </c>
      <c r="J13" s="571">
        <v>0</v>
      </c>
      <c r="K13" s="180"/>
      <c r="L13" s="181"/>
      <c r="M13" s="182"/>
      <c r="N13" s="92"/>
      <c r="O13" s="190" t="s">
        <v>143</v>
      </c>
      <c r="P13" s="582">
        <v>14</v>
      </c>
      <c r="Q13" s="587">
        <v>14</v>
      </c>
      <c r="R13" s="184"/>
      <c r="S13" s="587">
        <v>0</v>
      </c>
      <c r="T13" s="587">
        <v>0</v>
      </c>
      <c r="U13" s="184"/>
      <c r="V13" s="184"/>
      <c r="W13" s="183"/>
      <c r="X13" s="92"/>
      <c r="Y13" s="190" t="s">
        <v>143</v>
      </c>
      <c r="Z13" s="582">
        <v>53.634</v>
      </c>
      <c r="AA13" s="587">
        <v>53.634</v>
      </c>
      <c r="AB13" s="184"/>
      <c r="AC13" s="587">
        <v>0</v>
      </c>
      <c r="AD13" s="587">
        <v>0</v>
      </c>
      <c r="AE13" s="184"/>
      <c r="AF13" s="184"/>
      <c r="AG13" s="183"/>
      <c r="AH13" s="92"/>
      <c r="AI13" s="190" t="s">
        <v>143</v>
      </c>
      <c r="AJ13" s="582">
        <v>35.756</v>
      </c>
      <c r="AK13" s="595">
        <v>35.756</v>
      </c>
      <c r="AL13" s="587"/>
      <c r="AM13" s="587">
        <v>0</v>
      </c>
      <c r="AN13" s="184">
        <v>0</v>
      </c>
      <c r="AO13" s="184"/>
      <c r="AP13" s="184"/>
      <c r="AQ13" s="183"/>
    </row>
    <row r="14" spans="1:43" ht="17.25" customHeight="1" x14ac:dyDescent="0.25">
      <c r="A14" s="177"/>
      <c r="B14" s="178"/>
      <c r="C14" s="179" t="s">
        <v>144</v>
      </c>
      <c r="D14" s="179"/>
      <c r="E14" s="179"/>
      <c r="F14" s="570"/>
      <c r="G14" s="571"/>
      <c r="H14" s="571"/>
      <c r="I14" s="571"/>
      <c r="J14" s="571"/>
      <c r="K14" s="180"/>
      <c r="L14" s="181"/>
      <c r="M14" s="182"/>
      <c r="N14" s="57"/>
      <c r="O14" s="191"/>
      <c r="P14" s="582"/>
      <c r="Q14" s="587"/>
      <c r="R14" s="184"/>
      <c r="S14" s="587"/>
      <c r="T14" s="587"/>
      <c r="U14" s="184"/>
      <c r="V14" s="184"/>
      <c r="W14" s="183"/>
      <c r="X14" s="57"/>
      <c r="Y14" s="191"/>
      <c r="Z14" s="582"/>
      <c r="AA14" s="595"/>
      <c r="AB14" s="184"/>
      <c r="AC14" s="587"/>
      <c r="AD14" s="587"/>
      <c r="AE14" s="184"/>
      <c r="AF14" s="184"/>
      <c r="AG14" s="183"/>
      <c r="AH14" s="57"/>
      <c r="AI14" s="191"/>
      <c r="AJ14" s="582"/>
      <c r="AK14" s="595"/>
      <c r="AL14" s="587"/>
      <c r="AM14" s="587"/>
      <c r="AN14" s="184"/>
      <c r="AO14" s="184"/>
      <c r="AP14" s="184"/>
      <c r="AQ14" s="183"/>
    </row>
    <row r="15" spans="1:43" ht="18" customHeight="1" x14ac:dyDescent="0.25">
      <c r="A15" s="177"/>
      <c r="B15" s="187">
        <v>3241101</v>
      </c>
      <c r="C15" s="140" t="s">
        <v>27</v>
      </c>
      <c r="D15" s="188"/>
      <c r="E15" s="189" t="s">
        <v>143</v>
      </c>
      <c r="F15" s="570">
        <v>58.54</v>
      </c>
      <c r="G15" s="571">
        <v>58.54</v>
      </c>
      <c r="H15" s="572"/>
      <c r="I15" s="571">
        <v>0</v>
      </c>
      <c r="J15" s="571">
        <v>0</v>
      </c>
      <c r="K15" s="180"/>
      <c r="L15" s="181"/>
      <c r="M15" s="182"/>
      <c r="N15" s="92"/>
      <c r="O15" s="190" t="s">
        <v>143</v>
      </c>
      <c r="P15" s="582">
        <v>14.97</v>
      </c>
      <c r="Q15" s="587">
        <v>14.97</v>
      </c>
      <c r="R15" s="184"/>
      <c r="S15" s="587">
        <v>0</v>
      </c>
      <c r="T15" s="587">
        <v>0</v>
      </c>
      <c r="U15" s="184"/>
      <c r="V15" s="184"/>
      <c r="W15" s="183"/>
      <c r="X15" s="92"/>
      <c r="Y15" s="190" t="s">
        <v>143</v>
      </c>
      <c r="Z15" s="582">
        <v>28.817599999999999</v>
      </c>
      <c r="AA15" s="587">
        <v>28.817599999999999</v>
      </c>
      <c r="AB15" s="184"/>
      <c r="AC15" s="587">
        <v>0</v>
      </c>
      <c r="AD15" s="587">
        <v>0</v>
      </c>
      <c r="AE15" s="184"/>
      <c r="AF15" s="184"/>
      <c r="AG15" s="183"/>
      <c r="AH15" s="92"/>
      <c r="AI15" s="190" t="s">
        <v>143</v>
      </c>
      <c r="AJ15" s="582">
        <v>17.662400000000002</v>
      </c>
      <c r="AK15" s="595">
        <v>17.662400000000002</v>
      </c>
      <c r="AL15" s="587"/>
      <c r="AM15" s="587">
        <v>0</v>
      </c>
      <c r="AN15" s="184">
        <v>0</v>
      </c>
      <c r="AO15" s="184"/>
      <c r="AP15" s="184"/>
      <c r="AQ15" s="183"/>
    </row>
    <row r="16" spans="1:43" ht="16.5" customHeight="1" x14ac:dyDescent="0.25">
      <c r="A16" s="177"/>
      <c r="B16" s="187">
        <v>3211129</v>
      </c>
      <c r="C16" s="94" t="s">
        <v>28</v>
      </c>
      <c r="D16" s="188"/>
      <c r="E16" s="189" t="s">
        <v>143</v>
      </c>
      <c r="F16" s="570">
        <v>116.67</v>
      </c>
      <c r="G16" s="571">
        <v>116.67</v>
      </c>
      <c r="H16" s="572"/>
      <c r="I16" s="571">
        <v>0</v>
      </c>
      <c r="J16" s="571">
        <v>0</v>
      </c>
      <c r="K16" s="180"/>
      <c r="L16" s="181"/>
      <c r="M16" s="182"/>
      <c r="N16" s="92"/>
      <c r="O16" s="190" t="s">
        <v>143</v>
      </c>
      <c r="P16" s="582">
        <v>34.21</v>
      </c>
      <c r="Q16" s="587">
        <v>34.21</v>
      </c>
      <c r="R16" s="184"/>
      <c r="S16" s="587">
        <v>0</v>
      </c>
      <c r="T16" s="587">
        <v>0</v>
      </c>
      <c r="U16" s="184"/>
      <c r="V16" s="184"/>
      <c r="W16" s="183"/>
      <c r="X16" s="92"/>
      <c r="Y16" s="190" t="s">
        <v>143</v>
      </c>
      <c r="Z16" s="582">
        <v>58.354399999999977</v>
      </c>
      <c r="AA16" s="587">
        <v>58.354399999999977</v>
      </c>
      <c r="AB16" s="184"/>
      <c r="AC16" s="587">
        <v>0</v>
      </c>
      <c r="AD16" s="587">
        <v>0</v>
      </c>
      <c r="AE16" s="184"/>
      <c r="AF16" s="184"/>
      <c r="AG16" s="183"/>
      <c r="AH16" s="92"/>
      <c r="AI16" s="190" t="s">
        <v>143</v>
      </c>
      <c r="AJ16" s="582">
        <v>35.765599999999992</v>
      </c>
      <c r="AK16" s="595">
        <v>35.765599999999992</v>
      </c>
      <c r="AL16" s="587"/>
      <c r="AM16" s="587">
        <v>0</v>
      </c>
      <c r="AN16" s="184">
        <v>0</v>
      </c>
      <c r="AO16" s="184"/>
      <c r="AP16" s="184"/>
      <c r="AQ16" s="183"/>
    </row>
    <row r="17" spans="1:59" ht="30" customHeight="1" x14ac:dyDescent="0.25">
      <c r="A17" s="177"/>
      <c r="B17" s="187">
        <v>3821103</v>
      </c>
      <c r="C17" s="94" t="s">
        <v>29</v>
      </c>
      <c r="D17" s="188"/>
      <c r="E17" s="189" t="s">
        <v>143</v>
      </c>
      <c r="F17" s="570">
        <v>1603.18</v>
      </c>
      <c r="G17" s="571">
        <v>1603.18</v>
      </c>
      <c r="H17" s="572"/>
      <c r="I17" s="571">
        <v>0</v>
      </c>
      <c r="J17" s="571">
        <v>0</v>
      </c>
      <c r="K17" s="180"/>
      <c r="L17" s="181"/>
      <c r="M17" s="182"/>
      <c r="N17" s="92"/>
      <c r="O17" s="190" t="s">
        <v>143</v>
      </c>
      <c r="P17" s="582">
        <v>177.18</v>
      </c>
      <c r="Q17" s="587">
        <v>177.18</v>
      </c>
      <c r="R17" s="184"/>
      <c r="S17" s="587">
        <v>0</v>
      </c>
      <c r="T17" s="587">
        <v>0</v>
      </c>
      <c r="U17" s="184"/>
      <c r="V17" s="184"/>
      <c r="W17" s="183"/>
      <c r="X17" s="92"/>
      <c r="Y17" s="190" t="s">
        <v>143</v>
      </c>
      <c r="Z17" s="582">
        <v>634.52</v>
      </c>
      <c r="AA17" s="587">
        <v>634.52</v>
      </c>
      <c r="AB17" s="184"/>
      <c r="AC17" s="587">
        <v>0</v>
      </c>
      <c r="AD17" s="587">
        <v>0</v>
      </c>
      <c r="AE17" s="184"/>
      <c r="AF17" s="184"/>
      <c r="AG17" s="183"/>
      <c r="AH17" s="92"/>
      <c r="AI17" s="190" t="s">
        <v>143</v>
      </c>
      <c r="AJ17" s="582">
        <v>459.48</v>
      </c>
      <c r="AK17" s="595">
        <v>459.48</v>
      </c>
      <c r="AL17" s="587"/>
      <c r="AM17" s="587">
        <v>0</v>
      </c>
      <c r="AN17" s="184">
        <v>0</v>
      </c>
      <c r="AO17" s="184"/>
      <c r="AP17" s="184"/>
      <c r="AQ17" s="183"/>
    </row>
    <row r="18" spans="1:59" ht="16.5" customHeight="1" x14ac:dyDescent="0.25">
      <c r="A18" s="177"/>
      <c r="B18" s="187">
        <v>3211119</v>
      </c>
      <c r="C18" s="94" t="s">
        <v>30</v>
      </c>
      <c r="D18" s="188"/>
      <c r="E18" s="189" t="s">
        <v>143</v>
      </c>
      <c r="F18" s="570">
        <v>0.77</v>
      </c>
      <c r="G18" s="571">
        <v>0.77</v>
      </c>
      <c r="H18" s="572"/>
      <c r="I18" s="571">
        <v>0</v>
      </c>
      <c r="J18" s="571">
        <v>0</v>
      </c>
      <c r="K18" s="180"/>
      <c r="L18" s="181"/>
      <c r="M18" s="182"/>
      <c r="N18" s="92"/>
      <c r="O18" s="190" t="s">
        <v>143</v>
      </c>
      <c r="P18" s="582">
        <v>0.48</v>
      </c>
      <c r="Q18" s="587">
        <v>0.48</v>
      </c>
      <c r="R18" s="184"/>
      <c r="S18" s="587">
        <v>0</v>
      </c>
      <c r="T18" s="587">
        <v>0</v>
      </c>
      <c r="U18" s="184"/>
      <c r="V18" s="184"/>
      <c r="W18" s="183"/>
      <c r="X18" s="92"/>
      <c r="Y18" s="190" t="s">
        <v>143</v>
      </c>
      <c r="Z18" s="582">
        <v>2.1749999999999998</v>
      </c>
      <c r="AA18" s="587">
        <v>2.1749999999999998</v>
      </c>
      <c r="AB18" s="184"/>
      <c r="AC18" s="587">
        <v>0</v>
      </c>
      <c r="AD18" s="587">
        <v>0</v>
      </c>
      <c r="AE18" s="184"/>
      <c r="AF18" s="184"/>
      <c r="AG18" s="183"/>
      <c r="AH18" s="92"/>
      <c r="AI18" s="190" t="s">
        <v>143</v>
      </c>
      <c r="AJ18" s="582">
        <v>1.575</v>
      </c>
      <c r="AK18" s="595">
        <v>1.575</v>
      </c>
      <c r="AL18" s="587"/>
      <c r="AM18" s="587">
        <v>0</v>
      </c>
      <c r="AN18" s="184">
        <v>0</v>
      </c>
      <c r="AO18" s="184"/>
      <c r="AP18" s="184"/>
      <c r="AQ18" s="183"/>
    </row>
    <row r="19" spans="1:59" ht="16.5" customHeight="1" x14ac:dyDescent="0.25">
      <c r="A19" s="177"/>
      <c r="B19" s="187">
        <v>3211120</v>
      </c>
      <c r="C19" s="72" t="s">
        <v>31</v>
      </c>
      <c r="D19" s="188"/>
      <c r="E19" s="189" t="s">
        <v>143</v>
      </c>
      <c r="F19" s="570">
        <v>0.97</v>
      </c>
      <c r="G19" s="571">
        <v>0.97</v>
      </c>
      <c r="H19" s="572"/>
      <c r="I19" s="571">
        <v>0</v>
      </c>
      <c r="J19" s="571">
        <v>0</v>
      </c>
      <c r="K19" s="180"/>
      <c r="L19" s="181"/>
      <c r="M19" s="182"/>
      <c r="N19" s="92"/>
      <c r="O19" s="190" t="s">
        <v>143</v>
      </c>
      <c r="P19" s="582">
        <v>7.0000000000000007E-2</v>
      </c>
      <c r="Q19" s="587">
        <v>7.0000000000000007E-2</v>
      </c>
      <c r="R19" s="184"/>
      <c r="S19" s="587">
        <v>0</v>
      </c>
      <c r="T19" s="587">
        <v>0</v>
      </c>
      <c r="U19" s="184"/>
      <c r="V19" s="184"/>
      <c r="W19" s="183"/>
      <c r="X19" s="92"/>
      <c r="Y19" s="190" t="s">
        <v>143</v>
      </c>
      <c r="Z19" s="582">
        <v>2.4156</v>
      </c>
      <c r="AA19" s="587">
        <v>2.4156</v>
      </c>
      <c r="AB19" s="184"/>
      <c r="AC19" s="587">
        <v>0</v>
      </c>
      <c r="AD19" s="587">
        <v>0</v>
      </c>
      <c r="AE19" s="184"/>
      <c r="AF19" s="184"/>
      <c r="AG19" s="183"/>
      <c r="AH19" s="92"/>
      <c r="AI19" s="190" t="s">
        <v>143</v>
      </c>
      <c r="AJ19" s="582">
        <v>1.5444</v>
      </c>
      <c r="AK19" s="595">
        <v>1.5444</v>
      </c>
      <c r="AL19" s="587"/>
      <c r="AM19" s="587">
        <v>0</v>
      </c>
      <c r="AN19" s="184">
        <v>0</v>
      </c>
      <c r="AO19" s="184"/>
      <c r="AP19" s="184"/>
      <c r="AQ19" s="183"/>
    </row>
    <row r="20" spans="1:59" ht="16.5" customHeight="1" x14ac:dyDescent="0.25">
      <c r="A20" s="177"/>
      <c r="B20" s="187">
        <v>3211117</v>
      </c>
      <c r="C20" s="72" t="s">
        <v>32</v>
      </c>
      <c r="D20" s="188"/>
      <c r="E20" s="189" t="s">
        <v>143</v>
      </c>
      <c r="F20" s="570">
        <v>0.44</v>
      </c>
      <c r="G20" s="571">
        <v>0.44</v>
      </c>
      <c r="H20" s="572"/>
      <c r="I20" s="571">
        <v>0</v>
      </c>
      <c r="J20" s="571">
        <v>0</v>
      </c>
      <c r="K20" s="180"/>
      <c r="L20" s="181"/>
      <c r="M20" s="182"/>
      <c r="N20" s="92"/>
      <c r="O20" s="190" t="s">
        <v>143</v>
      </c>
      <c r="P20" s="582">
        <v>0.1</v>
      </c>
      <c r="Q20" s="587">
        <v>0.1</v>
      </c>
      <c r="R20" s="184"/>
      <c r="S20" s="587">
        <v>0</v>
      </c>
      <c r="T20" s="587">
        <v>0</v>
      </c>
      <c r="U20" s="184"/>
      <c r="V20" s="184"/>
      <c r="W20" s="183"/>
      <c r="X20" s="92"/>
      <c r="Y20" s="190" t="s">
        <v>143</v>
      </c>
      <c r="Z20" s="582">
        <v>2.4970400000000001</v>
      </c>
      <c r="AA20" s="587">
        <v>2.4970400000000001</v>
      </c>
      <c r="AB20" s="184"/>
      <c r="AC20" s="587">
        <v>0</v>
      </c>
      <c r="AD20" s="587">
        <v>0</v>
      </c>
      <c r="AE20" s="184"/>
      <c r="AF20" s="184"/>
      <c r="AG20" s="183"/>
      <c r="AH20" s="92"/>
      <c r="AI20" s="190" t="s">
        <v>143</v>
      </c>
      <c r="AJ20" s="582">
        <v>1.9619599999999999</v>
      </c>
      <c r="AK20" s="595">
        <v>1.9619599999999999</v>
      </c>
      <c r="AL20" s="587"/>
      <c r="AM20" s="587">
        <v>0</v>
      </c>
      <c r="AN20" s="184">
        <v>0</v>
      </c>
      <c r="AO20" s="184"/>
      <c r="AP20" s="184"/>
      <c r="AQ20" s="183"/>
    </row>
    <row r="21" spans="1:59" ht="16.5" customHeight="1" x14ac:dyDescent="0.25">
      <c r="A21" s="177"/>
      <c r="B21" s="192">
        <v>3221104</v>
      </c>
      <c r="C21" s="72" t="s">
        <v>33</v>
      </c>
      <c r="D21" s="188"/>
      <c r="E21" s="189" t="s">
        <v>143</v>
      </c>
      <c r="F21" s="570">
        <v>11.92</v>
      </c>
      <c r="G21" s="571">
        <v>11.92</v>
      </c>
      <c r="H21" s="572"/>
      <c r="I21" s="571">
        <v>0</v>
      </c>
      <c r="J21" s="571">
        <v>0</v>
      </c>
      <c r="K21" s="180"/>
      <c r="L21" s="181"/>
      <c r="M21" s="182"/>
      <c r="N21" s="92"/>
      <c r="O21" s="190"/>
      <c r="P21" s="582">
        <v>0.17</v>
      </c>
      <c r="Q21" s="587">
        <v>0.17</v>
      </c>
      <c r="R21" s="184"/>
      <c r="S21" s="587">
        <v>0</v>
      </c>
      <c r="T21" s="587">
        <v>0</v>
      </c>
      <c r="U21" s="184"/>
      <c r="V21" s="184"/>
      <c r="W21" s="183"/>
      <c r="X21" s="92"/>
      <c r="Y21" s="190"/>
      <c r="Z21" s="582">
        <v>4.983299999999999</v>
      </c>
      <c r="AA21" s="595">
        <v>4.983299999999999</v>
      </c>
      <c r="AB21" s="184"/>
      <c r="AC21" s="587">
        <v>0</v>
      </c>
      <c r="AD21" s="587">
        <v>0</v>
      </c>
      <c r="AE21" s="184"/>
      <c r="AF21" s="184"/>
      <c r="AG21" s="183"/>
      <c r="AH21" s="92"/>
      <c r="AI21" s="190"/>
      <c r="AJ21" s="582">
        <v>2.926699999999999</v>
      </c>
      <c r="AK21" s="595">
        <v>2.926699999999999</v>
      </c>
      <c r="AL21" s="587"/>
      <c r="AM21" s="587">
        <v>0</v>
      </c>
      <c r="AN21" s="184">
        <v>0</v>
      </c>
      <c r="AO21" s="184"/>
      <c r="AP21" s="184"/>
      <c r="AQ21" s="183"/>
    </row>
    <row r="22" spans="1:59" ht="16.5" customHeight="1" x14ac:dyDescent="0.25">
      <c r="A22" s="177"/>
      <c r="B22" s="187">
        <v>3211115</v>
      </c>
      <c r="C22" s="72" t="s">
        <v>34</v>
      </c>
      <c r="D22" s="188"/>
      <c r="E22" s="189" t="s">
        <v>143</v>
      </c>
      <c r="F22" s="570">
        <v>1.1100000000000001</v>
      </c>
      <c r="G22" s="571">
        <v>1.1100000000000001</v>
      </c>
      <c r="H22" s="572"/>
      <c r="I22" s="571">
        <v>0</v>
      </c>
      <c r="J22" s="571">
        <v>0</v>
      </c>
      <c r="K22" s="180"/>
      <c r="L22" s="181"/>
      <c r="M22" s="182"/>
      <c r="N22" s="92"/>
      <c r="O22" s="190" t="s">
        <v>143</v>
      </c>
      <c r="P22" s="582">
        <v>0.55000000000000004</v>
      </c>
      <c r="Q22" s="587">
        <v>0.55000000000000004</v>
      </c>
      <c r="R22" s="184"/>
      <c r="S22" s="587">
        <v>0</v>
      </c>
      <c r="T22" s="587">
        <v>0</v>
      </c>
      <c r="U22" s="184"/>
      <c r="V22" s="184"/>
      <c r="W22" s="183"/>
      <c r="X22" s="92"/>
      <c r="Y22" s="190" t="s">
        <v>143</v>
      </c>
      <c r="Z22" s="582">
        <v>2.0312999999999999</v>
      </c>
      <c r="AA22" s="595">
        <v>2.0312999999999999</v>
      </c>
      <c r="AB22" s="184"/>
      <c r="AC22" s="587">
        <v>0</v>
      </c>
      <c r="AD22" s="587">
        <v>0</v>
      </c>
      <c r="AE22" s="184"/>
      <c r="AF22" s="184"/>
      <c r="AG22" s="183"/>
      <c r="AH22" s="92"/>
      <c r="AI22" s="190" t="s">
        <v>143</v>
      </c>
      <c r="AJ22" s="582">
        <v>1.2987</v>
      </c>
      <c r="AK22" s="595">
        <v>1.2987</v>
      </c>
      <c r="AL22" s="587"/>
      <c r="AM22" s="587">
        <v>0</v>
      </c>
      <c r="AN22" s="184">
        <v>0</v>
      </c>
      <c r="AO22" s="184"/>
      <c r="AP22" s="184"/>
      <c r="AQ22" s="183"/>
      <c r="AR22" s="193"/>
      <c r="AS22" s="194"/>
      <c r="AT22" s="194"/>
      <c r="AU22" s="194"/>
      <c r="AV22" s="194"/>
      <c r="AW22" s="193"/>
      <c r="AX22" s="194"/>
      <c r="AY22" s="194"/>
      <c r="AZ22" s="194"/>
      <c r="BA22" s="194"/>
      <c r="BB22" s="193"/>
      <c r="BC22" s="194"/>
      <c r="BD22" s="194"/>
      <c r="BE22" s="194"/>
      <c r="BF22" s="194"/>
      <c r="BG22" s="193"/>
    </row>
    <row r="23" spans="1:59" ht="18" customHeight="1" x14ac:dyDescent="0.25">
      <c r="A23" s="177"/>
      <c r="B23" s="187">
        <v>3211113</v>
      </c>
      <c r="C23" s="72" t="s">
        <v>35</v>
      </c>
      <c r="D23" s="188"/>
      <c r="E23" s="189" t="s">
        <v>143</v>
      </c>
      <c r="F23" s="570">
        <v>8.74</v>
      </c>
      <c r="G23" s="571">
        <v>8.74</v>
      </c>
      <c r="H23" s="572"/>
      <c r="I23" s="571">
        <v>0</v>
      </c>
      <c r="J23" s="571">
        <v>0</v>
      </c>
      <c r="K23" s="180"/>
      <c r="L23" s="181"/>
      <c r="M23" s="182"/>
      <c r="N23" s="92"/>
      <c r="O23" s="190" t="s">
        <v>143</v>
      </c>
      <c r="P23" s="582">
        <v>2.89</v>
      </c>
      <c r="Q23" s="587">
        <v>2.89</v>
      </c>
      <c r="R23" s="184"/>
      <c r="S23" s="587">
        <v>0</v>
      </c>
      <c r="T23" s="587">
        <v>0</v>
      </c>
      <c r="U23" s="184"/>
      <c r="V23" s="184"/>
      <c r="W23" s="183"/>
      <c r="X23" s="92"/>
      <c r="Y23" s="190" t="s">
        <v>143</v>
      </c>
      <c r="Z23" s="582">
        <v>4.6090000000000009</v>
      </c>
      <c r="AA23" s="587">
        <v>4.6090000000000009</v>
      </c>
      <c r="AB23" s="184"/>
      <c r="AC23" s="587">
        <v>0</v>
      </c>
      <c r="AD23" s="587">
        <v>0</v>
      </c>
      <c r="AE23" s="184"/>
      <c r="AF23" s="184"/>
      <c r="AG23" s="183"/>
      <c r="AH23" s="92"/>
      <c r="AI23" s="190" t="s">
        <v>143</v>
      </c>
      <c r="AJ23" s="582">
        <v>3.7709999999999999</v>
      </c>
      <c r="AK23" s="595">
        <v>3.7709999999999999</v>
      </c>
      <c r="AL23" s="587"/>
      <c r="AM23" s="587">
        <v>0</v>
      </c>
      <c r="AN23" s="184">
        <v>0</v>
      </c>
      <c r="AO23" s="184"/>
      <c r="AP23" s="184"/>
      <c r="AQ23" s="183"/>
    </row>
    <row r="24" spans="1:59" ht="15.75" customHeight="1" x14ac:dyDescent="0.25">
      <c r="A24" s="177"/>
      <c r="B24" s="187">
        <v>3243102</v>
      </c>
      <c r="C24" s="124" t="s">
        <v>36</v>
      </c>
      <c r="D24" s="188"/>
      <c r="E24" s="189" t="s">
        <v>143</v>
      </c>
      <c r="F24" s="570">
        <v>17.52</v>
      </c>
      <c r="G24" s="571">
        <v>17.52</v>
      </c>
      <c r="H24" s="572"/>
      <c r="I24" s="571">
        <v>0</v>
      </c>
      <c r="J24" s="571">
        <v>0</v>
      </c>
      <c r="K24" s="180"/>
      <c r="L24" s="181"/>
      <c r="M24" s="182"/>
      <c r="N24" s="92"/>
      <c r="O24" s="190" t="s">
        <v>143</v>
      </c>
      <c r="P24" s="582">
        <v>4.0199999999999996</v>
      </c>
      <c r="Q24" s="587">
        <v>4.0199999999999996</v>
      </c>
      <c r="R24" s="184"/>
      <c r="S24" s="587">
        <v>0</v>
      </c>
      <c r="T24" s="587">
        <v>0</v>
      </c>
      <c r="U24" s="184"/>
      <c r="V24" s="184"/>
      <c r="W24" s="183"/>
      <c r="X24" s="92"/>
      <c r="Y24" s="190" t="s">
        <v>143</v>
      </c>
      <c r="Z24" s="582">
        <v>11.2545</v>
      </c>
      <c r="AA24" s="595">
        <v>11.2545</v>
      </c>
      <c r="AB24" s="184"/>
      <c r="AC24" s="587">
        <v>0</v>
      </c>
      <c r="AD24" s="587">
        <v>0</v>
      </c>
      <c r="AE24" s="184"/>
      <c r="AF24" s="184"/>
      <c r="AG24" s="183"/>
      <c r="AH24" s="92"/>
      <c r="AI24" s="190" t="s">
        <v>143</v>
      </c>
      <c r="AJ24" s="582">
        <v>7.1955</v>
      </c>
      <c r="AK24" s="595">
        <v>7.1955</v>
      </c>
      <c r="AL24" s="587"/>
      <c r="AM24" s="587">
        <v>0</v>
      </c>
      <c r="AN24" s="184">
        <v>0</v>
      </c>
      <c r="AO24" s="184"/>
      <c r="AP24" s="184"/>
      <c r="AQ24" s="183"/>
    </row>
    <row r="25" spans="1:59" ht="15.75" customHeight="1" x14ac:dyDescent="0.25">
      <c r="A25" s="177"/>
      <c r="B25" s="187">
        <v>3243101</v>
      </c>
      <c r="C25" s="124" t="s">
        <v>37</v>
      </c>
      <c r="D25" s="188"/>
      <c r="E25" s="189" t="s">
        <v>143</v>
      </c>
      <c r="F25" s="570">
        <v>64.59</v>
      </c>
      <c r="G25" s="571">
        <v>64.59</v>
      </c>
      <c r="H25" s="572"/>
      <c r="I25" s="571">
        <v>0</v>
      </c>
      <c r="J25" s="571">
        <v>0</v>
      </c>
      <c r="K25" s="180"/>
      <c r="L25" s="181"/>
      <c r="M25" s="182"/>
      <c r="N25" s="92"/>
      <c r="O25" s="190" t="s">
        <v>143</v>
      </c>
      <c r="P25" s="582">
        <v>24.18</v>
      </c>
      <c r="Q25" s="587">
        <v>24.18</v>
      </c>
      <c r="R25" s="184"/>
      <c r="S25" s="587">
        <v>0</v>
      </c>
      <c r="T25" s="587">
        <v>0</v>
      </c>
      <c r="U25" s="184"/>
      <c r="V25" s="184"/>
      <c r="W25" s="183"/>
      <c r="X25" s="92"/>
      <c r="Y25" s="190" t="s">
        <v>143</v>
      </c>
      <c r="Z25" s="582">
        <v>46.306800000000003</v>
      </c>
      <c r="AA25" s="595">
        <v>46.306800000000003</v>
      </c>
      <c r="AB25" s="184"/>
      <c r="AC25" s="587">
        <v>0</v>
      </c>
      <c r="AD25" s="587">
        <v>0</v>
      </c>
      <c r="AE25" s="184"/>
      <c r="AF25" s="184"/>
      <c r="AG25" s="183"/>
      <c r="AH25" s="92"/>
      <c r="AI25" s="190" t="s">
        <v>143</v>
      </c>
      <c r="AJ25" s="582">
        <v>34.933200000000006</v>
      </c>
      <c r="AK25" s="595">
        <v>34.933200000000006</v>
      </c>
      <c r="AL25" s="587"/>
      <c r="AM25" s="587">
        <v>0</v>
      </c>
      <c r="AN25" s="184">
        <v>0</v>
      </c>
      <c r="AO25" s="184"/>
      <c r="AP25" s="184"/>
      <c r="AQ25" s="183"/>
    </row>
    <row r="26" spans="1:59" ht="15.75" customHeight="1" x14ac:dyDescent="0.25">
      <c r="A26" s="177"/>
      <c r="B26" s="187">
        <v>3221108</v>
      </c>
      <c r="C26" s="124" t="s">
        <v>38</v>
      </c>
      <c r="D26" s="188"/>
      <c r="E26" s="189" t="s">
        <v>143</v>
      </c>
      <c r="F26" s="570">
        <v>1.1599999999999999</v>
      </c>
      <c r="G26" s="571">
        <v>1.1599999999999999</v>
      </c>
      <c r="H26" s="572"/>
      <c r="I26" s="571">
        <v>0</v>
      </c>
      <c r="J26" s="571">
        <v>0</v>
      </c>
      <c r="K26" s="180"/>
      <c r="L26" s="181"/>
      <c r="M26" s="182"/>
      <c r="N26" s="92"/>
      <c r="O26" s="190" t="s">
        <v>143</v>
      </c>
      <c r="P26" s="582">
        <v>0.91</v>
      </c>
      <c r="Q26" s="587">
        <v>0.91</v>
      </c>
      <c r="R26" s="184"/>
      <c r="S26" s="587">
        <v>0</v>
      </c>
      <c r="T26" s="587">
        <v>0</v>
      </c>
      <c r="U26" s="184"/>
      <c r="V26" s="184"/>
      <c r="W26" s="183"/>
      <c r="X26" s="92"/>
      <c r="Y26" s="190" t="s">
        <v>143</v>
      </c>
      <c r="Z26" s="582">
        <v>0.51205000000000012</v>
      </c>
      <c r="AA26" s="595">
        <v>0.51205000000000012</v>
      </c>
      <c r="AB26" s="184"/>
      <c r="AC26" s="587">
        <v>0</v>
      </c>
      <c r="AD26" s="587">
        <v>0</v>
      </c>
      <c r="AE26" s="184"/>
      <c r="AF26" s="184"/>
      <c r="AG26" s="183"/>
      <c r="AH26" s="92"/>
      <c r="AI26" s="190"/>
      <c r="AJ26" s="582">
        <v>0.41894999999999999</v>
      </c>
      <c r="AK26" s="595">
        <v>0.41894999999999999</v>
      </c>
      <c r="AL26" s="587"/>
      <c r="AM26" s="587">
        <v>0</v>
      </c>
      <c r="AN26" s="184">
        <v>0</v>
      </c>
      <c r="AO26" s="184"/>
      <c r="AP26" s="184"/>
      <c r="AQ26" s="183"/>
    </row>
    <row r="27" spans="1:59" ht="15.75" customHeight="1" x14ac:dyDescent="0.25">
      <c r="A27" s="177"/>
      <c r="B27" s="187">
        <v>3255102</v>
      </c>
      <c r="C27" s="124" t="s">
        <v>39</v>
      </c>
      <c r="D27" s="188"/>
      <c r="E27" s="189" t="s">
        <v>143</v>
      </c>
      <c r="F27" s="570">
        <v>34.159999999999997</v>
      </c>
      <c r="G27" s="571">
        <v>34.159999999999997</v>
      </c>
      <c r="H27" s="572"/>
      <c r="I27" s="571">
        <v>0</v>
      </c>
      <c r="J27" s="571">
        <v>0</v>
      </c>
      <c r="K27" s="180"/>
      <c r="L27" s="181"/>
      <c r="M27" s="182"/>
      <c r="N27" s="92"/>
      <c r="O27" s="190" t="s">
        <v>143</v>
      </c>
      <c r="P27" s="582">
        <v>0.5</v>
      </c>
      <c r="Q27" s="587">
        <v>0.5</v>
      </c>
      <c r="R27" s="184"/>
      <c r="S27" s="587">
        <v>0</v>
      </c>
      <c r="T27" s="587">
        <v>0</v>
      </c>
      <c r="U27" s="184"/>
      <c r="V27" s="184"/>
      <c r="W27" s="183"/>
      <c r="X27" s="92"/>
      <c r="Y27" s="190" t="s">
        <v>143</v>
      </c>
      <c r="Z27" s="582">
        <v>9.3549600000000037</v>
      </c>
      <c r="AA27" s="595">
        <v>9.3549600000000037</v>
      </c>
      <c r="AB27" s="184"/>
      <c r="AC27" s="587">
        <v>0</v>
      </c>
      <c r="AD27" s="587">
        <v>0</v>
      </c>
      <c r="AE27" s="184"/>
      <c r="AF27" s="184"/>
      <c r="AG27" s="183"/>
      <c r="AH27" s="92"/>
      <c r="AI27" s="190" t="s">
        <v>143</v>
      </c>
      <c r="AJ27" s="582">
        <v>5.9810400000000028</v>
      </c>
      <c r="AK27" s="595">
        <v>5.9810400000000028</v>
      </c>
      <c r="AL27" s="587"/>
      <c r="AM27" s="587">
        <v>0</v>
      </c>
      <c r="AN27" s="184">
        <v>0</v>
      </c>
      <c r="AO27" s="184"/>
      <c r="AP27" s="184"/>
      <c r="AQ27" s="183"/>
    </row>
    <row r="28" spans="1:59" ht="18.75" customHeight="1" x14ac:dyDescent="0.25">
      <c r="A28" s="177"/>
      <c r="B28" s="187">
        <v>3255104</v>
      </c>
      <c r="C28" s="124" t="s">
        <v>40</v>
      </c>
      <c r="D28" s="188"/>
      <c r="E28" s="189" t="s">
        <v>143</v>
      </c>
      <c r="F28" s="570">
        <v>49.91</v>
      </c>
      <c r="G28" s="571">
        <v>49.91</v>
      </c>
      <c r="H28" s="572"/>
      <c r="I28" s="571">
        <v>0</v>
      </c>
      <c r="J28" s="571">
        <v>0</v>
      </c>
      <c r="K28" s="180"/>
      <c r="L28" s="181"/>
      <c r="M28" s="182"/>
      <c r="N28" s="92"/>
      <c r="O28" s="190" t="s">
        <v>143</v>
      </c>
      <c r="P28" s="582">
        <v>19.95</v>
      </c>
      <c r="Q28" s="587">
        <v>19.95</v>
      </c>
      <c r="R28" s="184"/>
      <c r="S28" s="587">
        <v>0</v>
      </c>
      <c r="T28" s="587">
        <v>0</v>
      </c>
      <c r="U28" s="184"/>
      <c r="V28" s="184"/>
      <c r="W28" s="183"/>
      <c r="X28" s="92"/>
      <c r="Y28" s="190" t="s">
        <v>143</v>
      </c>
      <c r="Z28" s="582">
        <v>31.586939999999998</v>
      </c>
      <c r="AA28" s="595">
        <v>31.586939999999998</v>
      </c>
      <c r="AB28" s="184"/>
      <c r="AC28" s="587">
        <v>0</v>
      </c>
      <c r="AD28" s="587">
        <v>0</v>
      </c>
      <c r="AE28" s="184"/>
      <c r="AF28" s="184"/>
      <c r="AG28" s="183"/>
      <c r="AH28" s="92"/>
      <c r="AI28" s="190" t="s">
        <v>143</v>
      </c>
      <c r="AJ28" s="582">
        <v>18.55106</v>
      </c>
      <c r="AK28" s="595">
        <v>18.55106</v>
      </c>
      <c r="AL28" s="587"/>
      <c r="AM28" s="587">
        <v>0</v>
      </c>
      <c r="AN28" s="184">
        <v>0</v>
      </c>
      <c r="AO28" s="184"/>
      <c r="AP28" s="184"/>
      <c r="AQ28" s="183"/>
    </row>
    <row r="29" spans="1:59" ht="15.75" customHeight="1" x14ac:dyDescent="0.25">
      <c r="A29" s="177"/>
      <c r="B29" s="187">
        <v>3211127</v>
      </c>
      <c r="C29" s="124" t="s">
        <v>41</v>
      </c>
      <c r="D29" s="188"/>
      <c r="E29" s="189" t="s">
        <v>143</v>
      </c>
      <c r="F29" s="570">
        <v>0.28000000000000003</v>
      </c>
      <c r="G29" s="571">
        <v>0.28000000000000003</v>
      </c>
      <c r="H29" s="572"/>
      <c r="I29" s="571">
        <v>0</v>
      </c>
      <c r="J29" s="571">
        <v>0</v>
      </c>
      <c r="K29" s="180"/>
      <c r="L29" s="181"/>
      <c r="M29" s="182"/>
      <c r="N29" s="92"/>
      <c r="O29" s="190" t="s">
        <v>143</v>
      </c>
      <c r="P29" s="582">
        <v>0.2</v>
      </c>
      <c r="Q29" s="587">
        <v>0.2</v>
      </c>
      <c r="R29" s="184"/>
      <c r="S29" s="587">
        <v>0</v>
      </c>
      <c r="T29" s="587">
        <v>0</v>
      </c>
      <c r="U29" s="184"/>
      <c r="V29" s="184"/>
      <c r="W29" s="183"/>
      <c r="X29" s="92"/>
      <c r="Y29" s="190" t="s">
        <v>143</v>
      </c>
      <c r="Z29" s="582">
        <v>0.88159999999999994</v>
      </c>
      <c r="AA29" s="587">
        <v>0.88159999999999994</v>
      </c>
      <c r="AB29" s="184"/>
      <c r="AC29" s="587">
        <v>0</v>
      </c>
      <c r="AD29" s="587">
        <v>0</v>
      </c>
      <c r="AE29" s="184"/>
      <c r="AF29" s="184"/>
      <c r="AG29" s="183"/>
      <c r="AH29" s="92"/>
      <c r="AI29" s="190" t="s">
        <v>143</v>
      </c>
      <c r="AJ29" s="582">
        <v>0.63839999999999997</v>
      </c>
      <c r="AK29" s="595">
        <v>0.63839999999999997</v>
      </c>
      <c r="AL29" s="587"/>
      <c r="AM29" s="587">
        <v>0</v>
      </c>
      <c r="AN29" s="184">
        <v>0</v>
      </c>
      <c r="AO29" s="184"/>
      <c r="AP29" s="184"/>
      <c r="AQ29" s="183"/>
    </row>
    <row r="30" spans="1:59" ht="15.75" customHeight="1" x14ac:dyDescent="0.25">
      <c r="A30" s="177"/>
      <c r="B30" s="195"/>
      <c r="C30" s="131" t="s">
        <v>42</v>
      </c>
      <c r="D30" s="179"/>
      <c r="E30" s="179"/>
      <c r="F30" s="570"/>
      <c r="G30" s="571"/>
      <c r="H30" s="571"/>
      <c r="I30" s="571"/>
      <c r="J30" s="571"/>
      <c r="K30" s="180"/>
      <c r="L30" s="181"/>
      <c r="M30" s="182"/>
      <c r="N30" s="57"/>
      <c r="O30" s="191"/>
      <c r="P30" s="582"/>
      <c r="Q30" s="587"/>
      <c r="R30" s="184"/>
      <c r="S30" s="587"/>
      <c r="T30" s="587"/>
      <c r="U30" s="184"/>
      <c r="V30" s="184"/>
      <c r="W30" s="183"/>
      <c r="X30" s="57"/>
      <c r="Y30" s="191"/>
      <c r="Z30" s="582"/>
      <c r="AA30" s="587"/>
      <c r="AB30" s="184"/>
      <c r="AC30" s="587"/>
      <c r="AD30" s="587"/>
      <c r="AE30" s="184"/>
      <c r="AF30" s="184"/>
      <c r="AG30" s="183"/>
      <c r="AH30" s="57"/>
      <c r="AI30" s="191"/>
      <c r="AJ30" s="582"/>
      <c r="AK30" s="595"/>
      <c r="AL30" s="587"/>
      <c r="AM30" s="587"/>
      <c r="AN30" s="184"/>
      <c r="AO30" s="184"/>
      <c r="AP30" s="184"/>
      <c r="AQ30" s="183"/>
    </row>
    <row r="31" spans="1:59" ht="13.5" customHeight="1" x14ac:dyDescent="0.25">
      <c r="A31" s="177"/>
      <c r="B31" s="196">
        <v>3231201</v>
      </c>
      <c r="C31" s="126" t="s">
        <v>43</v>
      </c>
      <c r="D31" s="197"/>
      <c r="E31" s="197"/>
      <c r="F31" s="570">
        <v>0</v>
      </c>
      <c r="G31" s="571">
        <v>0</v>
      </c>
      <c r="H31" s="572"/>
      <c r="I31" s="571">
        <v>0</v>
      </c>
      <c r="J31" s="571">
        <v>0</v>
      </c>
      <c r="K31" s="180"/>
      <c r="L31" s="181"/>
      <c r="M31" s="182"/>
      <c r="N31" s="198"/>
      <c r="O31" s="199"/>
      <c r="P31" s="582">
        <v>0</v>
      </c>
      <c r="Q31" s="587">
        <v>0</v>
      </c>
      <c r="R31" s="184"/>
      <c r="S31" s="587">
        <v>0</v>
      </c>
      <c r="T31" s="587">
        <v>0</v>
      </c>
      <c r="U31" s="184"/>
      <c r="V31" s="184"/>
      <c r="W31" s="183"/>
      <c r="X31" s="198"/>
      <c r="Y31" s="199"/>
      <c r="Z31" s="582">
        <v>119</v>
      </c>
      <c r="AA31" s="587">
        <v>0</v>
      </c>
      <c r="AB31" s="184"/>
      <c r="AC31" s="587">
        <v>119</v>
      </c>
      <c r="AD31" s="587">
        <v>0</v>
      </c>
      <c r="AE31" s="184"/>
      <c r="AF31" s="184"/>
      <c r="AG31" s="183"/>
      <c r="AH31" s="198"/>
      <c r="AI31" s="199"/>
      <c r="AJ31" s="582">
        <v>0</v>
      </c>
      <c r="AK31" s="595">
        <v>0</v>
      </c>
      <c r="AL31" s="587"/>
      <c r="AM31" s="587">
        <v>0</v>
      </c>
      <c r="AN31" s="184">
        <v>0</v>
      </c>
      <c r="AO31" s="184"/>
      <c r="AP31" s="184"/>
      <c r="AQ31" s="183"/>
    </row>
    <row r="32" spans="1:59" ht="13.5" customHeight="1" x14ac:dyDescent="0.25">
      <c r="A32" s="177"/>
      <c r="B32" s="196">
        <v>3231201</v>
      </c>
      <c r="C32" s="126" t="s">
        <v>44</v>
      </c>
      <c r="D32" s="197"/>
      <c r="E32" s="189" t="s">
        <v>143</v>
      </c>
      <c r="F32" s="570">
        <v>301.5</v>
      </c>
      <c r="G32" s="571">
        <v>22.54</v>
      </c>
      <c r="H32" s="572"/>
      <c r="I32" s="571">
        <v>278.95999999999998</v>
      </c>
      <c r="J32" s="571">
        <v>0</v>
      </c>
      <c r="K32" s="180"/>
      <c r="L32" s="181"/>
      <c r="M32" s="182"/>
      <c r="N32" s="198"/>
      <c r="O32" s="190" t="s">
        <v>143</v>
      </c>
      <c r="P32" s="582">
        <v>22.21</v>
      </c>
      <c r="Q32" s="587">
        <v>2.3809119999999999</v>
      </c>
      <c r="R32" s="184"/>
      <c r="S32" s="587">
        <v>19.829087999999999</v>
      </c>
      <c r="T32" s="587">
        <v>0</v>
      </c>
      <c r="U32" s="184"/>
      <c r="V32" s="184"/>
      <c r="W32" s="183"/>
      <c r="X32" s="198"/>
      <c r="Y32" s="190" t="s">
        <v>143</v>
      </c>
      <c r="Z32" s="582">
        <v>127.794</v>
      </c>
      <c r="AA32" s="587">
        <v>13.6995168</v>
      </c>
      <c r="AB32" s="184"/>
      <c r="AC32" s="587">
        <v>114.0944832</v>
      </c>
      <c r="AD32" s="587">
        <v>0</v>
      </c>
      <c r="AE32" s="184"/>
      <c r="AF32" s="184"/>
      <c r="AG32" s="183"/>
      <c r="AH32" s="198"/>
      <c r="AI32" s="190" t="s">
        <v>143</v>
      </c>
      <c r="AJ32" s="582">
        <v>85.196000000000026</v>
      </c>
      <c r="AK32" s="595">
        <v>9.1330112000000039</v>
      </c>
      <c r="AL32" s="587"/>
      <c r="AM32" s="587">
        <v>76.062988800000028</v>
      </c>
      <c r="AN32" s="184">
        <v>0</v>
      </c>
      <c r="AO32" s="184"/>
      <c r="AP32" s="184"/>
      <c r="AQ32" s="183"/>
    </row>
    <row r="33" spans="1:43" ht="36.75" customHeight="1" x14ac:dyDescent="0.25">
      <c r="A33" s="177"/>
      <c r="B33" s="200">
        <v>3231201</v>
      </c>
      <c r="C33" s="121" t="s">
        <v>45</v>
      </c>
      <c r="D33" s="197"/>
      <c r="E33" s="197"/>
      <c r="F33" s="570">
        <v>1346.63</v>
      </c>
      <c r="G33" s="571">
        <v>80.34</v>
      </c>
      <c r="H33" s="572"/>
      <c r="I33" s="571">
        <v>1266.29</v>
      </c>
      <c r="J33" s="571">
        <v>0</v>
      </c>
      <c r="K33" s="180"/>
      <c r="L33" s="181"/>
      <c r="M33" s="182"/>
      <c r="N33" s="198"/>
      <c r="O33" s="190" t="s">
        <v>143</v>
      </c>
      <c r="P33" s="582">
        <v>338.12</v>
      </c>
      <c r="Q33" s="587">
        <v>36.246464000000003</v>
      </c>
      <c r="R33" s="184"/>
      <c r="S33" s="587">
        <v>301.873536</v>
      </c>
      <c r="T33" s="587">
        <v>0</v>
      </c>
      <c r="U33" s="184"/>
      <c r="V33" s="184"/>
      <c r="W33" s="183"/>
      <c r="X33" s="198"/>
      <c r="Y33" s="190" t="s">
        <v>143</v>
      </c>
      <c r="Z33" s="582">
        <v>801.91440000000011</v>
      </c>
      <c r="AA33" s="587">
        <v>85.965223680000008</v>
      </c>
      <c r="AB33" s="184"/>
      <c r="AC33" s="587">
        <v>715.94917632000011</v>
      </c>
      <c r="AD33" s="587">
        <v>0</v>
      </c>
      <c r="AE33" s="184"/>
      <c r="AF33" s="184"/>
      <c r="AG33" s="183"/>
      <c r="AH33" s="198"/>
      <c r="AI33" s="190" t="s">
        <v>143</v>
      </c>
      <c r="AJ33" s="582">
        <v>470.96560000000011</v>
      </c>
      <c r="AK33" s="595">
        <v>50.487512320000008</v>
      </c>
      <c r="AL33" s="587"/>
      <c r="AM33" s="587">
        <v>420.47808767999999</v>
      </c>
      <c r="AN33" s="184">
        <v>0</v>
      </c>
      <c r="AO33" s="184"/>
      <c r="AP33" s="184"/>
      <c r="AQ33" s="183"/>
    </row>
    <row r="34" spans="1:43" ht="38.25" customHeight="1" x14ac:dyDescent="0.25">
      <c r="A34" s="177"/>
      <c r="B34" s="200">
        <v>3231201</v>
      </c>
      <c r="C34" s="121" t="s">
        <v>46</v>
      </c>
      <c r="D34" s="197"/>
      <c r="E34" s="197"/>
      <c r="F34" s="570">
        <v>578.20000000000005</v>
      </c>
      <c r="G34" s="571">
        <v>35.47</v>
      </c>
      <c r="H34" s="572"/>
      <c r="I34" s="571">
        <v>542.73</v>
      </c>
      <c r="J34" s="571">
        <v>0</v>
      </c>
      <c r="K34" s="180"/>
      <c r="L34" s="181"/>
      <c r="M34" s="182"/>
      <c r="N34" s="198"/>
      <c r="O34" s="190" t="s">
        <v>143</v>
      </c>
      <c r="P34" s="582">
        <v>82.97</v>
      </c>
      <c r="Q34" s="587">
        <v>8.8943840000000005</v>
      </c>
      <c r="R34" s="184"/>
      <c r="S34" s="587">
        <v>74.075615999999997</v>
      </c>
      <c r="T34" s="587">
        <v>0</v>
      </c>
      <c r="U34" s="184"/>
      <c r="V34" s="184"/>
      <c r="W34" s="183"/>
      <c r="X34" s="198"/>
      <c r="Y34" s="190" t="s">
        <v>143</v>
      </c>
      <c r="Z34" s="582">
        <v>210.3419999999999</v>
      </c>
      <c r="AA34" s="587">
        <v>22.548662399999991</v>
      </c>
      <c r="AB34" s="184"/>
      <c r="AC34" s="587">
        <v>187.79333759999989</v>
      </c>
      <c r="AD34" s="587">
        <v>0</v>
      </c>
      <c r="AE34" s="184"/>
      <c r="AF34" s="184"/>
      <c r="AG34" s="183"/>
      <c r="AH34" s="198"/>
      <c r="AI34" s="190" t="s">
        <v>143</v>
      </c>
      <c r="AJ34" s="582">
        <v>172.0979999999999</v>
      </c>
      <c r="AK34" s="595">
        <v>18.448905599999989</v>
      </c>
      <c r="AL34" s="587"/>
      <c r="AM34" s="587">
        <v>153.64909439999991</v>
      </c>
      <c r="AN34" s="184">
        <v>0</v>
      </c>
      <c r="AO34" s="184"/>
      <c r="AP34" s="184"/>
      <c r="AQ34" s="183"/>
    </row>
    <row r="35" spans="1:43" ht="18" customHeight="1" x14ac:dyDescent="0.25">
      <c r="A35" s="177"/>
      <c r="B35" s="125">
        <v>3211109</v>
      </c>
      <c r="C35" s="124" t="s">
        <v>47</v>
      </c>
      <c r="D35" s="188"/>
      <c r="E35" s="189" t="s">
        <v>143</v>
      </c>
      <c r="F35" s="570">
        <v>10.96</v>
      </c>
      <c r="G35" s="571">
        <v>10.96</v>
      </c>
      <c r="H35" s="572"/>
      <c r="I35" s="571">
        <v>0</v>
      </c>
      <c r="J35" s="571">
        <v>0</v>
      </c>
      <c r="K35" s="180"/>
      <c r="L35" s="181"/>
      <c r="M35" s="182"/>
      <c r="N35" s="92"/>
      <c r="O35" s="190" t="s">
        <v>143</v>
      </c>
      <c r="P35" s="582">
        <v>3.49</v>
      </c>
      <c r="Q35" s="587">
        <v>3.49</v>
      </c>
      <c r="R35" s="184"/>
      <c r="S35" s="587">
        <v>0</v>
      </c>
      <c r="T35" s="587">
        <v>0</v>
      </c>
      <c r="U35" s="184"/>
      <c r="V35" s="184"/>
      <c r="W35" s="183"/>
      <c r="X35" s="92"/>
      <c r="Y35" s="190" t="s">
        <v>143</v>
      </c>
      <c r="Z35" s="582">
        <v>4.6809999999999992</v>
      </c>
      <c r="AA35" s="587">
        <v>4.6809999999999992</v>
      </c>
      <c r="AB35" s="184"/>
      <c r="AC35" s="587">
        <v>0</v>
      </c>
      <c r="AD35" s="587">
        <v>0</v>
      </c>
      <c r="AE35" s="184"/>
      <c r="AF35" s="184"/>
      <c r="AG35" s="183"/>
      <c r="AH35" s="92"/>
      <c r="AI35" s="190" t="s">
        <v>143</v>
      </c>
      <c r="AJ35" s="582">
        <v>2.8690000000000002</v>
      </c>
      <c r="AK35" s="595">
        <v>2.8690000000000002</v>
      </c>
      <c r="AL35" s="587"/>
      <c r="AM35" s="587">
        <v>0</v>
      </c>
      <c r="AN35" s="184">
        <v>0</v>
      </c>
      <c r="AO35" s="184"/>
      <c r="AP35" s="184"/>
      <c r="AQ35" s="183"/>
    </row>
    <row r="36" spans="1:43" ht="15.75" customHeight="1" x14ac:dyDescent="0.25">
      <c r="A36" s="177"/>
      <c r="B36" s="187">
        <v>3256103</v>
      </c>
      <c r="C36" s="124" t="s">
        <v>48</v>
      </c>
      <c r="D36" s="188"/>
      <c r="E36" s="189" t="s">
        <v>143</v>
      </c>
      <c r="F36" s="570">
        <v>3.74</v>
      </c>
      <c r="G36" s="571">
        <v>3.74</v>
      </c>
      <c r="H36" s="572"/>
      <c r="I36" s="571">
        <v>0</v>
      </c>
      <c r="J36" s="571">
        <v>0</v>
      </c>
      <c r="K36" s="180"/>
      <c r="L36" s="181"/>
      <c r="M36" s="182"/>
      <c r="N36" s="92"/>
      <c r="O36" s="190" t="s">
        <v>143</v>
      </c>
      <c r="P36" s="582">
        <v>3</v>
      </c>
      <c r="Q36" s="587">
        <v>3</v>
      </c>
      <c r="R36" s="184"/>
      <c r="S36" s="587">
        <v>0</v>
      </c>
      <c r="T36" s="587">
        <v>0</v>
      </c>
      <c r="U36" s="184"/>
      <c r="V36" s="184"/>
      <c r="W36" s="183"/>
      <c r="X36" s="92"/>
      <c r="Y36" s="190" t="s">
        <v>143</v>
      </c>
      <c r="Z36" s="582">
        <v>4.7907999999999999</v>
      </c>
      <c r="AA36" s="587">
        <v>4.7907999999999999</v>
      </c>
      <c r="AB36" s="184"/>
      <c r="AC36" s="587">
        <v>0</v>
      </c>
      <c r="AD36" s="587">
        <v>0</v>
      </c>
      <c r="AE36" s="184"/>
      <c r="AF36" s="184"/>
      <c r="AG36" s="183"/>
      <c r="AH36" s="92"/>
      <c r="AI36" s="190" t="s">
        <v>143</v>
      </c>
      <c r="AJ36" s="582">
        <v>3.4691999999999998</v>
      </c>
      <c r="AK36" s="595">
        <v>3.4691999999999998</v>
      </c>
      <c r="AL36" s="587"/>
      <c r="AM36" s="587">
        <v>0</v>
      </c>
      <c r="AN36" s="184">
        <v>0</v>
      </c>
      <c r="AO36" s="184"/>
      <c r="AP36" s="184"/>
      <c r="AQ36" s="183"/>
    </row>
    <row r="37" spans="1:43" ht="32.25" customHeight="1" x14ac:dyDescent="0.25">
      <c r="A37" s="177"/>
      <c r="B37" s="189">
        <v>3257101</v>
      </c>
      <c r="C37" s="124" t="s">
        <v>49</v>
      </c>
      <c r="D37" s="188"/>
      <c r="E37" s="189" t="s">
        <v>143</v>
      </c>
      <c r="F37" s="570">
        <v>5168.01</v>
      </c>
      <c r="G37" s="571">
        <v>0</v>
      </c>
      <c r="H37" s="572"/>
      <c r="I37" s="571">
        <v>0</v>
      </c>
      <c r="J37" s="571">
        <v>5168.01</v>
      </c>
      <c r="K37" s="180"/>
      <c r="L37" s="181"/>
      <c r="M37" s="182"/>
      <c r="N37" s="92" t="s">
        <v>50</v>
      </c>
      <c r="O37" s="190" t="s">
        <v>143</v>
      </c>
      <c r="P37" s="582">
        <v>450</v>
      </c>
      <c r="Q37" s="587">
        <v>0</v>
      </c>
      <c r="R37" s="184"/>
      <c r="S37" s="587">
        <v>0</v>
      </c>
      <c r="T37" s="587">
        <v>450</v>
      </c>
      <c r="U37" s="184"/>
      <c r="V37" s="184"/>
      <c r="W37" s="183"/>
      <c r="X37" s="92" t="s">
        <v>50</v>
      </c>
      <c r="Y37" s="190" t="s">
        <v>143</v>
      </c>
      <c r="Z37" s="582">
        <v>1374.57095</v>
      </c>
      <c r="AA37" s="587">
        <v>0</v>
      </c>
      <c r="AB37" s="184"/>
      <c r="AC37" s="587">
        <v>0</v>
      </c>
      <c r="AD37" s="587">
        <v>1374.57095</v>
      </c>
      <c r="AE37" s="184"/>
      <c r="AF37" s="184"/>
      <c r="AG37" s="183"/>
      <c r="AH37" s="92" t="s">
        <v>50</v>
      </c>
      <c r="AI37" s="190" t="s">
        <v>143</v>
      </c>
      <c r="AJ37" s="582">
        <v>878.82404999999983</v>
      </c>
      <c r="AK37" s="595">
        <v>0</v>
      </c>
      <c r="AL37" s="587"/>
      <c r="AM37" s="587">
        <v>0</v>
      </c>
      <c r="AN37" s="184">
        <v>878.82404999999983</v>
      </c>
      <c r="AO37" s="184"/>
      <c r="AP37" s="184"/>
      <c r="AQ37" s="183"/>
    </row>
    <row r="38" spans="1:43" ht="18" customHeight="1" x14ac:dyDescent="0.25">
      <c r="A38" s="177"/>
      <c r="B38" s="201">
        <v>3111332</v>
      </c>
      <c r="C38" s="94" t="s">
        <v>53</v>
      </c>
      <c r="D38" s="202"/>
      <c r="E38" s="189" t="s">
        <v>143</v>
      </c>
      <c r="F38" s="570">
        <v>12.73</v>
      </c>
      <c r="G38" s="571">
        <v>12.73</v>
      </c>
      <c r="H38" s="572"/>
      <c r="I38" s="571">
        <v>0</v>
      </c>
      <c r="J38" s="571">
        <v>0</v>
      </c>
      <c r="K38" s="180"/>
      <c r="L38" s="181"/>
      <c r="M38" s="182"/>
      <c r="N38" s="116"/>
      <c r="O38" s="190" t="s">
        <v>143</v>
      </c>
      <c r="P38" s="582">
        <v>3</v>
      </c>
      <c r="Q38" s="587">
        <v>3</v>
      </c>
      <c r="R38" s="184"/>
      <c r="S38" s="587">
        <v>0</v>
      </c>
      <c r="T38" s="587">
        <v>0</v>
      </c>
      <c r="U38" s="184"/>
      <c r="V38" s="184"/>
      <c r="W38" s="183"/>
      <c r="X38" s="116"/>
      <c r="Y38" s="190" t="s">
        <v>143</v>
      </c>
      <c r="Z38" s="582">
        <v>8.2765999999999984</v>
      </c>
      <c r="AA38" s="587">
        <v>8.2765999999999984</v>
      </c>
      <c r="AB38" s="184"/>
      <c r="AC38" s="587">
        <v>0</v>
      </c>
      <c r="AD38" s="587">
        <v>0</v>
      </c>
      <c r="AE38" s="184"/>
      <c r="AF38" s="184"/>
      <c r="AG38" s="183"/>
      <c r="AH38" s="116"/>
      <c r="AI38" s="190" t="s">
        <v>143</v>
      </c>
      <c r="AJ38" s="582">
        <v>5.9933999999999994</v>
      </c>
      <c r="AK38" s="595">
        <v>5.9933999999999994</v>
      </c>
      <c r="AL38" s="587"/>
      <c r="AM38" s="587">
        <v>0</v>
      </c>
      <c r="AN38" s="184">
        <v>0</v>
      </c>
      <c r="AO38" s="184"/>
      <c r="AP38" s="184"/>
      <c r="AQ38" s="183"/>
    </row>
    <row r="39" spans="1:43" ht="18" customHeight="1" x14ac:dyDescent="0.25">
      <c r="A39" s="177"/>
      <c r="B39" s="203">
        <v>3111332</v>
      </c>
      <c r="C39" s="94" t="s">
        <v>54</v>
      </c>
      <c r="D39" s="202"/>
      <c r="E39" s="202"/>
      <c r="F39" s="570">
        <v>1.29</v>
      </c>
      <c r="G39" s="571">
        <v>1.29</v>
      </c>
      <c r="H39" s="572"/>
      <c r="I39" s="571">
        <v>0</v>
      </c>
      <c r="J39" s="571">
        <v>0</v>
      </c>
      <c r="K39" s="180"/>
      <c r="L39" s="181"/>
      <c r="M39" s="182"/>
      <c r="N39" s="116"/>
      <c r="O39" s="190" t="s">
        <v>143</v>
      </c>
      <c r="P39" s="582">
        <v>0.41</v>
      </c>
      <c r="Q39" s="587">
        <v>0.41</v>
      </c>
      <c r="R39" s="184"/>
      <c r="S39" s="587">
        <v>0</v>
      </c>
      <c r="T39" s="587">
        <v>0</v>
      </c>
      <c r="U39" s="184"/>
      <c r="V39" s="184"/>
      <c r="W39" s="183"/>
      <c r="X39" s="116"/>
      <c r="Y39" s="190"/>
      <c r="Z39" s="582">
        <v>8.3000000000000007</v>
      </c>
      <c r="AA39" s="587">
        <v>8.3000000000000007</v>
      </c>
      <c r="AB39" s="184"/>
      <c r="AC39" s="587">
        <v>0</v>
      </c>
      <c r="AD39" s="587">
        <v>0</v>
      </c>
      <c r="AE39" s="184"/>
      <c r="AF39" s="184"/>
      <c r="AG39" s="183"/>
      <c r="AH39" s="116"/>
      <c r="AI39" s="190"/>
      <c r="AJ39" s="582">
        <v>0</v>
      </c>
      <c r="AK39" s="595">
        <v>0</v>
      </c>
      <c r="AL39" s="587"/>
      <c r="AM39" s="587">
        <v>0</v>
      </c>
      <c r="AN39" s="184">
        <v>0</v>
      </c>
      <c r="AO39" s="184"/>
      <c r="AP39" s="184"/>
      <c r="AQ39" s="183"/>
    </row>
    <row r="40" spans="1:43" ht="18" customHeight="1" x14ac:dyDescent="0.25">
      <c r="A40" s="177"/>
      <c r="B40" s="204">
        <v>3111332</v>
      </c>
      <c r="C40" s="94" t="s">
        <v>55</v>
      </c>
      <c r="D40" s="202"/>
      <c r="E40" s="202"/>
      <c r="F40" s="570">
        <v>1.3</v>
      </c>
      <c r="G40" s="571">
        <v>1.3</v>
      </c>
      <c r="H40" s="572"/>
      <c r="I40" s="571">
        <v>0</v>
      </c>
      <c r="J40" s="571">
        <v>0</v>
      </c>
      <c r="K40" s="180"/>
      <c r="L40" s="181"/>
      <c r="M40" s="182"/>
      <c r="N40" s="116"/>
      <c r="O40" s="190" t="s">
        <v>143</v>
      </c>
      <c r="P40" s="582">
        <v>0.41</v>
      </c>
      <c r="Q40" s="587">
        <v>0.41</v>
      </c>
      <c r="R40" s="184"/>
      <c r="S40" s="587">
        <v>0</v>
      </c>
      <c r="T40" s="587">
        <v>0</v>
      </c>
      <c r="U40" s="184"/>
      <c r="V40" s="184"/>
      <c r="W40" s="183"/>
      <c r="X40" s="116"/>
      <c r="Y40" s="190" t="s">
        <v>143</v>
      </c>
      <c r="Z40" s="582">
        <v>4.1449999999999996</v>
      </c>
      <c r="AA40" s="587">
        <v>4.1449999999999996</v>
      </c>
      <c r="AB40" s="184"/>
      <c r="AC40" s="587">
        <v>0</v>
      </c>
      <c r="AD40" s="587">
        <v>0</v>
      </c>
      <c r="AE40" s="184"/>
      <c r="AF40" s="184"/>
      <c r="AG40" s="183"/>
      <c r="AH40" s="116"/>
      <c r="AI40" s="190" t="s">
        <v>143</v>
      </c>
      <c r="AJ40" s="582">
        <v>4.1449999999999996</v>
      </c>
      <c r="AK40" s="595">
        <v>4.1449999999999996</v>
      </c>
      <c r="AL40" s="587"/>
      <c r="AM40" s="587">
        <v>0</v>
      </c>
      <c r="AN40" s="184">
        <v>0</v>
      </c>
      <c r="AO40" s="184"/>
      <c r="AP40" s="184"/>
      <c r="AQ40" s="183"/>
    </row>
    <row r="41" spans="1:43" ht="18" customHeight="1" x14ac:dyDescent="0.25">
      <c r="A41" s="177"/>
      <c r="B41" s="189">
        <v>3257104</v>
      </c>
      <c r="C41" s="94" t="s">
        <v>56</v>
      </c>
      <c r="D41" s="202"/>
      <c r="E41" s="189" t="s">
        <v>143</v>
      </c>
      <c r="F41" s="570">
        <v>85.02</v>
      </c>
      <c r="G41" s="571">
        <v>85.02</v>
      </c>
      <c r="H41" s="572"/>
      <c r="I41" s="571">
        <v>0</v>
      </c>
      <c r="J41" s="571">
        <v>0</v>
      </c>
      <c r="K41" s="180"/>
      <c r="L41" s="181"/>
      <c r="M41" s="182"/>
      <c r="N41" s="116"/>
      <c r="O41" s="190" t="s">
        <v>143</v>
      </c>
      <c r="P41" s="582">
        <v>30</v>
      </c>
      <c r="Q41" s="587">
        <v>30</v>
      </c>
      <c r="R41" s="184"/>
      <c r="S41" s="587">
        <v>0</v>
      </c>
      <c r="T41" s="587">
        <v>0</v>
      </c>
      <c r="U41" s="184"/>
      <c r="V41" s="184"/>
      <c r="W41" s="183"/>
      <c r="X41" s="116"/>
      <c r="Y41" s="190" t="s">
        <v>143</v>
      </c>
      <c r="Z41" s="582">
        <v>26.77859999999999</v>
      </c>
      <c r="AA41" s="587">
        <v>26.77859999999999</v>
      </c>
      <c r="AB41" s="184"/>
      <c r="AC41" s="587">
        <v>0</v>
      </c>
      <c r="AD41" s="587">
        <v>0</v>
      </c>
      <c r="AE41" s="184"/>
      <c r="AF41" s="184"/>
      <c r="AG41" s="183"/>
      <c r="AH41" s="116"/>
      <c r="AI41" s="190" t="s">
        <v>143</v>
      </c>
      <c r="AJ41" s="582">
        <v>20.2014</v>
      </c>
      <c r="AK41" s="595">
        <v>20.2014</v>
      </c>
      <c r="AL41" s="587"/>
      <c r="AM41" s="587">
        <v>0</v>
      </c>
      <c r="AN41" s="184">
        <v>0</v>
      </c>
      <c r="AO41" s="184"/>
      <c r="AP41" s="184"/>
      <c r="AQ41" s="183"/>
    </row>
    <row r="42" spans="1:43" ht="18" customHeight="1" x14ac:dyDescent="0.25">
      <c r="A42" s="177"/>
      <c r="B42" s="189">
        <v>3255101</v>
      </c>
      <c r="C42" s="124" t="s">
        <v>57</v>
      </c>
      <c r="D42" s="202"/>
      <c r="E42" s="189" t="s">
        <v>143</v>
      </c>
      <c r="F42" s="570">
        <v>20.47</v>
      </c>
      <c r="G42" s="571">
        <v>20.47</v>
      </c>
      <c r="H42" s="572"/>
      <c r="I42" s="571">
        <v>0</v>
      </c>
      <c r="J42" s="571">
        <v>0</v>
      </c>
      <c r="K42" s="180"/>
      <c r="L42" s="181"/>
      <c r="M42" s="182"/>
      <c r="N42" s="116"/>
      <c r="O42" s="190" t="s">
        <v>143</v>
      </c>
      <c r="P42" s="582">
        <v>10</v>
      </c>
      <c r="Q42" s="587">
        <v>10</v>
      </c>
      <c r="R42" s="184"/>
      <c r="S42" s="587">
        <v>0</v>
      </c>
      <c r="T42" s="587">
        <v>0</v>
      </c>
      <c r="U42" s="184"/>
      <c r="V42" s="184"/>
      <c r="W42" s="183"/>
      <c r="X42" s="116"/>
      <c r="Y42" s="190" t="s">
        <v>143</v>
      </c>
      <c r="Z42" s="582">
        <v>16.242049999999999</v>
      </c>
      <c r="AA42" s="587">
        <v>16.242049999999999</v>
      </c>
      <c r="AB42" s="184"/>
      <c r="AC42" s="587">
        <v>0</v>
      </c>
      <c r="AD42" s="587">
        <v>0</v>
      </c>
      <c r="AE42" s="184"/>
      <c r="AF42" s="184"/>
      <c r="AG42" s="183"/>
      <c r="AH42" s="116"/>
      <c r="AI42" s="190" t="s">
        <v>143</v>
      </c>
      <c r="AJ42" s="582">
        <v>13.28895</v>
      </c>
      <c r="AK42" s="595">
        <v>13.28895</v>
      </c>
      <c r="AL42" s="587"/>
      <c r="AM42" s="587">
        <v>0</v>
      </c>
      <c r="AN42" s="184">
        <v>0</v>
      </c>
      <c r="AO42" s="184"/>
      <c r="AP42" s="184"/>
      <c r="AQ42" s="183"/>
    </row>
    <row r="43" spans="1:43" ht="18" customHeight="1" x14ac:dyDescent="0.25">
      <c r="A43" s="177"/>
      <c r="B43" s="189">
        <v>3256101</v>
      </c>
      <c r="C43" s="124" t="s">
        <v>58</v>
      </c>
      <c r="D43" s="202"/>
      <c r="E43" s="189" t="s">
        <v>143</v>
      </c>
      <c r="F43" s="570">
        <v>875.46</v>
      </c>
      <c r="G43" s="571">
        <v>875.46</v>
      </c>
      <c r="H43" s="572"/>
      <c r="I43" s="571">
        <v>0</v>
      </c>
      <c r="J43" s="571">
        <v>0</v>
      </c>
      <c r="K43" s="180"/>
      <c r="L43" s="181"/>
      <c r="M43" s="182"/>
      <c r="N43" s="116"/>
      <c r="O43" s="190" t="s">
        <v>143</v>
      </c>
      <c r="P43" s="582">
        <v>299.95999999999998</v>
      </c>
      <c r="Q43" s="587">
        <v>299.95999999999998</v>
      </c>
      <c r="R43" s="184"/>
      <c r="S43" s="587">
        <v>0</v>
      </c>
      <c r="T43" s="587">
        <v>0</v>
      </c>
      <c r="U43" s="184"/>
      <c r="V43" s="184"/>
      <c r="W43" s="183"/>
      <c r="X43" s="116"/>
      <c r="Y43" s="190" t="s">
        <v>143</v>
      </c>
      <c r="Z43" s="582">
        <v>299.01629999999989</v>
      </c>
      <c r="AA43" s="587">
        <v>299.01629999999989</v>
      </c>
      <c r="AB43" s="184"/>
      <c r="AC43" s="587">
        <v>0</v>
      </c>
      <c r="AD43" s="587">
        <v>0</v>
      </c>
      <c r="AE43" s="184"/>
      <c r="AF43" s="184"/>
      <c r="AG43" s="183"/>
      <c r="AH43" s="116"/>
      <c r="AI43" s="190" t="s">
        <v>143</v>
      </c>
      <c r="AJ43" s="582">
        <v>225.5737</v>
      </c>
      <c r="AK43" s="595">
        <v>225.5737</v>
      </c>
      <c r="AL43" s="587"/>
      <c r="AM43" s="587">
        <v>0</v>
      </c>
      <c r="AN43" s="184">
        <v>0</v>
      </c>
      <c r="AO43" s="184"/>
      <c r="AP43" s="184"/>
      <c r="AQ43" s="183"/>
    </row>
    <row r="44" spans="1:43" ht="18" customHeight="1" x14ac:dyDescent="0.25">
      <c r="A44" s="177"/>
      <c r="B44" s="178"/>
      <c r="C44" s="205" t="s">
        <v>145</v>
      </c>
      <c r="D44" s="205"/>
      <c r="E44" s="205"/>
      <c r="F44" s="570"/>
      <c r="G44" s="571"/>
      <c r="H44" s="571"/>
      <c r="I44" s="571"/>
      <c r="J44" s="571"/>
      <c r="K44" s="180"/>
      <c r="L44" s="181"/>
      <c r="M44" s="182"/>
      <c r="N44" s="206"/>
      <c r="O44" s="207"/>
      <c r="P44" s="582"/>
      <c r="Q44" s="587"/>
      <c r="R44" s="184"/>
      <c r="S44" s="587"/>
      <c r="T44" s="587"/>
      <c r="U44" s="184"/>
      <c r="V44" s="184"/>
      <c r="W44" s="183"/>
      <c r="X44" s="206"/>
      <c r="Y44" s="207"/>
      <c r="Z44" s="582"/>
      <c r="AA44" s="587"/>
      <c r="AB44" s="184"/>
      <c r="AC44" s="587"/>
      <c r="AD44" s="587"/>
      <c r="AE44" s="184"/>
      <c r="AF44" s="184"/>
      <c r="AG44" s="183"/>
      <c r="AH44" s="206"/>
      <c r="AI44" s="207"/>
      <c r="AJ44" s="582"/>
      <c r="AK44" s="595"/>
      <c r="AL44" s="587"/>
      <c r="AM44" s="587"/>
      <c r="AN44" s="184"/>
      <c r="AO44" s="184"/>
      <c r="AP44" s="184"/>
      <c r="AQ44" s="183"/>
    </row>
    <row r="45" spans="1:43" ht="18" customHeight="1" x14ac:dyDescent="0.25">
      <c r="A45" s="177"/>
      <c r="B45" s="187">
        <v>3258101</v>
      </c>
      <c r="C45" s="95" t="s">
        <v>60</v>
      </c>
      <c r="D45" s="188"/>
      <c r="E45" s="189" t="s">
        <v>143</v>
      </c>
      <c r="F45" s="570">
        <v>61.4</v>
      </c>
      <c r="G45" s="571">
        <v>61.4</v>
      </c>
      <c r="H45" s="572"/>
      <c r="I45" s="571">
        <v>0</v>
      </c>
      <c r="J45" s="571">
        <v>0</v>
      </c>
      <c r="K45" s="180"/>
      <c r="L45" s="181"/>
      <c r="M45" s="182"/>
      <c r="N45" s="92"/>
      <c r="O45" s="190" t="s">
        <v>143</v>
      </c>
      <c r="P45" s="582">
        <v>14.97</v>
      </c>
      <c r="Q45" s="587">
        <v>14.97</v>
      </c>
      <c r="R45" s="184"/>
      <c r="S45" s="587">
        <v>0</v>
      </c>
      <c r="T45" s="587">
        <v>0</v>
      </c>
      <c r="U45" s="184"/>
      <c r="V45" s="184"/>
      <c r="W45" s="183"/>
      <c r="X45" s="92"/>
      <c r="Y45" s="190" t="s">
        <v>143</v>
      </c>
      <c r="Z45" s="582">
        <v>26.748149999999999</v>
      </c>
      <c r="AA45" s="587">
        <v>26.748149999999999</v>
      </c>
      <c r="AB45" s="184"/>
      <c r="AC45" s="587">
        <v>0</v>
      </c>
      <c r="AD45" s="587">
        <v>0</v>
      </c>
      <c r="AE45" s="184"/>
      <c r="AF45" s="184"/>
      <c r="AG45" s="183"/>
      <c r="AH45" s="92"/>
      <c r="AI45" s="190" t="s">
        <v>143</v>
      </c>
      <c r="AJ45" s="582">
        <v>21.88485</v>
      </c>
      <c r="AK45" s="595">
        <v>21.88485</v>
      </c>
      <c r="AL45" s="587"/>
      <c r="AM45" s="587">
        <v>0</v>
      </c>
      <c r="AN45" s="184">
        <v>0</v>
      </c>
      <c r="AO45" s="184"/>
      <c r="AP45" s="184"/>
      <c r="AQ45" s="183"/>
    </row>
    <row r="46" spans="1:43" ht="18" customHeight="1" x14ac:dyDescent="0.25">
      <c r="A46" s="177"/>
      <c r="B46" s="187">
        <v>3258102</v>
      </c>
      <c r="C46" s="124" t="s">
        <v>62</v>
      </c>
      <c r="D46" s="188"/>
      <c r="E46" s="189" t="s">
        <v>143</v>
      </c>
      <c r="F46" s="570">
        <v>3.2</v>
      </c>
      <c r="G46" s="571">
        <v>3.2</v>
      </c>
      <c r="H46" s="572"/>
      <c r="I46" s="571">
        <v>0</v>
      </c>
      <c r="J46" s="571">
        <v>0</v>
      </c>
      <c r="K46" s="180"/>
      <c r="L46" s="181"/>
      <c r="M46" s="182"/>
      <c r="N46" s="92"/>
      <c r="O46" s="190" t="s">
        <v>143</v>
      </c>
      <c r="P46" s="582">
        <v>1.1100000000000001</v>
      </c>
      <c r="Q46" s="587">
        <v>1.1100000000000001</v>
      </c>
      <c r="R46" s="184"/>
      <c r="S46" s="587">
        <v>0</v>
      </c>
      <c r="T46" s="587">
        <v>0</v>
      </c>
      <c r="U46" s="184"/>
      <c r="V46" s="184"/>
      <c r="W46" s="183"/>
      <c r="X46" s="92"/>
      <c r="Y46" s="190" t="s">
        <v>143</v>
      </c>
      <c r="Z46" s="582">
        <v>3.4140000000000001</v>
      </c>
      <c r="AA46" s="587">
        <v>3.4140000000000001</v>
      </c>
      <c r="AB46" s="184"/>
      <c r="AC46" s="587">
        <v>0</v>
      </c>
      <c r="AD46" s="587">
        <v>0</v>
      </c>
      <c r="AE46" s="184"/>
      <c r="AF46" s="184"/>
      <c r="AG46" s="183"/>
      <c r="AH46" s="92"/>
      <c r="AI46" s="190" t="s">
        <v>143</v>
      </c>
      <c r="AJ46" s="582">
        <v>2.2759999999999998</v>
      </c>
      <c r="AK46" s="595">
        <v>2.2759999999999998</v>
      </c>
      <c r="AL46" s="587"/>
      <c r="AM46" s="587">
        <v>0</v>
      </c>
      <c r="AN46" s="184">
        <v>0</v>
      </c>
      <c r="AO46" s="184"/>
      <c r="AP46" s="184"/>
      <c r="AQ46" s="183"/>
    </row>
    <row r="47" spans="1:43" ht="18" customHeight="1" x14ac:dyDescent="0.25">
      <c r="A47" s="177"/>
      <c r="B47" s="187">
        <v>3258103</v>
      </c>
      <c r="C47" s="124" t="s">
        <v>63</v>
      </c>
      <c r="D47" s="188"/>
      <c r="E47" s="189" t="s">
        <v>143</v>
      </c>
      <c r="F47" s="570">
        <v>5.34</v>
      </c>
      <c r="G47" s="571">
        <v>5.34</v>
      </c>
      <c r="H47" s="572"/>
      <c r="I47" s="571">
        <v>0</v>
      </c>
      <c r="J47" s="571">
        <v>0</v>
      </c>
      <c r="K47" s="180"/>
      <c r="L47" s="181"/>
      <c r="M47" s="182"/>
      <c r="N47" s="92"/>
      <c r="O47" s="190" t="s">
        <v>143</v>
      </c>
      <c r="P47" s="582">
        <v>3</v>
      </c>
      <c r="Q47" s="587">
        <v>3</v>
      </c>
      <c r="R47" s="184"/>
      <c r="S47" s="587">
        <v>0</v>
      </c>
      <c r="T47" s="587">
        <v>0</v>
      </c>
      <c r="U47" s="184"/>
      <c r="V47" s="184"/>
      <c r="W47" s="183"/>
      <c r="X47" s="92"/>
      <c r="Y47" s="190" t="s">
        <v>143</v>
      </c>
      <c r="Z47" s="582">
        <v>3.9293999999999998</v>
      </c>
      <c r="AA47" s="587">
        <v>3.9293999999999998</v>
      </c>
      <c r="AB47" s="184"/>
      <c r="AC47" s="587">
        <v>0</v>
      </c>
      <c r="AD47" s="587">
        <v>0</v>
      </c>
      <c r="AE47" s="184"/>
      <c r="AF47" s="184"/>
      <c r="AG47" s="183"/>
      <c r="AH47" s="92"/>
      <c r="AI47" s="190" t="s">
        <v>143</v>
      </c>
      <c r="AJ47" s="582">
        <v>2.7305999999999999</v>
      </c>
      <c r="AK47" s="595">
        <v>2.7305999999999999</v>
      </c>
      <c r="AL47" s="587"/>
      <c r="AM47" s="587">
        <v>0</v>
      </c>
      <c r="AN47" s="184">
        <v>0</v>
      </c>
      <c r="AO47" s="184"/>
      <c r="AP47" s="184"/>
      <c r="AQ47" s="183"/>
    </row>
    <row r="48" spans="1:43" ht="18" customHeight="1" x14ac:dyDescent="0.25">
      <c r="A48" s="177"/>
      <c r="B48" s="187">
        <v>3258105</v>
      </c>
      <c r="C48" s="124" t="s">
        <v>64</v>
      </c>
      <c r="D48" s="188"/>
      <c r="E48" s="189" t="s">
        <v>143</v>
      </c>
      <c r="F48" s="570">
        <v>1.22</v>
      </c>
      <c r="G48" s="571">
        <v>1.22</v>
      </c>
      <c r="H48" s="572"/>
      <c r="I48" s="571">
        <v>0</v>
      </c>
      <c r="J48" s="571">
        <v>0</v>
      </c>
      <c r="K48" s="180"/>
      <c r="L48" s="181"/>
      <c r="M48" s="182"/>
      <c r="N48" s="92"/>
      <c r="O48" s="190" t="s">
        <v>143</v>
      </c>
      <c r="P48" s="582">
        <v>1.99</v>
      </c>
      <c r="Q48" s="587">
        <v>1.99</v>
      </c>
      <c r="R48" s="184"/>
      <c r="S48" s="587">
        <v>0</v>
      </c>
      <c r="T48" s="587">
        <v>0</v>
      </c>
      <c r="U48" s="184"/>
      <c r="V48" s="184"/>
      <c r="W48" s="183"/>
      <c r="X48" s="92"/>
      <c r="Y48" s="190" t="s">
        <v>143</v>
      </c>
      <c r="Z48" s="582">
        <v>4.1357999999999997</v>
      </c>
      <c r="AA48" s="587">
        <v>4.1357999999999997</v>
      </c>
      <c r="AB48" s="184"/>
      <c r="AC48" s="587">
        <v>0</v>
      </c>
      <c r="AD48" s="587">
        <v>0</v>
      </c>
      <c r="AE48" s="184"/>
      <c r="AF48" s="184"/>
      <c r="AG48" s="183"/>
      <c r="AH48" s="92"/>
      <c r="AI48" s="190" t="s">
        <v>143</v>
      </c>
      <c r="AJ48" s="582">
        <v>2.6442000000000001</v>
      </c>
      <c r="AK48" s="595">
        <v>2.6442000000000001</v>
      </c>
      <c r="AL48" s="587"/>
      <c r="AM48" s="587">
        <v>0</v>
      </c>
      <c r="AN48" s="184">
        <v>0</v>
      </c>
      <c r="AO48" s="184"/>
      <c r="AP48" s="184"/>
      <c r="AQ48" s="183"/>
    </row>
    <row r="49" spans="1:43" ht="18" customHeight="1" x14ac:dyDescent="0.25">
      <c r="A49" s="177"/>
      <c r="B49" s="125">
        <v>3258107</v>
      </c>
      <c r="C49" s="124" t="s">
        <v>65</v>
      </c>
      <c r="D49" s="124"/>
      <c r="E49" s="124"/>
      <c r="F49" s="570">
        <v>19.98</v>
      </c>
      <c r="G49" s="571">
        <v>19.98</v>
      </c>
      <c r="H49" s="572"/>
      <c r="I49" s="571">
        <v>0</v>
      </c>
      <c r="J49" s="571">
        <v>0</v>
      </c>
      <c r="K49" s="180"/>
      <c r="L49" s="181"/>
      <c r="M49" s="182"/>
      <c r="N49" s="92"/>
      <c r="O49" s="190" t="s">
        <v>143</v>
      </c>
      <c r="P49" s="582">
        <v>0</v>
      </c>
      <c r="Q49" s="587">
        <v>0</v>
      </c>
      <c r="R49" s="184"/>
      <c r="S49" s="587">
        <v>0</v>
      </c>
      <c r="T49" s="587">
        <v>0</v>
      </c>
      <c r="U49" s="184"/>
      <c r="V49" s="184"/>
      <c r="W49" s="183"/>
      <c r="X49" s="92"/>
      <c r="Y49" s="190" t="s">
        <v>143</v>
      </c>
      <c r="Z49" s="582">
        <v>2.9618000000000002</v>
      </c>
      <c r="AA49" s="587">
        <v>2.9618000000000002</v>
      </c>
      <c r="AB49" s="184"/>
      <c r="AC49" s="587">
        <v>0</v>
      </c>
      <c r="AD49" s="587">
        <v>0</v>
      </c>
      <c r="AE49" s="184"/>
      <c r="AF49" s="184"/>
      <c r="AG49" s="183"/>
      <c r="AH49" s="92"/>
      <c r="AI49" s="190" t="s">
        <v>143</v>
      </c>
      <c r="AJ49" s="582">
        <v>2.0581999999999998</v>
      </c>
      <c r="AK49" s="595">
        <v>2.0581999999999998</v>
      </c>
      <c r="AL49" s="587"/>
      <c r="AM49" s="587">
        <v>0</v>
      </c>
      <c r="AN49" s="184">
        <v>0</v>
      </c>
      <c r="AO49" s="184"/>
      <c r="AP49" s="184"/>
      <c r="AQ49" s="183"/>
    </row>
    <row r="50" spans="1:43" ht="18" customHeight="1" x14ac:dyDescent="0.25">
      <c r="A50" s="177"/>
      <c r="B50" s="125">
        <v>3258106</v>
      </c>
      <c r="C50" s="124" t="s">
        <v>66</v>
      </c>
      <c r="D50" s="124"/>
      <c r="E50" s="124"/>
      <c r="F50" s="570">
        <v>14.53</v>
      </c>
      <c r="G50" s="571">
        <v>14.53</v>
      </c>
      <c r="H50" s="572"/>
      <c r="I50" s="571">
        <v>0</v>
      </c>
      <c r="J50" s="571">
        <v>0</v>
      </c>
      <c r="K50" s="180"/>
      <c r="L50" s="181"/>
      <c r="M50" s="182"/>
      <c r="N50" s="92"/>
      <c r="O50" s="190" t="s">
        <v>143</v>
      </c>
      <c r="P50" s="582">
        <v>4.95</v>
      </c>
      <c r="Q50" s="587">
        <v>4.95</v>
      </c>
      <c r="R50" s="184"/>
      <c r="S50" s="587">
        <v>0</v>
      </c>
      <c r="T50" s="587">
        <v>0</v>
      </c>
      <c r="U50" s="184"/>
      <c r="V50" s="184"/>
      <c r="W50" s="183"/>
      <c r="X50" s="92"/>
      <c r="Y50" s="190" t="s">
        <v>143</v>
      </c>
      <c r="Z50" s="582">
        <v>11.9016</v>
      </c>
      <c r="AA50" s="587">
        <v>11.9016</v>
      </c>
      <c r="AB50" s="184"/>
      <c r="AC50" s="587">
        <v>0</v>
      </c>
      <c r="AD50" s="587">
        <v>0</v>
      </c>
      <c r="AE50" s="184"/>
      <c r="AF50" s="184"/>
      <c r="AG50" s="183"/>
      <c r="AH50" s="92"/>
      <c r="AI50" s="190" t="s">
        <v>143</v>
      </c>
      <c r="AJ50" s="582">
        <v>8.6183999999999994</v>
      </c>
      <c r="AK50" s="595">
        <v>8.6183999999999994</v>
      </c>
      <c r="AL50" s="587"/>
      <c r="AM50" s="587">
        <v>0</v>
      </c>
      <c r="AN50" s="184">
        <v>0</v>
      </c>
      <c r="AO50" s="184"/>
      <c r="AP50" s="184"/>
      <c r="AQ50" s="183"/>
    </row>
    <row r="51" spans="1:43" ht="18" customHeight="1" x14ac:dyDescent="0.25">
      <c r="A51" s="177"/>
      <c r="B51" s="187">
        <v>3258105</v>
      </c>
      <c r="C51" s="124" t="s">
        <v>67</v>
      </c>
      <c r="D51" s="188"/>
      <c r="E51" s="189" t="s">
        <v>143</v>
      </c>
      <c r="F51" s="570">
        <v>1.39</v>
      </c>
      <c r="G51" s="571">
        <v>1.39</v>
      </c>
      <c r="H51" s="572"/>
      <c r="I51" s="571">
        <v>0</v>
      </c>
      <c r="J51" s="571">
        <v>0</v>
      </c>
      <c r="K51" s="180"/>
      <c r="L51" s="181"/>
      <c r="M51" s="182"/>
      <c r="N51" s="92"/>
      <c r="O51" s="190" t="s">
        <v>143</v>
      </c>
      <c r="P51" s="582">
        <v>2</v>
      </c>
      <c r="Q51" s="587">
        <v>2</v>
      </c>
      <c r="R51" s="184"/>
      <c r="S51" s="587">
        <v>0</v>
      </c>
      <c r="T51" s="587">
        <v>0</v>
      </c>
      <c r="U51" s="184"/>
      <c r="V51" s="184"/>
      <c r="W51" s="183"/>
      <c r="X51" s="92"/>
      <c r="Y51" s="190" t="s">
        <v>143</v>
      </c>
      <c r="Z51" s="582">
        <v>9.1355000000000004</v>
      </c>
      <c r="AA51" s="587">
        <v>9.1355000000000004</v>
      </c>
      <c r="AB51" s="184"/>
      <c r="AC51" s="587">
        <v>0</v>
      </c>
      <c r="AD51" s="587">
        <v>0</v>
      </c>
      <c r="AE51" s="184"/>
      <c r="AF51" s="184"/>
      <c r="AG51" s="183"/>
      <c r="AH51" s="92"/>
      <c r="AI51" s="190" t="s">
        <v>143</v>
      </c>
      <c r="AJ51" s="582">
        <v>7.4744999999999999</v>
      </c>
      <c r="AK51" s="595">
        <v>7.4744999999999999</v>
      </c>
      <c r="AL51" s="587"/>
      <c r="AM51" s="587">
        <v>0</v>
      </c>
      <c r="AN51" s="184">
        <v>0</v>
      </c>
      <c r="AO51" s="184"/>
      <c r="AP51" s="184"/>
      <c r="AQ51" s="183"/>
    </row>
    <row r="52" spans="1:43" ht="18" customHeight="1" x14ac:dyDescent="0.25">
      <c r="A52" s="177"/>
      <c r="B52" s="192"/>
      <c r="C52" s="131" t="s">
        <v>103</v>
      </c>
      <c r="D52" s="129"/>
      <c r="E52" s="129"/>
      <c r="F52" s="573"/>
      <c r="G52" s="573"/>
      <c r="H52" s="573"/>
      <c r="I52" s="573"/>
      <c r="J52" s="573"/>
      <c r="K52" s="129"/>
      <c r="L52" s="129"/>
      <c r="M52" s="129"/>
      <c r="N52" s="57"/>
      <c r="O52" s="191"/>
      <c r="P52" s="582">
        <f>SUM(Q52:W52)</f>
        <v>0</v>
      </c>
      <c r="Q52" s="587"/>
      <c r="R52" s="184"/>
      <c r="S52" s="587"/>
      <c r="T52" s="587"/>
      <c r="U52" s="184"/>
      <c r="V52" s="184"/>
      <c r="W52" s="183"/>
      <c r="X52" s="57"/>
      <c r="Y52" s="191"/>
      <c r="Z52" s="582"/>
      <c r="AA52" s="587"/>
      <c r="AB52" s="184"/>
      <c r="AC52" s="587"/>
      <c r="AD52" s="587"/>
      <c r="AE52" s="184"/>
      <c r="AF52" s="184"/>
      <c r="AG52" s="183"/>
      <c r="AH52" s="57"/>
      <c r="AI52" s="191"/>
      <c r="AJ52" s="582"/>
      <c r="AK52" s="595"/>
      <c r="AL52" s="587"/>
      <c r="AM52" s="587"/>
      <c r="AN52" s="184"/>
      <c r="AO52" s="184"/>
      <c r="AP52" s="184"/>
      <c r="AQ52" s="183"/>
    </row>
    <row r="53" spans="1:43" ht="18.75" customHeight="1" x14ac:dyDescent="0.25">
      <c r="A53" s="177"/>
      <c r="B53" s="200">
        <v>3258114</v>
      </c>
      <c r="C53" s="72" t="s">
        <v>68</v>
      </c>
      <c r="D53" s="72" t="s">
        <v>146</v>
      </c>
      <c r="E53" s="189" t="s">
        <v>143</v>
      </c>
      <c r="F53" s="570">
        <v>95.03</v>
      </c>
      <c r="G53" s="571">
        <v>10.83</v>
      </c>
      <c r="H53" s="572"/>
      <c r="I53" s="571">
        <v>84.2</v>
      </c>
      <c r="J53" s="571">
        <v>0</v>
      </c>
      <c r="K53" s="180"/>
      <c r="L53" s="181"/>
      <c r="M53" s="182"/>
      <c r="N53" s="71" t="s">
        <v>146</v>
      </c>
      <c r="O53" s="190" t="s">
        <v>143</v>
      </c>
      <c r="P53" s="582">
        <v>33.17</v>
      </c>
      <c r="Q53" s="587">
        <v>4.8826239999999999</v>
      </c>
      <c r="R53" s="184"/>
      <c r="S53" s="587">
        <v>28.287375999999998</v>
      </c>
      <c r="T53" s="587">
        <v>0</v>
      </c>
      <c r="U53" s="184"/>
      <c r="V53" s="184"/>
      <c r="W53" s="183"/>
      <c r="X53" s="71" t="s">
        <v>146</v>
      </c>
      <c r="Y53" s="190" t="s">
        <v>143</v>
      </c>
      <c r="Z53" s="582">
        <v>173.90520000000001</v>
      </c>
      <c r="AA53" s="587">
        <v>25.598845440000002</v>
      </c>
      <c r="AB53" s="184"/>
      <c r="AC53" s="587">
        <v>148.30635455999999</v>
      </c>
      <c r="AD53" s="587">
        <v>0</v>
      </c>
      <c r="AE53" s="184"/>
      <c r="AF53" s="184"/>
      <c r="AG53" s="183"/>
      <c r="AH53" s="71"/>
      <c r="AI53" s="190"/>
      <c r="AJ53" s="582">
        <v>102.1348</v>
      </c>
      <c r="AK53" s="595">
        <v>15.034242559999999</v>
      </c>
      <c r="AL53" s="587"/>
      <c r="AM53" s="587">
        <v>87.100557440000017</v>
      </c>
      <c r="AN53" s="184">
        <v>0</v>
      </c>
      <c r="AO53" s="184"/>
      <c r="AP53" s="184"/>
      <c r="AQ53" s="183"/>
    </row>
    <row r="54" spans="1:43" ht="18" customHeight="1" x14ac:dyDescent="0.25">
      <c r="A54" s="177"/>
      <c r="B54" s="187">
        <v>3258128</v>
      </c>
      <c r="C54" s="124" t="s">
        <v>69</v>
      </c>
      <c r="D54" s="72" t="s">
        <v>146</v>
      </c>
      <c r="E54" s="189" t="s">
        <v>143</v>
      </c>
      <c r="F54" s="570">
        <v>2.39</v>
      </c>
      <c r="G54" s="571">
        <v>2.39</v>
      </c>
      <c r="H54" s="572"/>
      <c r="I54" s="571">
        <v>0</v>
      </c>
      <c r="J54" s="571">
        <v>0</v>
      </c>
      <c r="K54" s="180"/>
      <c r="L54" s="181"/>
      <c r="M54" s="182"/>
      <c r="N54" s="71" t="s">
        <v>146</v>
      </c>
      <c r="O54" s="190" t="s">
        <v>143</v>
      </c>
      <c r="P54" s="582">
        <v>0.38</v>
      </c>
      <c r="Q54" s="587">
        <v>0.38</v>
      </c>
      <c r="R54" s="184"/>
      <c r="S54" s="587">
        <v>0</v>
      </c>
      <c r="T54" s="587">
        <v>0</v>
      </c>
      <c r="U54" s="184"/>
      <c r="V54" s="184"/>
      <c r="W54" s="183"/>
      <c r="X54" s="71" t="s">
        <v>146</v>
      </c>
      <c r="Y54" s="190" t="s">
        <v>143</v>
      </c>
      <c r="Z54" s="582">
        <v>1.3603000000000001</v>
      </c>
      <c r="AA54" s="587">
        <v>1.3603000000000001</v>
      </c>
      <c r="AB54" s="184"/>
      <c r="AC54" s="587">
        <v>0</v>
      </c>
      <c r="AD54" s="587">
        <v>0</v>
      </c>
      <c r="AE54" s="184"/>
      <c r="AF54" s="184"/>
      <c r="AG54" s="183"/>
      <c r="AH54" s="71" t="s">
        <v>146</v>
      </c>
      <c r="AI54" s="190" t="s">
        <v>143</v>
      </c>
      <c r="AJ54" s="582">
        <v>0.86970000000000025</v>
      </c>
      <c r="AK54" s="595">
        <v>0.86970000000000025</v>
      </c>
      <c r="AL54" s="587"/>
      <c r="AM54" s="587">
        <v>0</v>
      </c>
      <c r="AN54" s="184">
        <v>0</v>
      </c>
      <c r="AO54" s="184"/>
      <c r="AP54" s="184"/>
      <c r="AQ54" s="183"/>
    </row>
    <row r="55" spans="1:43" ht="18" customHeight="1" x14ac:dyDescent="0.25">
      <c r="A55" s="177"/>
      <c r="B55" s="125">
        <v>3258107</v>
      </c>
      <c r="C55" s="208" t="s">
        <v>70</v>
      </c>
      <c r="D55" s="124"/>
      <c r="E55" s="124"/>
      <c r="F55" s="471">
        <v>7.48</v>
      </c>
      <c r="G55" s="471">
        <v>7.48</v>
      </c>
      <c r="H55" s="471"/>
      <c r="I55" s="471">
        <v>0</v>
      </c>
      <c r="J55" s="471">
        <v>0</v>
      </c>
      <c r="K55" s="124"/>
      <c r="L55" s="124"/>
      <c r="M55" s="124"/>
      <c r="N55" s="71"/>
      <c r="O55" s="190" t="s">
        <v>143</v>
      </c>
      <c r="P55" s="582">
        <v>1.49</v>
      </c>
      <c r="Q55" s="587">
        <v>1.49</v>
      </c>
      <c r="R55" s="184"/>
      <c r="S55" s="587">
        <v>0</v>
      </c>
      <c r="T55" s="587">
        <v>0</v>
      </c>
      <c r="U55" s="184"/>
      <c r="V55" s="184"/>
      <c r="W55" s="183"/>
      <c r="X55" s="71"/>
      <c r="Y55" s="190" t="s">
        <v>143</v>
      </c>
      <c r="Z55" s="582">
        <v>17.376799999999999</v>
      </c>
      <c r="AA55" s="587">
        <v>17.376799999999999</v>
      </c>
      <c r="AB55" s="184"/>
      <c r="AC55" s="587">
        <v>0</v>
      </c>
      <c r="AD55" s="587">
        <v>0</v>
      </c>
      <c r="AE55" s="184"/>
      <c r="AF55" s="184"/>
      <c r="AG55" s="183"/>
      <c r="AH55" s="71"/>
      <c r="AI55" s="190" t="s">
        <v>143</v>
      </c>
      <c r="AJ55" s="582">
        <v>13.6532</v>
      </c>
      <c r="AK55" s="595">
        <v>13.6532</v>
      </c>
      <c r="AL55" s="587"/>
      <c r="AM55" s="587">
        <v>0</v>
      </c>
      <c r="AN55" s="184">
        <v>0</v>
      </c>
      <c r="AO55" s="184"/>
      <c r="AP55" s="184"/>
      <c r="AQ55" s="183"/>
    </row>
    <row r="56" spans="1:43" ht="15" customHeight="1" x14ac:dyDescent="0.25">
      <c r="A56" s="209" t="s">
        <v>147</v>
      </c>
      <c r="B56" s="85"/>
      <c r="C56" s="188"/>
      <c r="D56" s="188"/>
      <c r="E56" s="188"/>
      <c r="F56" s="571">
        <f>SUM(F11:F55)</f>
        <v>10624.849999999999</v>
      </c>
      <c r="G56" s="571">
        <f>SUM(G11:G55)</f>
        <v>3284.6599999999994</v>
      </c>
      <c r="H56" s="571"/>
      <c r="I56" s="571">
        <f>SUM(I11:I55)</f>
        <v>2172.1799999999998</v>
      </c>
      <c r="J56" s="571">
        <f>SUM(J11:J55)</f>
        <v>5168.01</v>
      </c>
      <c r="K56" s="180"/>
      <c r="L56" s="181"/>
      <c r="M56" s="182"/>
      <c r="N56" s="92"/>
      <c r="O56" s="210"/>
      <c r="P56" s="582">
        <f>SUM(Q56:W56)</f>
        <v>1601.5100000000002</v>
      </c>
      <c r="Q56" s="587">
        <f>SUM(Q11:Q55)</f>
        <v>727.44438400000013</v>
      </c>
      <c r="R56" s="184"/>
      <c r="S56" s="587">
        <f>SUM(S11:S55)</f>
        <v>424.06561599999998</v>
      </c>
      <c r="T56" s="587">
        <f>SUM(T11:T55)</f>
        <v>450</v>
      </c>
      <c r="U56" s="184"/>
      <c r="V56" s="184"/>
      <c r="W56" s="184"/>
      <c r="X56" s="92"/>
      <c r="Y56" s="210"/>
      <c r="Z56" s="587">
        <f>SUM(Z11:Z55)</f>
        <v>4162.978540000001</v>
      </c>
      <c r="AA56" s="587">
        <f>SUM(AA11:AA55)</f>
        <v>1503.2642383199998</v>
      </c>
      <c r="AB56" s="184"/>
      <c r="AC56" s="587">
        <f>SUM(AC11:AC55)</f>
        <v>1285.14335168</v>
      </c>
      <c r="AD56" s="587">
        <f>SUM(AD11:AD55)</f>
        <v>1374.57095</v>
      </c>
      <c r="AE56" s="184"/>
      <c r="AF56" s="184"/>
      <c r="AG56" s="184"/>
      <c r="AH56" s="92"/>
      <c r="AI56" s="210"/>
      <c r="AJ56" s="587">
        <f>SUM(AJ11:AJ55)</f>
        <v>2681.5944599999993</v>
      </c>
      <c r="AK56" s="595">
        <f>SUM(AK11:AK55)</f>
        <v>1065.4796816800001</v>
      </c>
      <c r="AL56" s="587"/>
      <c r="AM56" s="587">
        <f>SUM(AM11:AM55)</f>
        <v>737.29072831999986</v>
      </c>
      <c r="AN56" s="184">
        <f>SUM(AN11:AN55)</f>
        <v>878.82404999999983</v>
      </c>
      <c r="AO56" s="184"/>
      <c r="AP56" s="184"/>
      <c r="AQ56" s="184"/>
    </row>
    <row r="57" spans="1:43" s="84" customFormat="1" ht="14.25" customHeight="1" x14ac:dyDescent="0.25">
      <c r="A57" s="860" t="s">
        <v>73</v>
      </c>
      <c r="B57" s="808"/>
      <c r="C57" s="820"/>
      <c r="D57" s="211"/>
      <c r="E57" s="211"/>
      <c r="F57" s="570"/>
      <c r="G57" s="484"/>
      <c r="H57" s="484"/>
      <c r="I57" s="484"/>
      <c r="J57" s="484"/>
      <c r="M57" s="85"/>
      <c r="N57" s="212"/>
      <c r="O57" s="213"/>
      <c r="P57" s="582"/>
      <c r="Q57" s="588"/>
      <c r="R57" s="746"/>
      <c r="S57" s="592"/>
      <c r="T57" s="592"/>
      <c r="U57" s="746"/>
      <c r="V57" s="746"/>
      <c r="W57" s="183"/>
      <c r="X57" s="212"/>
      <c r="Y57" s="213"/>
      <c r="Z57" s="582"/>
      <c r="AA57" s="592"/>
      <c r="AB57" s="746"/>
      <c r="AC57" s="592"/>
      <c r="AD57" s="592"/>
      <c r="AE57" s="746"/>
      <c r="AF57" s="746"/>
      <c r="AG57" s="183"/>
      <c r="AH57" s="212"/>
      <c r="AI57" s="213"/>
      <c r="AJ57" s="582"/>
      <c r="AK57" s="592"/>
      <c r="AL57" s="592"/>
      <c r="AM57" s="592"/>
      <c r="AN57" s="746"/>
      <c r="AO57" s="746"/>
      <c r="AP57" s="746"/>
      <c r="AQ57" s="183"/>
    </row>
    <row r="58" spans="1:43" s="84" customFormat="1" ht="15" customHeight="1" x14ac:dyDescent="0.25">
      <c r="A58" s="214"/>
      <c r="B58" s="178"/>
      <c r="C58" s="179" t="s">
        <v>74</v>
      </c>
      <c r="D58" s="179"/>
      <c r="E58" s="179"/>
      <c r="F58" s="570"/>
      <c r="G58" s="571"/>
      <c r="H58" s="571"/>
      <c r="I58" s="571"/>
      <c r="J58" s="571"/>
      <c r="K58" s="180"/>
      <c r="L58" s="181"/>
      <c r="M58" s="85"/>
      <c r="N58" s="57"/>
      <c r="O58" s="191"/>
      <c r="P58" s="582"/>
      <c r="Q58" s="587"/>
      <c r="R58" s="184"/>
      <c r="S58" s="587"/>
      <c r="T58" s="587"/>
      <c r="U58" s="184"/>
      <c r="V58" s="184"/>
      <c r="W58" s="183"/>
      <c r="X58" s="57"/>
      <c r="Y58" s="191"/>
      <c r="Z58" s="582"/>
      <c r="AA58" s="595"/>
      <c r="AB58" s="184"/>
      <c r="AC58" s="587"/>
      <c r="AD58" s="587"/>
      <c r="AE58" s="184"/>
      <c r="AF58" s="184"/>
      <c r="AG58" s="183"/>
      <c r="AH58" s="57"/>
      <c r="AI58" s="191"/>
      <c r="AJ58" s="582"/>
      <c r="AK58" s="595"/>
      <c r="AL58" s="587"/>
      <c r="AM58" s="587"/>
      <c r="AN58" s="184"/>
      <c r="AO58" s="184"/>
      <c r="AP58" s="184"/>
      <c r="AQ58" s="183"/>
    </row>
    <row r="59" spans="1:43" s="84" customFormat="1" ht="19.5" customHeight="1" x14ac:dyDescent="0.25">
      <c r="A59" s="215"/>
      <c r="B59" s="195"/>
      <c r="C59" s="839" t="s">
        <v>75</v>
      </c>
      <c r="D59" s="808"/>
      <c r="E59" s="808"/>
      <c r="F59" s="808"/>
      <c r="G59" s="808"/>
      <c r="H59" s="808"/>
      <c r="I59" s="808"/>
      <c r="J59" s="808"/>
      <c r="K59" s="808"/>
      <c r="L59" s="808"/>
      <c r="M59" s="808"/>
      <c r="N59" s="808"/>
      <c r="O59" s="808"/>
      <c r="P59" s="808"/>
      <c r="Q59" s="820"/>
      <c r="R59" s="184"/>
      <c r="S59" s="587"/>
      <c r="T59" s="587"/>
      <c r="U59" s="184"/>
      <c r="V59" s="184"/>
      <c r="W59" s="183"/>
      <c r="X59" s="216"/>
      <c r="Y59" s="191"/>
      <c r="Z59" s="582"/>
      <c r="AA59" s="595"/>
      <c r="AB59" s="184"/>
      <c r="AC59" s="587"/>
      <c r="AD59" s="587"/>
      <c r="AE59" s="184"/>
      <c r="AF59" s="184"/>
      <c r="AG59" s="183"/>
      <c r="AH59" s="216"/>
      <c r="AI59" s="191"/>
      <c r="AJ59" s="582"/>
      <c r="AK59" s="595"/>
      <c r="AL59" s="587"/>
      <c r="AM59" s="587"/>
      <c r="AN59" s="184"/>
      <c r="AO59" s="184"/>
      <c r="AP59" s="184"/>
      <c r="AQ59" s="183"/>
    </row>
    <row r="60" spans="1:43" s="84" customFormat="1" ht="60" customHeight="1" x14ac:dyDescent="0.25">
      <c r="A60" s="177"/>
      <c r="B60" s="187">
        <v>4112101</v>
      </c>
      <c r="C60" s="217" t="s">
        <v>76</v>
      </c>
      <c r="D60" s="218" t="s">
        <v>146</v>
      </c>
      <c r="E60" s="219" t="s">
        <v>148</v>
      </c>
      <c r="F60" s="574">
        <v>606.9</v>
      </c>
      <c r="G60" s="575">
        <v>606.9</v>
      </c>
      <c r="H60" s="572"/>
      <c r="I60" s="575">
        <v>0</v>
      </c>
      <c r="J60" s="575">
        <v>0</v>
      </c>
      <c r="K60" s="184"/>
      <c r="L60" s="220"/>
      <c r="M60" s="90"/>
      <c r="N60" s="218" t="s">
        <v>146</v>
      </c>
      <c r="O60" s="219" t="s">
        <v>149</v>
      </c>
      <c r="P60" s="582">
        <v>0</v>
      </c>
      <c r="Q60" s="587">
        <v>0</v>
      </c>
      <c r="R60" s="184"/>
      <c r="S60" s="587">
        <v>0</v>
      </c>
      <c r="T60" s="587">
        <v>0</v>
      </c>
      <c r="U60" s="184"/>
      <c r="V60" s="184"/>
      <c r="W60" s="183"/>
      <c r="X60" s="71"/>
      <c r="Y60" s="221"/>
      <c r="Z60" s="582">
        <v>95.600000000000023</v>
      </c>
      <c r="AA60" s="595">
        <v>95.600000000000023</v>
      </c>
      <c r="AB60" s="184"/>
      <c r="AC60" s="587">
        <v>0</v>
      </c>
      <c r="AD60" s="587">
        <v>0</v>
      </c>
      <c r="AE60" s="184"/>
      <c r="AF60" s="184"/>
      <c r="AG60" s="183"/>
      <c r="AH60" s="71"/>
      <c r="AI60" s="221"/>
      <c r="AJ60" s="582">
        <v>0</v>
      </c>
      <c r="AK60" s="595">
        <v>0</v>
      </c>
      <c r="AL60" s="587"/>
      <c r="AM60" s="587">
        <v>0</v>
      </c>
      <c r="AN60" s="184">
        <v>0</v>
      </c>
      <c r="AO60" s="184"/>
      <c r="AP60" s="184"/>
      <c r="AQ60" s="183"/>
    </row>
    <row r="61" spans="1:43" s="84" customFormat="1" ht="30.75" customHeight="1" x14ac:dyDescent="0.25">
      <c r="A61" s="215"/>
      <c r="B61" s="187">
        <v>4112101</v>
      </c>
      <c r="C61" s="222" t="s">
        <v>78</v>
      </c>
      <c r="D61" s="71" t="s">
        <v>146</v>
      </c>
      <c r="E61" s="222" t="s">
        <v>150</v>
      </c>
      <c r="F61" s="570">
        <v>50.22</v>
      </c>
      <c r="G61" s="571">
        <v>50.22</v>
      </c>
      <c r="H61" s="572"/>
      <c r="I61" s="571">
        <v>0</v>
      </c>
      <c r="J61" s="571">
        <v>0</v>
      </c>
      <c r="K61" s="180"/>
      <c r="L61" s="181"/>
      <c r="M61" s="85"/>
      <c r="N61" s="71" t="s">
        <v>146</v>
      </c>
      <c r="O61" s="221" t="s">
        <v>151</v>
      </c>
      <c r="P61" s="582">
        <v>0</v>
      </c>
      <c r="Q61" s="587">
        <v>0</v>
      </c>
      <c r="R61" s="184"/>
      <c r="S61" s="587">
        <v>0</v>
      </c>
      <c r="T61" s="587">
        <v>0</v>
      </c>
      <c r="U61" s="184"/>
      <c r="V61" s="184"/>
      <c r="W61" s="183"/>
      <c r="X61" s="71"/>
      <c r="Y61" s="221"/>
      <c r="Z61" s="582">
        <v>18.03</v>
      </c>
      <c r="AA61" s="587">
        <v>18.03</v>
      </c>
      <c r="AB61" s="184"/>
      <c r="AC61" s="587">
        <v>0</v>
      </c>
      <c r="AD61" s="587">
        <v>0</v>
      </c>
      <c r="AE61" s="184"/>
      <c r="AF61" s="184"/>
      <c r="AG61" s="183"/>
      <c r="AH61" s="71"/>
      <c r="AI61" s="221"/>
      <c r="AJ61" s="582">
        <v>0</v>
      </c>
      <c r="AK61" s="595">
        <v>0</v>
      </c>
      <c r="AL61" s="587"/>
      <c r="AM61" s="587">
        <v>0</v>
      </c>
      <c r="AN61" s="184">
        <v>0</v>
      </c>
      <c r="AO61" s="184"/>
      <c r="AP61" s="184"/>
      <c r="AQ61" s="183"/>
    </row>
    <row r="62" spans="1:43" s="84" customFormat="1" ht="18" customHeight="1" x14ac:dyDescent="0.25">
      <c r="A62" s="177"/>
      <c r="B62" s="195"/>
      <c r="C62" s="839" t="s">
        <v>79</v>
      </c>
      <c r="D62" s="808"/>
      <c r="E62" s="808"/>
      <c r="F62" s="808"/>
      <c r="G62" s="808"/>
      <c r="H62" s="808"/>
      <c r="I62" s="808"/>
      <c r="J62" s="808"/>
      <c r="K62" s="808"/>
      <c r="L62" s="808"/>
      <c r="M62" s="808"/>
      <c r="N62" s="808"/>
      <c r="O62" s="808"/>
      <c r="P62" s="808"/>
      <c r="Q62" s="820"/>
      <c r="R62" s="184"/>
      <c r="S62" s="587"/>
      <c r="T62" s="587"/>
      <c r="U62" s="184"/>
      <c r="V62" s="184"/>
      <c r="W62" s="183"/>
      <c r="X62" s="223"/>
      <c r="Y62" s="224"/>
      <c r="Z62" s="582"/>
      <c r="AA62" s="595"/>
      <c r="AB62" s="184"/>
      <c r="AC62" s="587"/>
      <c r="AD62" s="587"/>
      <c r="AE62" s="184"/>
      <c r="AF62" s="184"/>
      <c r="AG62" s="183"/>
      <c r="AH62" s="223"/>
      <c r="AI62" s="224"/>
      <c r="AJ62" s="582"/>
      <c r="AK62" s="595"/>
      <c r="AL62" s="587"/>
      <c r="AM62" s="587"/>
      <c r="AN62" s="184"/>
      <c r="AO62" s="184"/>
      <c r="AP62" s="184"/>
      <c r="AQ62" s="183"/>
    </row>
    <row r="63" spans="1:43" s="84" customFormat="1" ht="18" customHeight="1" x14ac:dyDescent="0.25">
      <c r="A63" s="177"/>
      <c r="B63" s="187">
        <v>4112102</v>
      </c>
      <c r="C63" s="225" t="s">
        <v>80</v>
      </c>
      <c r="D63" s="71" t="s">
        <v>146</v>
      </c>
      <c r="E63" s="221" t="s">
        <v>152</v>
      </c>
      <c r="F63" s="570">
        <v>61.29</v>
      </c>
      <c r="G63" s="571">
        <v>61.29</v>
      </c>
      <c r="H63" s="572"/>
      <c r="I63" s="571">
        <v>0</v>
      </c>
      <c r="J63" s="571">
        <v>0</v>
      </c>
      <c r="K63" s="180"/>
      <c r="L63" s="181"/>
      <c r="M63" s="85"/>
      <c r="N63" s="71" t="s">
        <v>146</v>
      </c>
      <c r="O63" s="221" t="s">
        <v>149</v>
      </c>
      <c r="P63" s="582">
        <v>0</v>
      </c>
      <c r="Q63" s="587">
        <v>0</v>
      </c>
      <c r="R63" s="184"/>
      <c r="S63" s="587">
        <v>0</v>
      </c>
      <c r="T63" s="587">
        <v>0</v>
      </c>
      <c r="U63" s="184"/>
      <c r="V63" s="184"/>
      <c r="W63" s="183"/>
      <c r="X63" s="71"/>
      <c r="Y63" s="221"/>
      <c r="Z63" s="582">
        <v>28.71</v>
      </c>
      <c r="AA63" s="587">
        <v>28.71</v>
      </c>
      <c r="AB63" s="184"/>
      <c r="AC63" s="587">
        <v>0</v>
      </c>
      <c r="AD63" s="587">
        <v>0</v>
      </c>
      <c r="AE63" s="184"/>
      <c r="AF63" s="184"/>
      <c r="AG63" s="183"/>
      <c r="AH63" s="71"/>
      <c r="AI63" s="221"/>
      <c r="AJ63" s="582">
        <v>0</v>
      </c>
      <c r="AK63" s="595">
        <v>0</v>
      </c>
      <c r="AL63" s="587"/>
      <c r="AM63" s="587">
        <v>0</v>
      </c>
      <c r="AN63" s="184">
        <v>0</v>
      </c>
      <c r="AO63" s="184"/>
      <c r="AP63" s="184"/>
      <c r="AQ63" s="183"/>
    </row>
    <row r="64" spans="1:43" s="84" customFormat="1" ht="18" customHeight="1" x14ac:dyDescent="0.25">
      <c r="A64" s="177"/>
      <c r="B64" s="83"/>
      <c r="C64" s="839" t="s">
        <v>153</v>
      </c>
      <c r="D64" s="808"/>
      <c r="E64" s="808"/>
      <c r="F64" s="808"/>
      <c r="G64" s="808"/>
      <c r="H64" s="808"/>
      <c r="I64" s="808"/>
      <c r="J64" s="808"/>
      <c r="K64" s="808"/>
      <c r="L64" s="808"/>
      <c r="M64" s="808"/>
      <c r="N64" s="808"/>
      <c r="O64" s="808"/>
      <c r="P64" s="808"/>
      <c r="Q64" s="820"/>
      <c r="R64" s="184"/>
      <c r="S64" s="587"/>
      <c r="T64" s="587"/>
      <c r="U64" s="184"/>
      <c r="V64" s="184"/>
      <c r="W64" s="183"/>
      <c r="X64" s="223"/>
      <c r="Y64" s="224"/>
      <c r="Z64" s="582"/>
      <c r="AA64" s="595"/>
      <c r="AB64" s="184"/>
      <c r="AC64" s="587"/>
      <c r="AD64" s="587"/>
      <c r="AE64" s="184"/>
      <c r="AF64" s="184"/>
      <c r="AG64" s="183"/>
      <c r="AH64" s="223"/>
      <c r="AI64" s="224"/>
      <c r="AJ64" s="582"/>
      <c r="AK64" s="595"/>
      <c r="AL64" s="587"/>
      <c r="AM64" s="587"/>
      <c r="AN64" s="184"/>
      <c r="AO64" s="184"/>
      <c r="AP64" s="184"/>
      <c r="AQ64" s="183"/>
    </row>
    <row r="65" spans="1:43" s="84" customFormat="1" ht="33.75" customHeight="1" x14ac:dyDescent="0.25">
      <c r="A65" s="177"/>
      <c r="B65" s="187">
        <v>4112316</v>
      </c>
      <c r="C65" s="222" t="s">
        <v>81</v>
      </c>
      <c r="D65" s="71" t="s">
        <v>146</v>
      </c>
      <c r="E65" s="222" t="s">
        <v>148</v>
      </c>
      <c r="F65" s="570">
        <v>8.9700000000000006</v>
      </c>
      <c r="G65" s="571">
        <v>8.9700000000000006</v>
      </c>
      <c r="H65" s="572"/>
      <c r="I65" s="571">
        <v>0</v>
      </c>
      <c r="J65" s="571">
        <v>0</v>
      </c>
      <c r="K65" s="180"/>
      <c r="L65" s="181"/>
      <c r="M65" s="85"/>
      <c r="N65" s="71" t="s">
        <v>146</v>
      </c>
      <c r="O65" s="221"/>
      <c r="P65" s="582">
        <v>0</v>
      </c>
      <c r="Q65" s="587">
        <v>0</v>
      </c>
      <c r="R65" s="184"/>
      <c r="S65" s="587">
        <v>0</v>
      </c>
      <c r="T65" s="587">
        <v>0</v>
      </c>
      <c r="U65" s="184"/>
      <c r="V65" s="184"/>
      <c r="W65" s="183"/>
      <c r="X65" s="71"/>
      <c r="Y65" s="221"/>
      <c r="Z65" s="582">
        <v>0</v>
      </c>
      <c r="AA65" s="587">
        <v>0</v>
      </c>
      <c r="AB65" s="184"/>
      <c r="AC65" s="587">
        <v>0</v>
      </c>
      <c r="AD65" s="587">
        <v>0</v>
      </c>
      <c r="AE65" s="184"/>
      <c r="AF65" s="184"/>
      <c r="AG65" s="183"/>
      <c r="AH65" s="71"/>
      <c r="AI65" s="221"/>
      <c r="AJ65" s="582">
        <v>0</v>
      </c>
      <c r="AK65" s="595">
        <v>0</v>
      </c>
      <c r="AL65" s="587"/>
      <c r="AM65" s="587">
        <v>0</v>
      </c>
      <c r="AN65" s="184">
        <v>0</v>
      </c>
      <c r="AO65" s="184"/>
      <c r="AP65" s="184"/>
      <c r="AQ65" s="183"/>
    </row>
    <row r="66" spans="1:43" s="84" customFormat="1" ht="18" customHeight="1" x14ac:dyDescent="0.25">
      <c r="A66" s="177"/>
      <c r="B66" s="187">
        <v>4112316</v>
      </c>
      <c r="C66" s="222" t="s">
        <v>82</v>
      </c>
      <c r="D66" s="71" t="s">
        <v>146</v>
      </c>
      <c r="E66" s="222" t="s">
        <v>154</v>
      </c>
      <c r="F66" s="570">
        <v>1</v>
      </c>
      <c r="G66" s="571">
        <v>1</v>
      </c>
      <c r="H66" s="572"/>
      <c r="I66" s="571">
        <v>0</v>
      </c>
      <c r="J66" s="571">
        <v>0</v>
      </c>
      <c r="K66" s="180"/>
      <c r="L66" s="181"/>
      <c r="M66" s="85"/>
      <c r="N66" s="71" t="s">
        <v>146</v>
      </c>
      <c r="O66" s="221" t="s">
        <v>151</v>
      </c>
      <c r="P66" s="582">
        <v>0</v>
      </c>
      <c r="Q66" s="587">
        <v>0</v>
      </c>
      <c r="R66" s="184"/>
      <c r="S66" s="587">
        <v>0</v>
      </c>
      <c r="T66" s="587">
        <v>0</v>
      </c>
      <c r="U66" s="184"/>
      <c r="V66" s="184"/>
      <c r="W66" s="183"/>
      <c r="X66" s="71"/>
      <c r="Y66" s="221"/>
      <c r="Z66" s="582">
        <v>0.21</v>
      </c>
      <c r="AA66" s="587">
        <v>0.21</v>
      </c>
      <c r="AB66" s="184"/>
      <c r="AC66" s="587">
        <v>0</v>
      </c>
      <c r="AD66" s="587">
        <v>0</v>
      </c>
      <c r="AE66" s="184"/>
      <c r="AF66" s="184"/>
      <c r="AG66" s="183"/>
      <c r="AH66" s="71"/>
      <c r="AI66" s="221"/>
      <c r="AJ66" s="582">
        <v>0</v>
      </c>
      <c r="AK66" s="595">
        <v>0</v>
      </c>
      <c r="AL66" s="587"/>
      <c r="AM66" s="587">
        <v>0</v>
      </c>
      <c r="AN66" s="184">
        <v>0</v>
      </c>
      <c r="AO66" s="184"/>
      <c r="AP66" s="184"/>
      <c r="AQ66" s="183"/>
    </row>
    <row r="67" spans="1:43" s="84" customFormat="1" ht="17.25" customHeight="1" x14ac:dyDescent="0.25">
      <c r="A67" s="177"/>
      <c r="B67" s="83"/>
      <c r="C67" s="861" t="s">
        <v>67</v>
      </c>
      <c r="D67" s="808"/>
      <c r="E67" s="808"/>
      <c r="F67" s="808"/>
      <c r="G67" s="808"/>
      <c r="H67" s="808"/>
      <c r="I67" s="808"/>
      <c r="J67" s="808"/>
      <c r="K67" s="808"/>
      <c r="L67" s="808"/>
      <c r="M67" s="808"/>
      <c r="N67" s="808"/>
      <c r="O67" s="808"/>
      <c r="P67" s="808"/>
      <c r="Q67" s="820"/>
      <c r="R67" s="184"/>
      <c r="S67" s="587"/>
      <c r="T67" s="587"/>
      <c r="U67" s="184"/>
      <c r="V67" s="184"/>
      <c r="W67" s="183"/>
      <c r="X67" s="216"/>
      <c r="Y67" s="226"/>
      <c r="Z67" s="582"/>
      <c r="AA67" s="595"/>
      <c r="AB67" s="184"/>
      <c r="AC67" s="587"/>
      <c r="AD67" s="587"/>
      <c r="AE67" s="184"/>
      <c r="AF67" s="184"/>
      <c r="AG67" s="183"/>
      <c r="AH67" s="216"/>
      <c r="AI67" s="226"/>
      <c r="AJ67" s="582"/>
      <c r="AK67" s="595"/>
      <c r="AL67" s="587"/>
      <c r="AM67" s="587"/>
      <c r="AN67" s="184"/>
      <c r="AO67" s="184"/>
      <c r="AP67" s="184"/>
      <c r="AQ67" s="183"/>
    </row>
    <row r="68" spans="1:43" s="84" customFormat="1" ht="35.25" customHeight="1" x14ac:dyDescent="0.25">
      <c r="A68" s="177"/>
      <c r="B68" s="187">
        <v>4112304</v>
      </c>
      <c r="C68" s="124" t="s">
        <v>83</v>
      </c>
      <c r="D68" s="71" t="s">
        <v>146</v>
      </c>
      <c r="E68" s="222" t="s">
        <v>155</v>
      </c>
      <c r="F68" s="570">
        <v>20.5</v>
      </c>
      <c r="G68" s="571">
        <v>20.5</v>
      </c>
      <c r="H68" s="572"/>
      <c r="I68" s="571">
        <v>0</v>
      </c>
      <c r="J68" s="571">
        <v>0</v>
      </c>
      <c r="K68" s="180"/>
      <c r="L68" s="181"/>
      <c r="M68" s="85"/>
      <c r="N68" s="71" t="s">
        <v>146</v>
      </c>
      <c r="O68" s="221" t="s">
        <v>156</v>
      </c>
      <c r="P68" s="582">
        <v>0</v>
      </c>
      <c r="Q68" s="587">
        <v>0</v>
      </c>
      <c r="R68" s="184"/>
      <c r="S68" s="587">
        <v>0</v>
      </c>
      <c r="T68" s="587">
        <v>0</v>
      </c>
      <c r="U68" s="184"/>
      <c r="V68" s="184"/>
      <c r="W68" s="183"/>
      <c r="X68" s="71"/>
      <c r="Y68" s="221"/>
      <c r="Z68" s="582">
        <v>0</v>
      </c>
      <c r="AA68" s="587">
        <v>0</v>
      </c>
      <c r="AB68" s="184"/>
      <c r="AC68" s="587">
        <v>0</v>
      </c>
      <c r="AD68" s="587">
        <v>0</v>
      </c>
      <c r="AE68" s="184"/>
      <c r="AF68" s="184"/>
      <c r="AG68" s="183"/>
      <c r="AH68" s="71"/>
      <c r="AI68" s="221"/>
      <c r="AJ68" s="582">
        <v>0</v>
      </c>
      <c r="AK68" s="595">
        <v>0</v>
      </c>
      <c r="AL68" s="587"/>
      <c r="AM68" s="587">
        <v>0</v>
      </c>
      <c r="AN68" s="184">
        <v>0</v>
      </c>
      <c r="AO68" s="184"/>
      <c r="AP68" s="184"/>
      <c r="AQ68" s="183"/>
    </row>
    <row r="69" spans="1:43" s="84" customFormat="1" ht="29.25" customHeight="1" x14ac:dyDescent="0.25">
      <c r="A69" s="177"/>
      <c r="B69" s="187">
        <v>4112304</v>
      </c>
      <c r="C69" s="222" t="s">
        <v>84</v>
      </c>
      <c r="D69" s="222"/>
      <c r="E69" s="222"/>
      <c r="F69" s="570">
        <v>3</v>
      </c>
      <c r="G69" s="571">
        <v>3</v>
      </c>
      <c r="H69" s="572"/>
      <c r="I69" s="571">
        <v>0</v>
      </c>
      <c r="J69" s="571">
        <v>0</v>
      </c>
      <c r="K69" s="180"/>
      <c r="L69" s="181"/>
      <c r="M69" s="85"/>
      <c r="N69" s="71" t="s">
        <v>146</v>
      </c>
      <c r="O69" s="221" t="s">
        <v>156</v>
      </c>
      <c r="P69" s="582">
        <v>0</v>
      </c>
      <c r="Q69" s="587">
        <v>0</v>
      </c>
      <c r="R69" s="184"/>
      <c r="S69" s="587">
        <v>0</v>
      </c>
      <c r="T69" s="587">
        <v>0</v>
      </c>
      <c r="U69" s="184"/>
      <c r="V69" s="184"/>
      <c r="W69" s="183"/>
      <c r="X69" s="71"/>
      <c r="Y69" s="221"/>
      <c r="Z69" s="582">
        <v>0</v>
      </c>
      <c r="AA69" s="587">
        <v>0</v>
      </c>
      <c r="AB69" s="184"/>
      <c r="AC69" s="587">
        <v>0</v>
      </c>
      <c r="AD69" s="587">
        <v>0</v>
      </c>
      <c r="AE69" s="184"/>
      <c r="AF69" s="184"/>
      <c r="AG69" s="183"/>
      <c r="AH69" s="71"/>
      <c r="AI69" s="221"/>
      <c r="AJ69" s="582">
        <v>0</v>
      </c>
      <c r="AK69" s="595">
        <v>0</v>
      </c>
      <c r="AL69" s="587"/>
      <c r="AM69" s="587">
        <v>0</v>
      </c>
      <c r="AN69" s="184">
        <v>0</v>
      </c>
      <c r="AO69" s="184"/>
      <c r="AP69" s="184"/>
      <c r="AQ69" s="183"/>
    </row>
    <row r="70" spans="1:43" s="84" customFormat="1" ht="16.5" customHeight="1" x14ac:dyDescent="0.25">
      <c r="A70" s="177"/>
      <c r="B70" s="187">
        <v>4112304</v>
      </c>
      <c r="C70" s="94" t="s">
        <v>85</v>
      </c>
      <c r="D70" s="222"/>
      <c r="E70" s="222"/>
      <c r="F70" s="570">
        <v>9.49</v>
      </c>
      <c r="G70" s="571">
        <v>9.49</v>
      </c>
      <c r="H70" s="572">
        <f>ROW(C70)</f>
        <v>70</v>
      </c>
      <c r="I70" s="571">
        <v>0</v>
      </c>
      <c r="J70" s="571">
        <v>0</v>
      </c>
      <c r="K70" s="180"/>
      <c r="L70" s="181"/>
      <c r="M70" s="85"/>
      <c r="N70" s="71"/>
      <c r="O70" s="221"/>
      <c r="P70" s="582">
        <v>5</v>
      </c>
      <c r="Q70" s="587">
        <v>5</v>
      </c>
      <c r="R70" s="184"/>
      <c r="S70" s="587">
        <v>0</v>
      </c>
      <c r="T70" s="587">
        <v>0</v>
      </c>
      <c r="U70" s="184"/>
      <c r="V70" s="184"/>
      <c r="W70" s="183"/>
      <c r="X70" s="71"/>
      <c r="Y70" s="221"/>
      <c r="Z70" s="582">
        <v>35.51</v>
      </c>
      <c r="AA70" s="587">
        <v>35.51</v>
      </c>
      <c r="AB70" s="184"/>
      <c r="AC70" s="587">
        <v>0</v>
      </c>
      <c r="AD70" s="587">
        <v>0</v>
      </c>
      <c r="AE70" s="184"/>
      <c r="AF70" s="184"/>
      <c r="AG70" s="183"/>
      <c r="AH70" s="71"/>
      <c r="AI70" s="221"/>
      <c r="AJ70" s="582">
        <v>0</v>
      </c>
      <c r="AK70" s="595">
        <v>0</v>
      </c>
      <c r="AL70" s="587"/>
      <c r="AM70" s="587">
        <v>0</v>
      </c>
      <c r="AN70" s="184">
        <v>0</v>
      </c>
      <c r="AO70" s="184"/>
      <c r="AP70" s="184"/>
      <c r="AQ70" s="183"/>
    </row>
    <row r="71" spans="1:43" s="84" customFormat="1" ht="19.5" customHeight="1" x14ac:dyDescent="0.25">
      <c r="A71" s="177"/>
      <c r="B71" s="83"/>
      <c r="C71" s="839" t="s">
        <v>87</v>
      </c>
      <c r="D71" s="808"/>
      <c r="E71" s="808"/>
      <c r="F71" s="808"/>
      <c r="G71" s="808"/>
      <c r="H71" s="808"/>
      <c r="I71" s="808"/>
      <c r="J71" s="808"/>
      <c r="K71" s="808"/>
      <c r="L71" s="808"/>
      <c r="M71" s="808"/>
      <c r="N71" s="808"/>
      <c r="O71" s="808"/>
      <c r="P71" s="808"/>
      <c r="Q71" s="820"/>
      <c r="R71" s="184"/>
      <c r="S71" s="587"/>
      <c r="T71" s="587"/>
      <c r="U71" s="184"/>
      <c r="V71" s="184"/>
      <c r="W71" s="183"/>
      <c r="X71" s="216"/>
      <c r="Y71" s="226"/>
      <c r="Z71" s="582"/>
      <c r="AA71" s="595"/>
      <c r="AB71" s="184"/>
      <c r="AC71" s="587"/>
      <c r="AD71" s="587"/>
      <c r="AE71" s="184"/>
      <c r="AF71" s="184"/>
      <c r="AG71" s="183"/>
      <c r="AH71" s="216"/>
      <c r="AI71" s="226"/>
      <c r="AJ71" s="582"/>
      <c r="AK71" s="595"/>
      <c r="AL71" s="587"/>
      <c r="AM71" s="587"/>
      <c r="AN71" s="184"/>
      <c r="AO71" s="184"/>
      <c r="AP71" s="184"/>
      <c r="AQ71" s="183"/>
    </row>
    <row r="72" spans="1:43" s="84" customFormat="1" ht="66.75" customHeight="1" x14ac:dyDescent="0.25">
      <c r="A72" s="177"/>
      <c r="B72" s="187">
        <v>4112202</v>
      </c>
      <c r="C72" s="124" t="s">
        <v>88</v>
      </c>
      <c r="D72" s="71" t="s">
        <v>146</v>
      </c>
      <c r="E72" s="222" t="s">
        <v>157</v>
      </c>
      <c r="F72" s="570">
        <v>19.47</v>
      </c>
      <c r="G72" s="571">
        <v>19.47</v>
      </c>
      <c r="H72" s="572">
        <f t="shared" ref="H72:H77" si="0">ROW(C72)</f>
        <v>72</v>
      </c>
      <c r="I72" s="571">
        <v>0</v>
      </c>
      <c r="J72" s="571">
        <v>0</v>
      </c>
      <c r="K72" s="180"/>
      <c r="L72" s="181"/>
      <c r="M72" s="85"/>
      <c r="N72" s="71" t="s">
        <v>146</v>
      </c>
      <c r="O72" s="221" t="s">
        <v>149</v>
      </c>
      <c r="P72" s="582">
        <v>0</v>
      </c>
      <c r="Q72" s="587">
        <v>0</v>
      </c>
      <c r="R72" s="184"/>
      <c r="S72" s="587">
        <v>0</v>
      </c>
      <c r="T72" s="587">
        <v>0</v>
      </c>
      <c r="U72" s="184"/>
      <c r="V72" s="184"/>
      <c r="W72" s="183"/>
      <c r="X72" s="71"/>
      <c r="Y72" s="221"/>
      <c r="Z72" s="582">
        <v>3.0300000000000011</v>
      </c>
      <c r="AA72" s="587">
        <v>3.0300000000000011</v>
      </c>
      <c r="AB72" s="184"/>
      <c r="AC72" s="587">
        <v>0</v>
      </c>
      <c r="AD72" s="587">
        <v>0</v>
      </c>
      <c r="AE72" s="184"/>
      <c r="AF72" s="184"/>
      <c r="AG72" s="183"/>
      <c r="AH72" s="71"/>
      <c r="AI72" s="221"/>
      <c r="AJ72" s="582">
        <v>0</v>
      </c>
      <c r="AK72" s="595">
        <v>0</v>
      </c>
      <c r="AL72" s="587"/>
      <c r="AM72" s="587">
        <v>0</v>
      </c>
      <c r="AN72" s="184">
        <v>0</v>
      </c>
      <c r="AO72" s="184"/>
      <c r="AP72" s="184"/>
      <c r="AQ72" s="183"/>
    </row>
    <row r="73" spans="1:43" s="84" customFormat="1" ht="39" customHeight="1" x14ac:dyDescent="0.25">
      <c r="A73" s="177"/>
      <c r="B73" s="187">
        <v>4112202</v>
      </c>
      <c r="C73" s="124" t="s">
        <v>89</v>
      </c>
      <c r="D73" s="71" t="s">
        <v>146</v>
      </c>
      <c r="E73" s="222" t="s">
        <v>148</v>
      </c>
      <c r="F73" s="570">
        <v>9.8800000000000008</v>
      </c>
      <c r="G73" s="571">
        <v>9.8800000000000008</v>
      </c>
      <c r="H73" s="572">
        <f t="shared" si="0"/>
        <v>73</v>
      </c>
      <c r="I73" s="571">
        <v>0</v>
      </c>
      <c r="J73" s="571">
        <v>0</v>
      </c>
      <c r="K73" s="180"/>
      <c r="L73" s="181"/>
      <c r="M73" s="85"/>
      <c r="N73" s="71" t="s">
        <v>146</v>
      </c>
      <c r="O73" s="221" t="s">
        <v>158</v>
      </c>
      <c r="P73" s="582">
        <v>0</v>
      </c>
      <c r="Q73" s="587">
        <v>0</v>
      </c>
      <c r="R73" s="184"/>
      <c r="S73" s="587">
        <v>0</v>
      </c>
      <c r="T73" s="587">
        <v>0</v>
      </c>
      <c r="U73" s="184"/>
      <c r="V73" s="184"/>
      <c r="W73" s="183"/>
      <c r="X73" s="71"/>
      <c r="Y73" s="221"/>
      <c r="Z73" s="582">
        <v>3.8699999999999992</v>
      </c>
      <c r="AA73" s="587">
        <v>3.8699999999999992</v>
      </c>
      <c r="AB73" s="184"/>
      <c r="AC73" s="587">
        <v>0</v>
      </c>
      <c r="AD73" s="587">
        <v>0</v>
      </c>
      <c r="AE73" s="184"/>
      <c r="AF73" s="184"/>
      <c r="AG73" s="183"/>
      <c r="AH73" s="71"/>
      <c r="AI73" s="221"/>
      <c r="AJ73" s="582">
        <v>0</v>
      </c>
      <c r="AK73" s="595">
        <v>0</v>
      </c>
      <c r="AL73" s="587"/>
      <c r="AM73" s="587">
        <v>0</v>
      </c>
      <c r="AN73" s="184">
        <v>0</v>
      </c>
      <c r="AO73" s="184"/>
      <c r="AP73" s="184"/>
      <c r="AQ73" s="183"/>
    </row>
    <row r="74" spans="1:43" s="84" customFormat="1" ht="17.25" customHeight="1" x14ac:dyDescent="0.25">
      <c r="A74" s="177"/>
      <c r="B74" s="187">
        <v>4112202</v>
      </c>
      <c r="C74" s="124" t="s">
        <v>90</v>
      </c>
      <c r="D74" s="71" t="s">
        <v>146</v>
      </c>
      <c r="E74" s="222" t="s">
        <v>159</v>
      </c>
      <c r="F74" s="570">
        <v>0.2</v>
      </c>
      <c r="G74" s="571">
        <v>0.2</v>
      </c>
      <c r="H74" s="572">
        <f t="shared" si="0"/>
        <v>74</v>
      </c>
      <c r="I74" s="571">
        <v>0</v>
      </c>
      <c r="J74" s="571">
        <v>0</v>
      </c>
      <c r="K74" s="180"/>
      <c r="L74" s="181"/>
      <c r="M74" s="85"/>
      <c r="N74" s="71" t="s">
        <v>160</v>
      </c>
      <c r="O74" s="222" t="s">
        <v>159</v>
      </c>
      <c r="P74" s="582">
        <v>0</v>
      </c>
      <c r="Q74" s="587">
        <v>0</v>
      </c>
      <c r="R74" s="184"/>
      <c r="S74" s="587">
        <v>0</v>
      </c>
      <c r="T74" s="587">
        <v>0</v>
      </c>
      <c r="U74" s="184"/>
      <c r="V74" s="184"/>
      <c r="W74" s="183"/>
      <c r="X74" s="71"/>
      <c r="Y74" s="221"/>
      <c r="Z74" s="582">
        <v>1.3</v>
      </c>
      <c r="AA74" s="587">
        <v>1.3</v>
      </c>
      <c r="AB74" s="184"/>
      <c r="AC74" s="587">
        <v>0</v>
      </c>
      <c r="AD74" s="587">
        <v>0</v>
      </c>
      <c r="AE74" s="184"/>
      <c r="AF74" s="184"/>
      <c r="AG74" s="183"/>
      <c r="AH74" s="71"/>
      <c r="AI74" s="221"/>
      <c r="AJ74" s="582">
        <v>0</v>
      </c>
      <c r="AK74" s="595">
        <v>0</v>
      </c>
      <c r="AL74" s="587"/>
      <c r="AM74" s="587">
        <v>0</v>
      </c>
      <c r="AN74" s="184">
        <v>0</v>
      </c>
      <c r="AO74" s="184"/>
      <c r="AP74" s="184"/>
      <c r="AQ74" s="183"/>
    </row>
    <row r="75" spans="1:43" s="84" customFormat="1" ht="38.25" customHeight="1" x14ac:dyDescent="0.25">
      <c r="A75" s="177"/>
      <c r="B75" s="187">
        <v>4112202</v>
      </c>
      <c r="C75" s="124" t="s">
        <v>91</v>
      </c>
      <c r="D75" s="71" t="s">
        <v>146</v>
      </c>
      <c r="E75" s="222" t="s">
        <v>148</v>
      </c>
      <c r="F75" s="570">
        <v>4.08</v>
      </c>
      <c r="G75" s="571">
        <v>4.08</v>
      </c>
      <c r="H75" s="572">
        <f t="shared" si="0"/>
        <v>75</v>
      </c>
      <c r="I75" s="571">
        <v>0</v>
      </c>
      <c r="J75" s="571">
        <v>0</v>
      </c>
      <c r="K75" s="180"/>
      <c r="L75" s="181"/>
      <c r="M75" s="85"/>
      <c r="N75" s="71" t="s">
        <v>146</v>
      </c>
      <c r="O75" s="221" t="s">
        <v>158</v>
      </c>
      <c r="P75" s="582">
        <v>0</v>
      </c>
      <c r="Q75" s="587">
        <v>0</v>
      </c>
      <c r="R75" s="184"/>
      <c r="S75" s="587">
        <v>0</v>
      </c>
      <c r="T75" s="587">
        <v>0</v>
      </c>
      <c r="U75" s="184"/>
      <c r="V75" s="184"/>
      <c r="W75" s="183"/>
      <c r="X75" s="71"/>
      <c r="Y75" s="227"/>
      <c r="Z75" s="582">
        <v>1.17</v>
      </c>
      <c r="AA75" s="587">
        <v>1.17</v>
      </c>
      <c r="AB75" s="184"/>
      <c r="AC75" s="587">
        <v>0</v>
      </c>
      <c r="AD75" s="587">
        <v>0</v>
      </c>
      <c r="AE75" s="184"/>
      <c r="AF75" s="184"/>
      <c r="AG75" s="183"/>
      <c r="AH75" s="71"/>
      <c r="AI75" s="227"/>
      <c r="AJ75" s="582">
        <v>0</v>
      </c>
      <c r="AK75" s="595">
        <v>0</v>
      </c>
      <c r="AL75" s="587"/>
      <c r="AM75" s="587">
        <v>0</v>
      </c>
      <c r="AN75" s="184">
        <v>0</v>
      </c>
      <c r="AO75" s="184"/>
      <c r="AP75" s="184"/>
      <c r="AQ75" s="183"/>
    </row>
    <row r="76" spans="1:43" s="84" customFormat="1" ht="17.25" customHeight="1" x14ac:dyDescent="0.25">
      <c r="A76" s="177"/>
      <c r="B76" s="617">
        <v>4112314</v>
      </c>
      <c r="C76" s="124" t="s">
        <v>62</v>
      </c>
      <c r="D76" s="222"/>
      <c r="E76" s="189" t="s">
        <v>143</v>
      </c>
      <c r="F76" s="570">
        <v>45.32</v>
      </c>
      <c r="G76" s="571">
        <v>45.32</v>
      </c>
      <c r="H76" s="572">
        <f t="shared" si="0"/>
        <v>76</v>
      </c>
      <c r="I76" s="571">
        <v>0</v>
      </c>
      <c r="J76" s="571">
        <v>0</v>
      </c>
      <c r="K76" s="180"/>
      <c r="L76" s="181"/>
      <c r="M76" s="85"/>
      <c r="N76" s="198"/>
      <c r="O76" s="190" t="s">
        <v>143</v>
      </c>
      <c r="P76" s="582">
        <v>0</v>
      </c>
      <c r="Q76" s="587">
        <v>0</v>
      </c>
      <c r="R76" s="184"/>
      <c r="S76" s="587">
        <v>0</v>
      </c>
      <c r="T76" s="587">
        <v>0</v>
      </c>
      <c r="U76" s="184"/>
      <c r="V76" s="184"/>
      <c r="W76" s="183"/>
      <c r="X76" s="198"/>
      <c r="Y76" s="190" t="s">
        <v>143</v>
      </c>
      <c r="Z76" s="582">
        <v>2.8954000000000009</v>
      </c>
      <c r="AA76" s="587">
        <v>2.8954000000000009</v>
      </c>
      <c r="AB76" s="184"/>
      <c r="AC76" s="587">
        <v>0</v>
      </c>
      <c r="AD76" s="587">
        <v>0</v>
      </c>
      <c r="AE76" s="184"/>
      <c r="AF76" s="184"/>
      <c r="AG76" s="183"/>
      <c r="AH76" s="198"/>
      <c r="AI76" s="190" t="s">
        <v>143</v>
      </c>
      <c r="AJ76" s="582">
        <v>1.7746000000000011</v>
      </c>
      <c r="AK76" s="595">
        <v>1.7746000000000011</v>
      </c>
      <c r="AL76" s="587"/>
      <c r="AM76" s="587">
        <v>0</v>
      </c>
      <c r="AN76" s="184">
        <v>0</v>
      </c>
      <c r="AO76" s="184"/>
      <c r="AP76" s="184"/>
      <c r="AQ76" s="183"/>
    </row>
    <row r="77" spans="1:43" s="84" customFormat="1" ht="16.5" customHeight="1" x14ac:dyDescent="0.25">
      <c r="A77" s="177"/>
      <c r="B77" s="617">
        <v>4112303</v>
      </c>
      <c r="C77" s="124" t="s">
        <v>93</v>
      </c>
      <c r="D77" s="71" t="s">
        <v>146</v>
      </c>
      <c r="E77" s="222" t="s">
        <v>158</v>
      </c>
      <c r="F77" s="570">
        <v>9.73</v>
      </c>
      <c r="G77" s="571">
        <v>9.73</v>
      </c>
      <c r="H77" s="572">
        <f t="shared" si="0"/>
        <v>77</v>
      </c>
      <c r="I77" s="571">
        <v>0</v>
      </c>
      <c r="J77" s="571">
        <v>0</v>
      </c>
      <c r="K77" s="180"/>
      <c r="L77" s="181"/>
      <c r="M77" s="85"/>
      <c r="N77" s="71" t="s">
        <v>146</v>
      </c>
      <c r="O77" s="222" t="s">
        <v>156</v>
      </c>
      <c r="P77" s="582">
        <v>2.99</v>
      </c>
      <c r="Q77" s="587">
        <v>2.99</v>
      </c>
      <c r="R77" s="184"/>
      <c r="S77" s="587">
        <v>0</v>
      </c>
      <c r="T77" s="587">
        <v>0</v>
      </c>
      <c r="U77" s="184"/>
      <c r="V77" s="184"/>
      <c r="W77" s="183"/>
      <c r="X77" s="71" t="s">
        <v>146</v>
      </c>
      <c r="Y77" s="222" t="s">
        <v>151</v>
      </c>
      <c r="Z77" s="582">
        <v>1.3908</v>
      </c>
      <c r="AA77" s="587">
        <v>1.3908</v>
      </c>
      <c r="AB77" s="184"/>
      <c r="AC77" s="587">
        <v>0</v>
      </c>
      <c r="AD77" s="587">
        <v>0</v>
      </c>
      <c r="AE77" s="184"/>
      <c r="AF77" s="184"/>
      <c r="AG77" s="183"/>
      <c r="AH77" s="198"/>
      <c r="AI77" s="190"/>
      <c r="AJ77" s="582">
        <v>0.88919999999999977</v>
      </c>
      <c r="AK77" s="595">
        <v>0.88919999999999977</v>
      </c>
      <c r="AL77" s="587"/>
      <c r="AM77" s="587">
        <v>0</v>
      </c>
      <c r="AN77" s="184">
        <v>0</v>
      </c>
      <c r="AO77" s="184"/>
      <c r="AP77" s="184"/>
      <c r="AQ77" s="183"/>
    </row>
    <row r="78" spans="1:43" s="84" customFormat="1" ht="18" customHeight="1" x14ac:dyDescent="0.25">
      <c r="A78" s="177"/>
      <c r="B78" s="178"/>
      <c r="C78" s="228" t="s">
        <v>97</v>
      </c>
      <c r="D78" s="228"/>
      <c r="E78" s="228"/>
      <c r="F78" s="570"/>
      <c r="G78" s="571"/>
      <c r="H78" s="571"/>
      <c r="I78" s="571"/>
      <c r="J78" s="571"/>
      <c r="K78" s="180"/>
      <c r="L78" s="181"/>
      <c r="M78" s="85"/>
      <c r="N78" s="228"/>
      <c r="O78" s="228"/>
      <c r="P78" s="582"/>
      <c r="Q78" s="587"/>
      <c r="R78" s="184"/>
      <c r="S78" s="587"/>
      <c r="T78" s="587"/>
      <c r="U78" s="184"/>
      <c r="V78" s="184"/>
      <c r="W78" s="183"/>
      <c r="X78" s="228"/>
      <c r="Y78" s="228"/>
      <c r="Z78" s="582"/>
      <c r="AA78" s="595"/>
      <c r="AB78" s="184"/>
      <c r="AC78" s="587"/>
      <c r="AD78" s="587"/>
      <c r="AE78" s="184"/>
      <c r="AF78" s="184"/>
      <c r="AG78" s="183"/>
      <c r="AH78" s="228"/>
      <c r="AI78" s="228"/>
      <c r="AJ78" s="582"/>
      <c r="AK78" s="595"/>
      <c r="AL78" s="587"/>
      <c r="AM78" s="587"/>
      <c r="AN78" s="184"/>
      <c r="AO78" s="184"/>
      <c r="AP78" s="184"/>
      <c r="AQ78" s="183"/>
    </row>
    <row r="79" spans="1:43" s="84" customFormat="1" ht="15" customHeight="1" x14ac:dyDescent="0.25">
      <c r="A79" s="177"/>
      <c r="B79" s="187">
        <v>4141101</v>
      </c>
      <c r="C79" s="225" t="s">
        <v>98</v>
      </c>
      <c r="D79" s="225"/>
      <c r="E79" s="225"/>
      <c r="F79" s="570">
        <v>14323.6</v>
      </c>
      <c r="G79" s="571">
        <v>14323.6</v>
      </c>
      <c r="H79" s="572">
        <f>ROW(C79)</f>
        <v>79</v>
      </c>
      <c r="I79" s="571">
        <v>0</v>
      </c>
      <c r="J79" s="571">
        <v>0</v>
      </c>
      <c r="K79" s="180"/>
      <c r="L79" s="181"/>
      <c r="M79" s="85"/>
      <c r="N79" s="71" t="s">
        <v>161</v>
      </c>
      <c r="O79" s="190" t="s">
        <v>143</v>
      </c>
      <c r="P79" s="582">
        <v>1000</v>
      </c>
      <c r="Q79" s="582">
        <v>1000</v>
      </c>
      <c r="R79" s="184"/>
      <c r="S79" s="587">
        <v>0</v>
      </c>
      <c r="T79" s="587">
        <v>0</v>
      </c>
      <c r="U79" s="184"/>
      <c r="V79" s="184"/>
      <c r="W79" s="183"/>
      <c r="X79" s="71" t="s">
        <v>161</v>
      </c>
      <c r="Y79" s="190" t="s">
        <v>143</v>
      </c>
      <c r="Z79" s="582">
        <v>2338.1999999999998</v>
      </c>
      <c r="AA79" s="595">
        <v>2338.1999999999998</v>
      </c>
      <c r="AB79" s="184"/>
      <c r="AC79" s="587">
        <v>0</v>
      </c>
      <c r="AD79" s="587">
        <v>0</v>
      </c>
      <c r="AE79" s="184"/>
      <c r="AF79" s="184"/>
      <c r="AG79" s="183"/>
      <c r="AH79" s="71" t="s">
        <v>161</v>
      </c>
      <c r="AI79" s="190"/>
      <c r="AJ79" s="582">
        <v>2338.1999999999998</v>
      </c>
      <c r="AK79" s="595">
        <v>2338.1999999999998</v>
      </c>
      <c r="AL79" s="587"/>
      <c r="AM79" s="587">
        <v>0</v>
      </c>
      <c r="AN79" s="184">
        <v>0</v>
      </c>
      <c r="AO79" s="184"/>
      <c r="AP79" s="184"/>
      <c r="AQ79" s="183"/>
    </row>
    <row r="80" spans="1:43" s="84" customFormat="1" ht="15.75" customHeight="1" x14ac:dyDescent="0.25">
      <c r="A80" s="177"/>
      <c r="B80" s="178"/>
      <c r="C80" s="724" t="s">
        <v>100</v>
      </c>
      <c r="D80" s="224"/>
      <c r="E80" s="224"/>
      <c r="F80" s="570"/>
      <c r="G80" s="571"/>
      <c r="H80" s="571"/>
      <c r="I80" s="571"/>
      <c r="J80" s="571"/>
      <c r="K80" s="180"/>
      <c r="L80" s="181"/>
      <c r="M80" s="85"/>
      <c r="N80" s="216"/>
      <c r="O80" s="82"/>
      <c r="P80" s="583"/>
      <c r="Q80" s="589"/>
      <c r="R80" s="184"/>
      <c r="S80" s="587"/>
      <c r="T80" s="587"/>
      <c r="U80" s="184"/>
      <c r="V80" s="184"/>
      <c r="W80" s="183"/>
      <c r="X80" s="216"/>
      <c r="Y80" s="224"/>
      <c r="Z80" s="582"/>
      <c r="AA80" s="595"/>
      <c r="AB80" s="184"/>
      <c r="AC80" s="587"/>
      <c r="AD80" s="587"/>
      <c r="AE80" s="184"/>
      <c r="AF80" s="184"/>
      <c r="AG80" s="183"/>
      <c r="AH80" s="216"/>
      <c r="AI80" s="224"/>
      <c r="AJ80" s="582"/>
      <c r="AK80" s="595"/>
      <c r="AL80" s="587"/>
      <c r="AM80" s="587"/>
      <c r="AN80" s="184"/>
      <c r="AO80" s="184"/>
      <c r="AP80" s="184"/>
      <c r="AQ80" s="183"/>
    </row>
    <row r="81" spans="1:43" s="84" customFormat="1" ht="15.75" customHeight="1" x14ac:dyDescent="0.25">
      <c r="A81" s="177"/>
      <c r="B81" s="192"/>
      <c r="C81" s="724" t="s">
        <v>162</v>
      </c>
      <c r="D81" s="224"/>
      <c r="E81" s="224"/>
      <c r="F81" s="570"/>
      <c r="G81" s="571"/>
      <c r="H81" s="571"/>
      <c r="I81" s="571"/>
      <c r="J81" s="571"/>
      <c r="K81" s="180"/>
      <c r="L81" s="181"/>
      <c r="M81" s="85"/>
      <c r="N81" s="216"/>
      <c r="O81" s="82"/>
      <c r="P81" s="583"/>
      <c r="Q81" s="589"/>
      <c r="R81" s="184"/>
      <c r="S81" s="587"/>
      <c r="T81" s="587"/>
      <c r="U81" s="184"/>
      <c r="V81" s="184"/>
      <c r="W81" s="183"/>
      <c r="X81" s="216"/>
      <c r="Y81" s="224"/>
      <c r="Z81" s="582"/>
      <c r="AA81" s="587"/>
      <c r="AB81" s="184"/>
      <c r="AC81" s="587"/>
      <c r="AD81" s="587"/>
      <c r="AE81" s="184"/>
      <c r="AF81" s="184"/>
      <c r="AG81" s="183"/>
      <c r="AH81" s="216"/>
      <c r="AI81" s="224"/>
      <c r="AJ81" s="582"/>
      <c r="AK81" s="595"/>
      <c r="AL81" s="587"/>
      <c r="AM81" s="587"/>
      <c r="AN81" s="184"/>
      <c r="AO81" s="184"/>
      <c r="AP81" s="184"/>
      <c r="AQ81" s="183"/>
    </row>
    <row r="82" spans="1:43" s="84" customFormat="1" ht="17.25" customHeight="1" x14ac:dyDescent="0.25">
      <c r="A82" s="177"/>
      <c r="B82" s="200">
        <v>4111306</v>
      </c>
      <c r="C82" s="72" t="s">
        <v>102</v>
      </c>
      <c r="D82" s="72"/>
      <c r="E82" s="72"/>
      <c r="F82" s="570">
        <v>116.72</v>
      </c>
      <c r="G82" s="571">
        <v>16.34</v>
      </c>
      <c r="H82" s="572">
        <f>ROW(C82)</f>
        <v>82</v>
      </c>
      <c r="I82" s="571">
        <v>100.38</v>
      </c>
      <c r="J82" s="571">
        <v>0</v>
      </c>
      <c r="K82" s="180"/>
      <c r="L82" s="181"/>
      <c r="M82" s="85"/>
      <c r="N82" s="71"/>
      <c r="O82" s="190"/>
      <c r="P82" s="582">
        <v>192.22</v>
      </c>
      <c r="Q82" s="587">
        <v>26.910799999999998</v>
      </c>
      <c r="R82" s="184"/>
      <c r="S82" s="587">
        <v>165.3092</v>
      </c>
      <c r="T82" s="587">
        <v>0</v>
      </c>
      <c r="U82" s="184"/>
      <c r="V82" s="184"/>
      <c r="W82" s="183"/>
      <c r="X82" s="71" t="s">
        <v>146</v>
      </c>
      <c r="Y82" s="190">
        <v>131</v>
      </c>
      <c r="Z82" s="582">
        <v>522.34799999999996</v>
      </c>
      <c r="AA82" s="587">
        <v>73.128720000000001</v>
      </c>
      <c r="AB82" s="184"/>
      <c r="AC82" s="587">
        <v>449.21928000000003</v>
      </c>
      <c r="AD82" s="587">
        <v>0</v>
      </c>
      <c r="AE82" s="184"/>
      <c r="AF82" s="184"/>
      <c r="AG82" s="183"/>
      <c r="AH82" s="71"/>
      <c r="AI82" s="190"/>
      <c r="AJ82" s="582">
        <v>378.25200000000001</v>
      </c>
      <c r="AK82" s="595">
        <v>52.955280000000002</v>
      </c>
      <c r="AL82" s="587"/>
      <c r="AM82" s="587">
        <v>325.29671999999988</v>
      </c>
      <c r="AN82" s="184">
        <v>0</v>
      </c>
      <c r="AO82" s="184"/>
      <c r="AP82" s="184"/>
      <c r="AQ82" s="183"/>
    </row>
    <row r="83" spans="1:43" s="84" customFormat="1" ht="15.75" customHeight="1" x14ac:dyDescent="0.25">
      <c r="A83" s="177"/>
      <c r="B83" s="192"/>
      <c r="C83" s="724" t="s">
        <v>103</v>
      </c>
      <c r="D83" s="224"/>
      <c r="E83" s="224"/>
      <c r="F83" s="570"/>
      <c r="G83" s="571"/>
      <c r="H83" s="571"/>
      <c r="I83" s="571"/>
      <c r="J83" s="571"/>
      <c r="K83" s="180"/>
      <c r="L83" s="181"/>
      <c r="M83" s="85"/>
      <c r="N83" s="216"/>
      <c r="O83" s="82"/>
      <c r="P83" s="583"/>
      <c r="Q83" s="589"/>
      <c r="R83" s="184"/>
      <c r="S83" s="587"/>
      <c r="T83" s="587"/>
      <c r="U83" s="184"/>
      <c r="V83" s="184"/>
      <c r="W83" s="183"/>
      <c r="X83" s="216"/>
      <c r="Y83" s="224"/>
      <c r="Z83" s="582"/>
      <c r="AA83" s="587"/>
      <c r="AB83" s="184"/>
      <c r="AC83" s="587"/>
      <c r="AD83" s="587"/>
      <c r="AE83" s="184"/>
      <c r="AF83" s="184"/>
      <c r="AG83" s="183"/>
      <c r="AH83" s="216"/>
      <c r="AI83" s="224"/>
      <c r="AJ83" s="582"/>
      <c r="AK83" s="595"/>
      <c r="AL83" s="587"/>
      <c r="AM83" s="587"/>
      <c r="AN83" s="184"/>
      <c r="AO83" s="184"/>
      <c r="AP83" s="184"/>
      <c r="AQ83" s="183"/>
    </row>
    <row r="84" spans="1:43" s="84" customFormat="1" ht="17.25" customHeight="1" x14ac:dyDescent="0.25">
      <c r="A84" s="177"/>
      <c r="B84" s="187">
        <v>4111307</v>
      </c>
      <c r="C84" s="72" t="s">
        <v>104</v>
      </c>
      <c r="D84" s="72"/>
      <c r="E84" s="72"/>
      <c r="F84" s="570">
        <v>0</v>
      </c>
      <c r="G84" s="571">
        <v>0</v>
      </c>
      <c r="H84" s="572">
        <f>ROW(C84)</f>
        <v>84</v>
      </c>
      <c r="I84" s="571">
        <v>0</v>
      </c>
      <c r="J84" s="571">
        <v>0</v>
      </c>
      <c r="K84" s="180"/>
      <c r="L84" s="181"/>
      <c r="M84" s="85"/>
      <c r="N84" s="71" t="s">
        <v>160</v>
      </c>
      <c r="O84" s="190" t="s">
        <v>143</v>
      </c>
      <c r="P84" s="582">
        <v>0</v>
      </c>
      <c r="Q84" s="587">
        <v>0</v>
      </c>
      <c r="R84" s="184"/>
      <c r="S84" s="587">
        <v>0</v>
      </c>
      <c r="T84" s="587">
        <v>0</v>
      </c>
      <c r="U84" s="184"/>
      <c r="V84" s="184"/>
      <c r="W84" s="183"/>
      <c r="X84" s="71" t="s">
        <v>160</v>
      </c>
      <c r="Y84" s="190" t="s">
        <v>143</v>
      </c>
      <c r="Z84" s="582">
        <v>670.03499999999997</v>
      </c>
      <c r="AA84" s="587">
        <v>93.804900000000004</v>
      </c>
      <c r="AB84" s="184"/>
      <c r="AC84" s="587">
        <v>576.23009999999999</v>
      </c>
      <c r="AD84" s="587">
        <v>0</v>
      </c>
      <c r="AE84" s="184"/>
      <c r="AF84" s="184"/>
      <c r="AG84" s="183"/>
      <c r="AH84" s="71"/>
      <c r="AI84" s="190"/>
      <c r="AJ84" s="582">
        <v>505.46499999999997</v>
      </c>
      <c r="AK84" s="595">
        <v>70.765100000000004</v>
      </c>
      <c r="AL84" s="587"/>
      <c r="AM84" s="587">
        <v>434.69990000000001</v>
      </c>
      <c r="AN84" s="184">
        <v>0</v>
      </c>
      <c r="AO84" s="184"/>
      <c r="AP84" s="184"/>
      <c r="AQ84" s="183"/>
    </row>
    <row r="85" spans="1:43" s="84" customFormat="1" ht="17.25" customHeight="1" x14ac:dyDescent="0.25">
      <c r="A85" s="177"/>
      <c r="B85" s="187">
        <v>4111307</v>
      </c>
      <c r="C85" s="72" t="s">
        <v>106</v>
      </c>
      <c r="D85" s="72"/>
      <c r="E85" s="72"/>
      <c r="F85" s="570">
        <v>6143.66</v>
      </c>
      <c r="G85" s="571">
        <v>889.49</v>
      </c>
      <c r="H85" s="572">
        <f>ROW(C85)</f>
        <v>85</v>
      </c>
      <c r="I85" s="571">
        <v>5254.17</v>
      </c>
      <c r="J85" s="571">
        <v>0</v>
      </c>
      <c r="K85" s="180"/>
      <c r="L85" s="181"/>
      <c r="M85" s="85"/>
      <c r="N85" s="71" t="s">
        <v>146</v>
      </c>
      <c r="O85" s="190" t="s">
        <v>143</v>
      </c>
      <c r="P85" s="582">
        <v>4075.22</v>
      </c>
      <c r="Q85" s="587">
        <v>570.5308</v>
      </c>
      <c r="R85" s="184"/>
      <c r="S85" s="587">
        <v>3504.6891999999998</v>
      </c>
      <c r="T85" s="587">
        <v>0</v>
      </c>
      <c r="U85" s="184"/>
      <c r="V85" s="184"/>
      <c r="W85" s="183"/>
      <c r="X85" s="71" t="s">
        <v>146</v>
      </c>
      <c r="Y85" s="190" t="s">
        <v>143</v>
      </c>
      <c r="Z85" s="582">
        <v>4439.6033000000016</v>
      </c>
      <c r="AA85" s="587">
        <v>621.54446200000029</v>
      </c>
      <c r="AB85" s="184"/>
      <c r="AC85" s="587">
        <v>3818.0588380000008</v>
      </c>
      <c r="AD85" s="587">
        <v>0</v>
      </c>
      <c r="AE85" s="184"/>
      <c r="AF85" s="184"/>
      <c r="AG85" s="183"/>
      <c r="AH85" s="71" t="s">
        <v>146</v>
      </c>
      <c r="AI85" s="190" t="s">
        <v>143</v>
      </c>
      <c r="AJ85" s="582">
        <v>3937.0067000000008</v>
      </c>
      <c r="AK85" s="595">
        <v>551.1809380000002</v>
      </c>
      <c r="AL85" s="587"/>
      <c r="AM85" s="587">
        <v>3385.8257620000009</v>
      </c>
      <c r="AN85" s="184">
        <v>0</v>
      </c>
      <c r="AO85" s="184"/>
      <c r="AP85" s="184"/>
      <c r="AQ85" s="183"/>
    </row>
    <row r="86" spans="1:43" s="84" customFormat="1" ht="19.5" customHeight="1" x14ac:dyDescent="0.25">
      <c r="A86" s="177"/>
      <c r="B86" s="187">
        <v>4111307</v>
      </c>
      <c r="C86" s="72" t="s">
        <v>108</v>
      </c>
      <c r="D86" s="72"/>
      <c r="E86" s="72"/>
      <c r="F86" s="570">
        <v>6011.48</v>
      </c>
      <c r="G86" s="571">
        <v>791.08</v>
      </c>
      <c r="H86" s="572">
        <f>ROW(C86)</f>
        <v>86</v>
      </c>
      <c r="I86" s="571">
        <v>5220.3999999999996</v>
      </c>
      <c r="J86" s="571">
        <v>0</v>
      </c>
      <c r="K86" s="180"/>
      <c r="L86" s="181"/>
      <c r="M86" s="85"/>
      <c r="N86" s="71" t="s">
        <v>163</v>
      </c>
      <c r="O86" s="190" t="s">
        <v>143</v>
      </c>
      <c r="P86" s="582">
        <v>2673.22</v>
      </c>
      <c r="Q86" s="587">
        <v>374.25080000000003</v>
      </c>
      <c r="R86" s="184"/>
      <c r="S86" s="587">
        <v>2298.9692</v>
      </c>
      <c r="T86" s="587">
        <v>0</v>
      </c>
      <c r="U86" s="184"/>
      <c r="V86" s="184"/>
      <c r="W86" s="183"/>
      <c r="X86" s="71" t="s">
        <v>163</v>
      </c>
      <c r="Y86" s="190" t="s">
        <v>143</v>
      </c>
      <c r="Z86" s="582">
        <v>845.2807999999992</v>
      </c>
      <c r="AA86" s="587">
        <v>118.33931199999989</v>
      </c>
      <c r="AB86" s="184"/>
      <c r="AC86" s="587">
        <v>726.94148799999925</v>
      </c>
      <c r="AD86" s="587">
        <v>0</v>
      </c>
      <c r="AE86" s="184"/>
      <c r="AF86" s="184"/>
      <c r="AG86" s="183"/>
      <c r="AH86" s="71" t="s">
        <v>163</v>
      </c>
      <c r="AI86" s="190" t="s">
        <v>143</v>
      </c>
      <c r="AJ86" s="582">
        <v>664.14919999999915</v>
      </c>
      <c r="AK86" s="595">
        <v>92.980887999999894</v>
      </c>
      <c r="AL86" s="587"/>
      <c r="AM86" s="587">
        <v>571.16831199999922</v>
      </c>
      <c r="AN86" s="184">
        <v>0</v>
      </c>
      <c r="AO86" s="184"/>
      <c r="AP86" s="184"/>
      <c r="AQ86" s="183"/>
    </row>
    <row r="87" spans="1:43" s="84" customFormat="1" ht="15.75" customHeight="1" x14ac:dyDescent="0.25">
      <c r="A87" s="177"/>
      <c r="B87" s="195"/>
      <c r="C87" s="724" t="s">
        <v>164</v>
      </c>
      <c r="D87" s="724"/>
      <c r="E87" s="724"/>
      <c r="F87" s="570"/>
      <c r="G87" s="571"/>
      <c r="H87" s="571"/>
      <c r="I87" s="571"/>
      <c r="J87" s="571"/>
      <c r="K87" s="180"/>
      <c r="L87" s="181"/>
      <c r="M87" s="85"/>
      <c r="N87" s="228"/>
      <c r="O87" s="724"/>
      <c r="P87" s="582"/>
      <c r="Q87" s="587"/>
      <c r="R87" s="184"/>
      <c r="S87" s="587"/>
      <c r="T87" s="587"/>
      <c r="U87" s="184"/>
      <c r="V87" s="184"/>
      <c r="W87" s="183"/>
      <c r="X87" s="228"/>
      <c r="Y87" s="724"/>
      <c r="Z87" s="582"/>
      <c r="AA87" s="595"/>
      <c r="AB87" s="184"/>
      <c r="AC87" s="587"/>
      <c r="AD87" s="587"/>
      <c r="AE87" s="184"/>
      <c r="AF87" s="184"/>
      <c r="AG87" s="183"/>
      <c r="AH87" s="228"/>
      <c r="AI87" s="724"/>
      <c r="AJ87" s="582"/>
      <c r="AK87" s="595"/>
      <c r="AL87" s="587"/>
      <c r="AM87" s="587"/>
      <c r="AN87" s="184"/>
      <c r="AO87" s="184"/>
      <c r="AP87" s="184"/>
      <c r="AQ87" s="183"/>
    </row>
    <row r="88" spans="1:43" s="84" customFormat="1" ht="19.5" customHeight="1" x14ac:dyDescent="0.25">
      <c r="A88" s="177"/>
      <c r="B88" s="187">
        <v>4111201</v>
      </c>
      <c r="C88" s="72" t="s">
        <v>110</v>
      </c>
      <c r="D88" s="72"/>
      <c r="E88" s="72"/>
      <c r="F88" s="570">
        <v>455.04</v>
      </c>
      <c r="G88" s="571">
        <v>64.36</v>
      </c>
      <c r="H88" s="572">
        <f t="shared" ref="H88:H95" si="1">ROW(C88)</f>
        <v>88</v>
      </c>
      <c r="I88" s="571">
        <v>390.68</v>
      </c>
      <c r="J88" s="571">
        <v>0</v>
      </c>
      <c r="K88" s="180"/>
      <c r="L88" s="181"/>
      <c r="M88" s="85"/>
      <c r="N88" s="71" t="s">
        <v>163</v>
      </c>
      <c r="O88" s="190" t="s">
        <v>143</v>
      </c>
      <c r="P88" s="582">
        <v>726.54</v>
      </c>
      <c r="Q88" s="587">
        <v>101.71559999999999</v>
      </c>
      <c r="R88" s="184"/>
      <c r="S88" s="587">
        <v>624.82439999999997</v>
      </c>
      <c r="T88" s="587">
        <v>0</v>
      </c>
      <c r="U88" s="184"/>
      <c r="V88" s="184"/>
      <c r="W88" s="183"/>
      <c r="X88" s="71" t="s">
        <v>163</v>
      </c>
      <c r="Y88" s="190" t="s">
        <v>143</v>
      </c>
      <c r="Z88" s="582">
        <v>1218.998</v>
      </c>
      <c r="AA88" s="595">
        <v>170.65971999999999</v>
      </c>
      <c r="AB88" s="184"/>
      <c r="AC88" s="587">
        <v>1048.3382799999999</v>
      </c>
      <c r="AD88" s="587">
        <v>0</v>
      </c>
      <c r="AE88" s="184"/>
      <c r="AF88" s="184"/>
      <c r="AG88" s="183"/>
      <c r="AH88" s="228"/>
      <c r="AI88" s="724"/>
      <c r="AJ88" s="582">
        <v>997.36200000000008</v>
      </c>
      <c r="AK88" s="595">
        <v>139.63068000000001</v>
      </c>
      <c r="AL88" s="587"/>
      <c r="AM88" s="587">
        <v>857.7313200000001</v>
      </c>
      <c r="AN88" s="184">
        <v>0</v>
      </c>
      <c r="AO88" s="184"/>
      <c r="AP88" s="184"/>
      <c r="AQ88" s="183"/>
    </row>
    <row r="89" spans="1:43" s="84" customFormat="1" ht="31.5" customHeight="1" x14ac:dyDescent="0.25">
      <c r="A89" s="177"/>
      <c r="B89" s="187">
        <v>4111201</v>
      </c>
      <c r="C89" s="72" t="s">
        <v>111</v>
      </c>
      <c r="D89" s="72"/>
      <c r="E89" s="72"/>
      <c r="F89" s="570">
        <v>452.46</v>
      </c>
      <c r="G89" s="571">
        <v>63.49</v>
      </c>
      <c r="H89" s="572">
        <f t="shared" si="1"/>
        <v>89</v>
      </c>
      <c r="I89" s="571">
        <v>388.97</v>
      </c>
      <c r="J89" s="571">
        <v>0</v>
      </c>
      <c r="K89" s="180"/>
      <c r="L89" s="181"/>
      <c r="M89" s="85"/>
      <c r="N89" s="71" t="s">
        <v>163</v>
      </c>
      <c r="O89" s="190" t="s">
        <v>143</v>
      </c>
      <c r="P89" s="582">
        <v>253.65</v>
      </c>
      <c r="Q89" s="587">
        <v>35.511000000000003</v>
      </c>
      <c r="R89" s="184"/>
      <c r="S89" s="587">
        <v>218.13900000000001</v>
      </c>
      <c r="T89" s="587">
        <v>0</v>
      </c>
      <c r="U89" s="184"/>
      <c r="V89" s="184"/>
      <c r="W89" s="183"/>
      <c r="X89" s="71" t="s">
        <v>163</v>
      </c>
      <c r="Y89" s="190" t="s">
        <v>143</v>
      </c>
      <c r="Z89" s="582">
        <v>771.00560000000007</v>
      </c>
      <c r="AA89" s="595">
        <v>107.94078399999999</v>
      </c>
      <c r="AB89" s="184"/>
      <c r="AC89" s="587">
        <v>663.06481600000006</v>
      </c>
      <c r="AD89" s="587">
        <v>0</v>
      </c>
      <c r="AE89" s="184"/>
      <c r="AF89" s="184"/>
      <c r="AG89" s="183"/>
      <c r="AH89" s="228"/>
      <c r="AI89" s="724"/>
      <c r="AJ89" s="582">
        <v>558.31440000000009</v>
      </c>
      <c r="AK89" s="595">
        <v>78.164016000000018</v>
      </c>
      <c r="AL89" s="587"/>
      <c r="AM89" s="587">
        <v>480.15038400000009</v>
      </c>
      <c r="AN89" s="184">
        <v>0</v>
      </c>
      <c r="AO89" s="184"/>
      <c r="AP89" s="184"/>
      <c r="AQ89" s="183"/>
    </row>
    <row r="90" spans="1:43" s="84" customFormat="1" ht="30.75" customHeight="1" x14ac:dyDescent="0.25">
      <c r="A90" s="177"/>
      <c r="B90" s="187">
        <v>4111201</v>
      </c>
      <c r="C90" s="72" t="s">
        <v>112</v>
      </c>
      <c r="D90" s="72"/>
      <c r="E90" s="72"/>
      <c r="F90" s="570">
        <v>341.85</v>
      </c>
      <c r="G90" s="571">
        <v>48.84</v>
      </c>
      <c r="H90" s="572">
        <f t="shared" si="1"/>
        <v>90</v>
      </c>
      <c r="I90" s="571">
        <v>293.01</v>
      </c>
      <c r="J90" s="571">
        <v>0</v>
      </c>
      <c r="K90" s="180"/>
      <c r="L90" s="181"/>
      <c r="M90" s="85"/>
      <c r="N90" s="71" t="s">
        <v>163</v>
      </c>
      <c r="O90" s="190" t="s">
        <v>143</v>
      </c>
      <c r="P90" s="582">
        <v>179.68</v>
      </c>
      <c r="Q90" s="587">
        <v>25.155200000000001</v>
      </c>
      <c r="R90" s="184"/>
      <c r="S90" s="587">
        <v>154.5248</v>
      </c>
      <c r="T90" s="587">
        <v>0</v>
      </c>
      <c r="U90" s="184"/>
      <c r="V90" s="184"/>
      <c r="W90" s="183"/>
      <c r="X90" s="71" t="s">
        <v>163</v>
      </c>
      <c r="Y90" s="190" t="s">
        <v>143</v>
      </c>
      <c r="Z90" s="582">
        <v>674.45400000000006</v>
      </c>
      <c r="AA90" s="595">
        <v>94.423560000000023</v>
      </c>
      <c r="AB90" s="184"/>
      <c r="AC90" s="587">
        <v>580.03044</v>
      </c>
      <c r="AD90" s="587">
        <v>0</v>
      </c>
      <c r="AE90" s="184"/>
      <c r="AF90" s="184"/>
      <c r="AG90" s="183"/>
      <c r="AH90" s="228"/>
      <c r="AI90" s="724"/>
      <c r="AJ90" s="582">
        <v>551.82600000000002</v>
      </c>
      <c r="AK90" s="595">
        <v>77.255640000000014</v>
      </c>
      <c r="AL90" s="587"/>
      <c r="AM90" s="587">
        <v>474.57035999999999</v>
      </c>
      <c r="AN90" s="184">
        <v>0</v>
      </c>
      <c r="AO90" s="184"/>
      <c r="AP90" s="184"/>
      <c r="AQ90" s="183"/>
    </row>
    <row r="91" spans="1:43" s="84" customFormat="1" ht="16.5" customHeight="1" x14ac:dyDescent="0.25">
      <c r="A91" s="177"/>
      <c r="B91" s="187">
        <v>4111201</v>
      </c>
      <c r="C91" s="72" t="s">
        <v>113</v>
      </c>
      <c r="D91" s="72"/>
      <c r="E91" s="72"/>
      <c r="F91" s="570">
        <v>6127.06</v>
      </c>
      <c r="G91" s="571">
        <v>779.02</v>
      </c>
      <c r="H91" s="572">
        <f t="shared" si="1"/>
        <v>91</v>
      </c>
      <c r="I91" s="571">
        <v>5348.04</v>
      </c>
      <c r="J91" s="571">
        <v>0</v>
      </c>
      <c r="K91" s="180"/>
      <c r="L91" s="181"/>
      <c r="M91" s="85"/>
      <c r="N91" s="71" t="s">
        <v>163</v>
      </c>
      <c r="O91" s="190" t="s">
        <v>143</v>
      </c>
      <c r="P91" s="582">
        <v>2923.61</v>
      </c>
      <c r="Q91" s="587">
        <v>409.30540000000008</v>
      </c>
      <c r="R91" s="184"/>
      <c r="S91" s="587">
        <v>2514.3045999999999</v>
      </c>
      <c r="T91" s="587">
        <v>0</v>
      </c>
      <c r="U91" s="184"/>
      <c r="V91" s="184"/>
      <c r="W91" s="183"/>
      <c r="X91" s="71" t="s">
        <v>163</v>
      </c>
      <c r="Y91" s="190" t="s">
        <v>143</v>
      </c>
      <c r="Z91" s="582">
        <v>6159.0431999999992</v>
      </c>
      <c r="AA91" s="587">
        <v>862.26604799999996</v>
      </c>
      <c r="AB91" s="184"/>
      <c r="AC91" s="587">
        <v>5296.7771519999988</v>
      </c>
      <c r="AD91" s="587">
        <v>0</v>
      </c>
      <c r="AE91" s="184"/>
      <c r="AF91" s="184"/>
      <c r="AG91" s="183"/>
      <c r="AH91" s="71" t="s">
        <v>163</v>
      </c>
      <c r="AI91" s="190"/>
      <c r="AJ91" s="582">
        <v>4459.996799999999</v>
      </c>
      <c r="AK91" s="595">
        <v>624.39955199999997</v>
      </c>
      <c r="AL91" s="587"/>
      <c r="AM91" s="587">
        <v>3835.5972479999991</v>
      </c>
      <c r="AN91" s="184">
        <v>0</v>
      </c>
      <c r="AO91" s="184"/>
      <c r="AP91" s="184"/>
      <c r="AQ91" s="183"/>
    </row>
    <row r="92" spans="1:43" s="84" customFormat="1" ht="16.5" customHeight="1" x14ac:dyDescent="0.25">
      <c r="A92" s="177"/>
      <c r="B92" s="187">
        <v>4111201</v>
      </c>
      <c r="C92" s="72" t="s">
        <v>114</v>
      </c>
      <c r="D92" s="72"/>
      <c r="E92" s="72"/>
      <c r="F92" s="570">
        <v>73.260000000000005</v>
      </c>
      <c r="G92" s="571">
        <v>9.77</v>
      </c>
      <c r="H92" s="572">
        <f t="shared" si="1"/>
        <v>92</v>
      </c>
      <c r="I92" s="571">
        <v>63.49</v>
      </c>
      <c r="J92" s="571">
        <v>0</v>
      </c>
      <c r="K92" s="180"/>
      <c r="L92" s="181"/>
      <c r="M92" s="85"/>
      <c r="N92" s="71" t="s">
        <v>146</v>
      </c>
      <c r="O92" s="737"/>
      <c r="P92" s="582">
        <v>0</v>
      </c>
      <c r="Q92" s="587">
        <v>0</v>
      </c>
      <c r="R92" s="184"/>
      <c r="S92" s="587">
        <v>0</v>
      </c>
      <c r="T92" s="587">
        <v>0</v>
      </c>
      <c r="U92" s="184"/>
      <c r="V92" s="184"/>
      <c r="W92" s="183"/>
      <c r="X92" s="71" t="s">
        <v>146</v>
      </c>
      <c r="Y92" s="190"/>
      <c r="Z92" s="582">
        <v>48.141499999999994</v>
      </c>
      <c r="AA92" s="587">
        <v>6.7398099999999994</v>
      </c>
      <c r="AB92" s="184"/>
      <c r="AC92" s="587">
        <v>41.401689999999988</v>
      </c>
      <c r="AD92" s="587">
        <v>0</v>
      </c>
      <c r="AE92" s="184"/>
      <c r="AF92" s="184"/>
      <c r="AG92" s="183"/>
      <c r="AH92" s="71" t="s">
        <v>146</v>
      </c>
      <c r="AI92" s="190"/>
      <c r="AJ92" s="582">
        <v>39.388499999999993</v>
      </c>
      <c r="AK92" s="595">
        <v>5.5143899999999997</v>
      </c>
      <c r="AL92" s="587"/>
      <c r="AM92" s="587">
        <v>33.874109999999988</v>
      </c>
      <c r="AN92" s="184">
        <v>0</v>
      </c>
      <c r="AO92" s="184"/>
      <c r="AP92" s="184"/>
      <c r="AQ92" s="183"/>
    </row>
    <row r="93" spans="1:43" s="84" customFormat="1" ht="16.5" customHeight="1" x14ac:dyDescent="0.25">
      <c r="A93" s="177"/>
      <c r="B93" s="187">
        <v>4111201</v>
      </c>
      <c r="C93" s="72" t="s">
        <v>115</v>
      </c>
      <c r="D93" s="72"/>
      <c r="E93" s="72"/>
      <c r="F93" s="570">
        <v>0</v>
      </c>
      <c r="G93" s="571">
        <v>0</v>
      </c>
      <c r="H93" s="572">
        <f t="shared" si="1"/>
        <v>93</v>
      </c>
      <c r="I93" s="571">
        <v>0</v>
      </c>
      <c r="J93" s="571">
        <v>0</v>
      </c>
      <c r="K93" s="180"/>
      <c r="L93" s="181"/>
      <c r="M93" s="85"/>
      <c r="N93" s="71"/>
      <c r="O93" s="737"/>
      <c r="P93" s="582">
        <v>0</v>
      </c>
      <c r="Q93" s="587">
        <v>0</v>
      </c>
      <c r="R93" s="184"/>
      <c r="S93" s="587">
        <v>0</v>
      </c>
      <c r="T93" s="587">
        <v>0</v>
      </c>
      <c r="U93" s="184"/>
      <c r="V93" s="184"/>
      <c r="W93" s="183"/>
      <c r="X93" s="71"/>
      <c r="Y93" s="190"/>
      <c r="Z93" s="582">
        <v>123.75</v>
      </c>
      <c r="AA93" s="587">
        <v>17.324999999999999</v>
      </c>
      <c r="AB93" s="184"/>
      <c r="AC93" s="587">
        <v>106.425</v>
      </c>
      <c r="AD93" s="587">
        <v>0</v>
      </c>
      <c r="AE93" s="184"/>
      <c r="AF93" s="184"/>
      <c r="AG93" s="183"/>
      <c r="AH93" s="71"/>
      <c r="AI93" s="190"/>
      <c r="AJ93" s="582">
        <v>101.25</v>
      </c>
      <c r="AK93" s="595">
        <v>14.175000000000001</v>
      </c>
      <c r="AL93" s="587"/>
      <c r="AM93" s="587">
        <v>87.075000000000003</v>
      </c>
      <c r="AN93" s="184">
        <v>0</v>
      </c>
      <c r="AO93" s="184"/>
      <c r="AP93" s="184"/>
      <c r="AQ93" s="183"/>
    </row>
    <row r="94" spans="1:43" s="84" customFormat="1" ht="16.5" customHeight="1" x14ac:dyDescent="0.25">
      <c r="A94" s="177"/>
      <c r="B94" s="187">
        <v>4111201</v>
      </c>
      <c r="C94" s="72" t="s">
        <v>116</v>
      </c>
      <c r="D94" s="72"/>
      <c r="E94" s="72"/>
      <c r="F94" s="570">
        <v>42.09</v>
      </c>
      <c r="G94" s="571">
        <v>5.47</v>
      </c>
      <c r="H94" s="572">
        <f t="shared" si="1"/>
        <v>94</v>
      </c>
      <c r="I94" s="571">
        <v>36.619999999999997</v>
      </c>
      <c r="J94" s="571">
        <v>0</v>
      </c>
      <c r="K94" s="180"/>
      <c r="L94" s="181"/>
      <c r="M94" s="85"/>
      <c r="N94" s="71" t="s">
        <v>146</v>
      </c>
      <c r="O94" s="190" t="s">
        <v>143</v>
      </c>
      <c r="P94" s="582">
        <v>93.33</v>
      </c>
      <c r="Q94" s="587">
        <v>13.0662</v>
      </c>
      <c r="R94" s="184"/>
      <c r="S94" s="587">
        <v>80.263800000000003</v>
      </c>
      <c r="T94" s="587">
        <v>0</v>
      </c>
      <c r="U94" s="184"/>
      <c r="V94" s="184"/>
      <c r="W94" s="183"/>
      <c r="X94" s="71" t="s">
        <v>146</v>
      </c>
      <c r="Y94" s="190"/>
      <c r="Z94" s="582">
        <v>521.31059999999991</v>
      </c>
      <c r="AA94" s="587">
        <v>72.98348399999999</v>
      </c>
      <c r="AB94" s="184"/>
      <c r="AC94" s="587">
        <v>448.32711599999988</v>
      </c>
      <c r="AD94" s="587">
        <v>0</v>
      </c>
      <c r="AE94" s="184"/>
      <c r="AF94" s="184"/>
      <c r="AG94" s="183"/>
      <c r="AH94" s="71" t="s">
        <v>146</v>
      </c>
      <c r="AI94" s="190"/>
      <c r="AJ94" s="582">
        <v>393.26940000000002</v>
      </c>
      <c r="AK94" s="595">
        <v>55.057715999999999</v>
      </c>
      <c r="AL94" s="587"/>
      <c r="AM94" s="587">
        <v>338.21168399999988</v>
      </c>
      <c r="AN94" s="184">
        <v>0</v>
      </c>
      <c r="AO94" s="184"/>
      <c r="AP94" s="184"/>
      <c r="AQ94" s="183"/>
    </row>
    <row r="95" spans="1:43" s="84" customFormat="1" ht="16.5" customHeight="1" x14ac:dyDescent="0.25">
      <c r="A95" s="177"/>
      <c r="B95" s="187">
        <v>4111201</v>
      </c>
      <c r="C95" s="72" t="s">
        <v>117</v>
      </c>
      <c r="D95" s="72"/>
      <c r="E95" s="72"/>
      <c r="F95" s="570">
        <v>0</v>
      </c>
      <c r="G95" s="571">
        <v>0</v>
      </c>
      <c r="H95" s="572">
        <f t="shared" si="1"/>
        <v>95</v>
      </c>
      <c r="I95" s="571">
        <v>0</v>
      </c>
      <c r="J95" s="571">
        <v>0</v>
      </c>
      <c r="K95" s="180"/>
      <c r="L95" s="181"/>
      <c r="M95" s="85"/>
      <c r="N95" s="71"/>
      <c r="O95" s="190"/>
      <c r="P95" s="582">
        <v>0</v>
      </c>
      <c r="Q95" s="587">
        <v>0</v>
      </c>
      <c r="R95" s="184"/>
      <c r="S95" s="587">
        <v>0</v>
      </c>
      <c r="T95" s="587">
        <v>0</v>
      </c>
      <c r="U95" s="184"/>
      <c r="V95" s="184"/>
      <c r="W95" s="183"/>
      <c r="X95" s="71"/>
      <c r="Y95" s="190" t="s">
        <v>143</v>
      </c>
      <c r="Z95" s="582">
        <v>55.000000000000007</v>
      </c>
      <c r="AA95" s="587">
        <v>7.700000000000002</v>
      </c>
      <c r="AB95" s="184"/>
      <c r="AC95" s="587">
        <v>47.3</v>
      </c>
      <c r="AD95" s="587">
        <v>0</v>
      </c>
      <c r="AE95" s="184"/>
      <c r="AF95" s="184"/>
      <c r="AG95" s="183"/>
      <c r="AH95" s="71"/>
      <c r="AI95" s="190"/>
      <c r="AJ95" s="582">
        <v>45</v>
      </c>
      <c r="AK95" s="595">
        <v>6.3000000000000007</v>
      </c>
      <c r="AL95" s="587"/>
      <c r="AM95" s="587">
        <v>38.700000000000003</v>
      </c>
      <c r="AN95" s="184">
        <v>0</v>
      </c>
      <c r="AO95" s="184"/>
      <c r="AP95" s="184"/>
      <c r="AQ95" s="183"/>
    </row>
    <row r="96" spans="1:43" s="84" customFormat="1" ht="15.75" customHeight="1" x14ac:dyDescent="0.25">
      <c r="A96" s="862" t="s">
        <v>165</v>
      </c>
      <c r="B96" s="808"/>
      <c r="C96" s="820"/>
      <c r="D96" s="229"/>
      <c r="E96" s="229"/>
      <c r="F96" s="570">
        <f>SUM(F60:F95)</f>
        <v>34937.269999999997</v>
      </c>
      <c r="G96" s="570">
        <f>SUM(G60:G95)</f>
        <v>17841.510000000006</v>
      </c>
      <c r="H96" s="570"/>
      <c r="I96" s="570">
        <f>SUM(I60:I95)</f>
        <v>17095.760000000002</v>
      </c>
      <c r="J96" s="570">
        <f>SUM(J60:J95)</f>
        <v>0</v>
      </c>
      <c r="K96" s="433"/>
      <c r="L96" s="230"/>
      <c r="M96" s="85"/>
      <c r="N96" s="231"/>
      <c r="O96" s="183"/>
      <c r="P96" s="584">
        <f>SUM(P60:P95)</f>
        <v>12125.46</v>
      </c>
      <c r="Q96" s="584">
        <f>SUM(Q60:Q95)</f>
        <v>2564.4358000000007</v>
      </c>
      <c r="R96" s="232"/>
      <c r="S96" s="584">
        <f>SUM(S60:S95)</f>
        <v>9561.0241999999998</v>
      </c>
      <c r="T96" s="584">
        <f>SUM(T60:T95)</f>
        <v>0</v>
      </c>
      <c r="U96" s="232"/>
      <c r="V96" s="232"/>
      <c r="W96" s="232"/>
      <c r="X96" s="233"/>
      <c r="Y96" s="232"/>
      <c r="Z96" s="584">
        <f>SUM(Z60:Z95)</f>
        <v>18578.886200000001</v>
      </c>
      <c r="AA96" s="584">
        <f>SUM(AA60:AA95)</f>
        <v>4776.7719999999999</v>
      </c>
      <c r="AB96" s="232"/>
      <c r="AC96" s="584">
        <f>SUM(AC60:AC95)</f>
        <v>13802.114199999998</v>
      </c>
      <c r="AD96" s="584">
        <f>SUM(AD60:AD95)</f>
        <v>0</v>
      </c>
      <c r="AE96" s="232"/>
      <c r="AF96" s="232"/>
      <c r="AG96" s="232"/>
      <c r="AH96" s="233"/>
      <c r="AI96" s="232"/>
      <c r="AJ96" s="584">
        <f>SUM(AJ60:AJ95)</f>
        <v>14972.143799999996</v>
      </c>
      <c r="AK96" s="598">
        <f>SUM(AK60:AK95)</f>
        <v>4109.2430000000004</v>
      </c>
      <c r="AL96" s="584"/>
      <c r="AM96" s="584">
        <f>SUM(AM60:AM95)</f>
        <v>10862.900800000001</v>
      </c>
      <c r="AN96" s="232">
        <f>SUM(AN60:AN95)</f>
        <v>0</v>
      </c>
      <c r="AO96" s="183"/>
      <c r="AP96" s="183"/>
      <c r="AQ96" s="183"/>
    </row>
    <row r="97" spans="1:43" s="235" customFormat="1" ht="15.75" customHeight="1" x14ac:dyDescent="0.25">
      <c r="A97" s="862" t="s">
        <v>120</v>
      </c>
      <c r="B97" s="808"/>
      <c r="C97" s="820"/>
      <c r="D97" s="229"/>
      <c r="E97" s="229"/>
      <c r="F97" s="571">
        <f>F56+F96</f>
        <v>45562.119999999995</v>
      </c>
      <c r="G97" s="571">
        <f>+G56+G96</f>
        <v>21126.170000000006</v>
      </c>
      <c r="H97" s="571"/>
      <c r="I97" s="571">
        <f>+I56+I96</f>
        <v>19267.940000000002</v>
      </c>
      <c r="J97" s="571">
        <f>+J56+J96</f>
        <v>5168.01</v>
      </c>
      <c r="K97" s="180"/>
      <c r="L97" s="181"/>
      <c r="M97" s="209"/>
      <c r="N97" s="231"/>
      <c r="O97" s="183"/>
      <c r="P97" s="584">
        <f>SUM(P56+P96)</f>
        <v>13726.97</v>
      </c>
      <c r="Q97" s="590">
        <f>+Q56+Q96</f>
        <v>3291.8801840000006</v>
      </c>
      <c r="R97" s="232"/>
      <c r="S97" s="590">
        <f>+S56+S96</f>
        <v>9985.0898159999997</v>
      </c>
      <c r="T97" s="590">
        <f>+T56+T96</f>
        <v>450</v>
      </c>
      <c r="U97" s="234"/>
      <c r="V97" s="234"/>
      <c r="W97" s="232"/>
      <c r="X97" s="233"/>
      <c r="Y97" s="232"/>
      <c r="Z97" s="584">
        <f>SUM(Z56+Z96)</f>
        <v>22741.864740000001</v>
      </c>
      <c r="AA97" s="590">
        <f>+AA56+AA96</f>
        <v>6280.0362383199999</v>
      </c>
      <c r="AB97" s="232"/>
      <c r="AC97" s="590">
        <f>+AC56+AC96</f>
        <v>15087.257551679999</v>
      </c>
      <c r="AD97" s="590">
        <f>+AD56+AD96</f>
        <v>1374.57095</v>
      </c>
      <c r="AE97" s="234"/>
      <c r="AF97" s="234"/>
      <c r="AG97" s="232"/>
      <c r="AH97" s="233"/>
      <c r="AI97" s="234"/>
      <c r="AJ97" s="599">
        <f>+AJ56+AJ96</f>
        <v>17653.738259999995</v>
      </c>
      <c r="AK97" s="599">
        <f>+AK56+AK96</f>
        <v>5174.7226816800003</v>
      </c>
      <c r="AL97" s="590"/>
      <c r="AM97" s="590">
        <f>+AM56+AM96</f>
        <v>11600.191528320001</v>
      </c>
      <c r="AN97" s="234">
        <f>+AN56+AN96</f>
        <v>878.82404999999983</v>
      </c>
      <c r="AO97" s="184"/>
      <c r="AP97" s="184"/>
      <c r="AQ97" s="183"/>
    </row>
    <row r="98" spans="1:43" s="235" customFormat="1" ht="15" customHeight="1" x14ac:dyDescent="0.25">
      <c r="B98" s="619">
        <v>0</v>
      </c>
      <c r="C98" s="618" t="s">
        <v>121</v>
      </c>
      <c r="D98" s="236"/>
      <c r="E98" s="236"/>
      <c r="F98" s="570">
        <v>0</v>
      </c>
      <c r="G98" s="571">
        <v>0</v>
      </c>
      <c r="H98" s="572"/>
      <c r="I98" s="571">
        <v>0</v>
      </c>
      <c r="J98" s="571">
        <v>0</v>
      </c>
      <c r="K98" s="180"/>
      <c r="L98" s="181"/>
      <c r="M98" s="209"/>
      <c r="N98" s="231"/>
      <c r="O98" s="183"/>
      <c r="P98" s="582">
        <v>0</v>
      </c>
      <c r="Q98" s="587">
        <v>0</v>
      </c>
      <c r="R98" s="184"/>
      <c r="S98" s="587">
        <v>0</v>
      </c>
      <c r="T98" s="587">
        <v>0</v>
      </c>
      <c r="U98" s="184"/>
      <c r="V98" s="184"/>
      <c r="W98" s="183"/>
      <c r="X98" s="233"/>
      <c r="Y98" s="183"/>
      <c r="Z98" s="582">
        <v>26.240300000000001</v>
      </c>
      <c r="AA98" s="587">
        <v>26.240300000000001</v>
      </c>
      <c r="AB98" s="184"/>
      <c r="AC98" s="587">
        <v>0</v>
      </c>
      <c r="AD98" s="587">
        <v>0</v>
      </c>
      <c r="AE98" s="184"/>
      <c r="AF98" s="184"/>
      <c r="AG98" s="183"/>
      <c r="AH98" s="233"/>
      <c r="AI98" s="90"/>
      <c r="AJ98" s="582">
        <v>23.2697</v>
      </c>
      <c r="AK98" s="595">
        <v>23.2697</v>
      </c>
      <c r="AL98" s="587"/>
      <c r="AM98" s="587">
        <v>0</v>
      </c>
      <c r="AN98" s="184">
        <v>0</v>
      </c>
      <c r="AO98" s="184"/>
      <c r="AP98" s="184"/>
      <c r="AQ98" s="183"/>
    </row>
    <row r="99" spans="1:43" s="235" customFormat="1" ht="18" customHeight="1" x14ac:dyDescent="0.25">
      <c r="B99" s="619">
        <v>0</v>
      </c>
      <c r="C99" s="618" t="s">
        <v>123</v>
      </c>
      <c r="D99" s="236"/>
      <c r="E99" s="236"/>
      <c r="F99" s="570">
        <v>0</v>
      </c>
      <c r="G99" s="571">
        <v>0</v>
      </c>
      <c r="H99" s="572"/>
      <c r="I99" s="571">
        <v>0</v>
      </c>
      <c r="J99" s="571">
        <v>0</v>
      </c>
      <c r="K99" s="180"/>
      <c r="L99" s="181"/>
      <c r="M99" s="209"/>
      <c r="N99" s="231"/>
      <c r="O99" s="183"/>
      <c r="P99" s="582">
        <v>0</v>
      </c>
      <c r="Q99" s="587">
        <v>0</v>
      </c>
      <c r="R99" s="184"/>
      <c r="S99" s="587">
        <v>0</v>
      </c>
      <c r="T99" s="587">
        <v>0</v>
      </c>
      <c r="U99" s="184"/>
      <c r="V99" s="184"/>
      <c r="W99" s="183"/>
      <c r="X99" s="233"/>
      <c r="Y99" s="183"/>
      <c r="Z99" s="582">
        <v>5.4</v>
      </c>
      <c r="AA99" s="587">
        <v>5.4</v>
      </c>
      <c r="AB99" s="184"/>
      <c r="AC99" s="587">
        <v>0</v>
      </c>
      <c r="AD99" s="587">
        <v>0</v>
      </c>
      <c r="AE99" s="184"/>
      <c r="AF99" s="184"/>
      <c r="AG99" s="183"/>
      <c r="AH99" s="233"/>
      <c r="AI99" s="90"/>
      <c r="AJ99" s="582">
        <v>4.6000000000000014</v>
      </c>
      <c r="AK99" s="595">
        <v>4.6000000000000014</v>
      </c>
      <c r="AL99" s="587"/>
      <c r="AM99" s="587">
        <v>0</v>
      </c>
      <c r="AN99" s="184">
        <v>0</v>
      </c>
      <c r="AO99" s="184"/>
      <c r="AP99" s="184"/>
      <c r="AQ99" s="183"/>
    </row>
    <row r="100" spans="1:43" s="84" customFormat="1" ht="18" customHeight="1" x14ac:dyDescent="0.25">
      <c r="A100" s="858" t="s">
        <v>166</v>
      </c>
      <c r="B100" s="808"/>
      <c r="C100" s="820"/>
      <c r="D100" s="237"/>
      <c r="E100" s="238"/>
      <c r="F100" s="570">
        <f>SUM(F97:F99)</f>
        <v>45562.119999999995</v>
      </c>
      <c r="G100" s="571">
        <f>SUM(G97:G99)</f>
        <v>21126.170000000006</v>
      </c>
      <c r="H100" s="571"/>
      <c r="I100" s="571">
        <f>SUM(I97:I99)</f>
        <v>19267.940000000002</v>
      </c>
      <c r="J100" s="571">
        <f>SUM(J97:J99)</f>
        <v>5168.01</v>
      </c>
      <c r="K100" s="180"/>
      <c r="L100" s="181"/>
      <c r="M100" s="85"/>
      <c r="N100" s="239"/>
      <c r="O100" s="240"/>
      <c r="P100" s="585">
        <f>SUM(P97:P99)</f>
        <v>13726.97</v>
      </c>
      <c r="Q100" s="585">
        <f>SUM(Q97:Q99)</f>
        <v>3291.8801840000006</v>
      </c>
      <c r="R100" s="241"/>
      <c r="S100" s="585">
        <f>SUM(S97:S99)</f>
        <v>9985.0898159999997</v>
      </c>
      <c r="T100" s="585">
        <f>SUM(T97:T99)</f>
        <v>450</v>
      </c>
      <c r="U100" s="241"/>
      <c r="V100" s="241"/>
      <c r="W100" s="241"/>
      <c r="X100" s="239"/>
      <c r="Y100" s="242"/>
      <c r="Z100" s="585">
        <f>SUM(Z97:Z99)</f>
        <v>22773.505040000004</v>
      </c>
      <c r="AA100" s="585">
        <f>SUM(AA97:AA99)</f>
        <v>6311.67653832</v>
      </c>
      <c r="AB100" s="241"/>
      <c r="AC100" s="585">
        <f>SUM(AC97:AC99)</f>
        <v>15087.257551679999</v>
      </c>
      <c r="AD100" s="585">
        <f>SUM(AD97:AD99)</f>
        <v>1374.57095</v>
      </c>
      <c r="AE100" s="241"/>
      <c r="AF100" s="241"/>
      <c r="AG100" s="241"/>
      <c r="AH100" s="239"/>
      <c r="AI100" s="243"/>
      <c r="AJ100" s="585">
        <f>SUM(AJ97:AJ99)</f>
        <v>17681.607959999994</v>
      </c>
      <c r="AK100" s="600">
        <f>SUM(AK97:AK99)</f>
        <v>5202.5923816800005</v>
      </c>
      <c r="AL100" s="585"/>
      <c r="AM100" s="585">
        <f>SUM(AM97:AM99)</f>
        <v>11600.191528320001</v>
      </c>
      <c r="AN100" s="241">
        <f>SUM(AN97:AN99)</f>
        <v>878.82404999999983</v>
      </c>
      <c r="AO100" s="240"/>
      <c r="AP100" s="240"/>
      <c r="AQ100" s="240"/>
    </row>
    <row r="103" spans="1:43" ht="17.25" customHeight="1" x14ac:dyDescent="0.25">
      <c r="A103" s="162" t="s">
        <v>167</v>
      </c>
      <c r="C103" s="244"/>
      <c r="D103" s="244"/>
      <c r="E103" s="244"/>
      <c r="F103" s="576"/>
      <c r="G103" s="577"/>
      <c r="M103" s="245"/>
    </row>
    <row r="105" spans="1:43" ht="15.75" customHeight="1" x14ac:dyDescent="0.25">
      <c r="C105" s="246"/>
      <c r="D105" s="246"/>
      <c r="E105" s="246"/>
      <c r="F105" s="578"/>
      <c r="G105" s="577">
        <f>F100+P100+Z100+AJ100</f>
        <v>99744.202999999994</v>
      </c>
      <c r="I105" s="577"/>
      <c r="J105" s="577"/>
    </row>
    <row r="106" spans="1:43" ht="15.75" customHeight="1" x14ac:dyDescent="0.25">
      <c r="C106" s="246"/>
      <c r="D106" s="246"/>
      <c r="E106" s="246"/>
      <c r="F106" s="578"/>
      <c r="G106" s="577">
        <f>SUM(F100,P100)</f>
        <v>59289.09</v>
      </c>
    </row>
    <row r="107" spans="1:43" ht="15.75" customHeight="1" x14ac:dyDescent="0.25">
      <c r="C107" s="246"/>
      <c r="D107" s="246"/>
      <c r="E107" s="246"/>
      <c r="F107" s="578"/>
    </row>
    <row r="108" spans="1:43" ht="15.75" customHeight="1" x14ac:dyDescent="0.25">
      <c r="C108" s="246"/>
      <c r="D108" s="246"/>
      <c r="E108" s="246"/>
      <c r="F108" s="578"/>
    </row>
    <row r="109" spans="1:43" ht="15.75" customHeight="1" x14ac:dyDescent="0.25">
      <c r="C109" s="246"/>
      <c r="D109" s="246"/>
      <c r="E109" s="246"/>
      <c r="F109" s="578"/>
    </row>
    <row r="110" spans="1:43" ht="15.75" customHeight="1" x14ac:dyDescent="0.25">
      <c r="C110" s="246"/>
      <c r="D110" s="246"/>
      <c r="E110" s="246"/>
      <c r="F110" s="578"/>
    </row>
    <row r="111" spans="1:43" ht="15" customHeight="1" x14ac:dyDescent="0.25">
      <c r="C111" s="246"/>
      <c r="D111" s="246"/>
      <c r="E111" s="246"/>
      <c r="F111" s="578"/>
    </row>
    <row r="112" spans="1:43" ht="15.75" customHeight="1" x14ac:dyDescent="0.25">
      <c r="C112" s="246"/>
      <c r="D112" s="246"/>
      <c r="E112" s="246"/>
      <c r="F112" s="578"/>
    </row>
  </sheetData>
  <mergeCells count="60">
    <mergeCell ref="A100:C100"/>
    <mergeCell ref="A9:C9"/>
    <mergeCell ref="A57:C57"/>
    <mergeCell ref="C59:Q59"/>
    <mergeCell ref="C62:Q62"/>
    <mergeCell ref="C64:Q64"/>
    <mergeCell ref="C67:Q67"/>
    <mergeCell ref="C71:Q71"/>
    <mergeCell ref="A96:C96"/>
    <mergeCell ref="A97:C97"/>
    <mergeCell ref="AK5:AK7"/>
    <mergeCell ref="AL5:AO5"/>
    <mergeCell ref="H6:I6"/>
    <mergeCell ref="J6:K6"/>
    <mergeCell ref="R6:S6"/>
    <mergeCell ref="T6:U6"/>
    <mergeCell ref="AB6:AC6"/>
    <mergeCell ref="Q5:Q7"/>
    <mergeCell ref="R5:U5"/>
    <mergeCell ref="AP5:AP7"/>
    <mergeCell ref="AQ5:AQ7"/>
    <mergeCell ref="AL6:AM6"/>
    <mergeCell ref="AN6:AO6"/>
    <mergeCell ref="V5:V7"/>
    <mergeCell ref="W5:W7"/>
    <mergeCell ref="Z5:Z7"/>
    <mergeCell ref="AA5:AA7"/>
    <mergeCell ref="AB5:AE5"/>
    <mergeCell ref="AF5:AF7"/>
    <mergeCell ref="AH4:AH7"/>
    <mergeCell ref="AI4:AI7"/>
    <mergeCell ref="AJ4:AQ4"/>
    <mergeCell ref="AD6:AE6"/>
    <mergeCell ref="AG5:AG7"/>
    <mergeCell ref="AJ5:AJ7"/>
    <mergeCell ref="P4:W4"/>
    <mergeCell ref="X4:X7"/>
    <mergeCell ref="Y4:Y7"/>
    <mergeCell ref="Z4:AG4"/>
    <mergeCell ref="F5:F7"/>
    <mergeCell ref="H5:K5"/>
    <mergeCell ref="L5:L7"/>
    <mergeCell ref="M5:M7"/>
    <mergeCell ref="P5:P7"/>
    <mergeCell ref="T1:W1"/>
    <mergeCell ref="AK1:AN1"/>
    <mergeCell ref="S2:W2"/>
    <mergeCell ref="AM2:AQ2"/>
    <mergeCell ref="A3:A7"/>
    <mergeCell ref="B3:B7"/>
    <mergeCell ref="C3:C7"/>
    <mergeCell ref="D3:M3"/>
    <mergeCell ref="N3:W3"/>
    <mergeCell ref="X3:AG3"/>
    <mergeCell ref="AH3:AQ3"/>
    <mergeCell ref="D4:D7"/>
    <mergeCell ref="E4:E7"/>
    <mergeCell ref="F4:M4"/>
    <mergeCell ref="N4:N7"/>
    <mergeCell ref="O4:O7"/>
  </mergeCells>
  <printOptions horizontalCentered="1"/>
  <pageMargins left="0.15" right="0.17" top="0.44" bottom="0" header="0.17" footer="0"/>
  <pageSetup paperSize="9" scale="50" firstPageNumber="6" orientation="landscape" useFirstPageNumber="1" r:id="rId1"/>
  <headerFooter alignWithMargins="0">
    <oddFooter>&amp;L                  †  Year 1 is FY 2014-15, Year 2 is FY 2015-16 and Year 3 is FY 2016-17 &amp;C&amp;20 P - &amp;P</oddFooter>
  </headerFooter>
  <rowBreaks count="1" manualBreakCount="1">
    <brk id="5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3"/>
  <sheetViews>
    <sheetView view="pageBreakPreview" topLeftCell="P4" zoomScale="130" zoomScaleNormal="25" zoomScaleSheetLayoutView="130" workbookViewId="0">
      <selection activeCell="F11" sqref="F11"/>
    </sheetView>
  </sheetViews>
  <sheetFormatPr defaultColWidth="14.42578125" defaultRowHeight="12.75" x14ac:dyDescent="0.25"/>
  <cols>
    <col min="1" max="1" width="5.7109375" style="162" customWidth="1"/>
    <col min="2" max="2" width="12.42578125" style="162" customWidth="1"/>
    <col min="3" max="3" width="84.7109375" style="247" customWidth="1"/>
    <col min="4" max="4" width="6.140625" style="247" customWidth="1"/>
    <col min="5" max="5" width="9" style="247" customWidth="1"/>
    <col min="6" max="6" width="11" style="579" customWidth="1"/>
    <col min="7" max="7" width="11.28515625" style="569" customWidth="1"/>
    <col min="8" max="8" width="7.28515625" style="569" customWidth="1"/>
    <col min="9" max="9" width="9.7109375" style="569" customWidth="1"/>
    <col min="10" max="10" width="8.28515625" style="569" customWidth="1"/>
    <col min="11" max="11" width="6.28515625" style="162" customWidth="1"/>
    <col min="12" max="12" width="4" style="162" customWidth="1"/>
    <col min="13" max="13" width="4.140625" style="162" customWidth="1"/>
    <col min="14" max="14" width="4.7109375" style="720" customWidth="1"/>
    <col min="15" max="15" width="8.140625" style="720" customWidth="1"/>
    <col min="16" max="16" width="9.85546875" style="624" customWidth="1"/>
    <col min="17" max="17" width="10.42578125" style="624" customWidth="1"/>
    <col min="18" max="18" width="5.42578125" style="624" customWidth="1"/>
    <col min="19" max="19" width="10.42578125" style="624" customWidth="1"/>
    <col min="20" max="20" width="8.85546875" style="624" customWidth="1"/>
    <col min="21" max="21" width="11.5703125" style="624" customWidth="1"/>
    <col min="22" max="22" width="2.85546875" style="624" customWidth="1"/>
    <col min="23" max="23" width="2.7109375" style="624" customWidth="1"/>
    <col min="24" max="24" width="4.7109375" style="624" customWidth="1"/>
    <col min="25" max="25" width="7.42578125" style="624" customWidth="1"/>
    <col min="26" max="26" width="10.42578125" style="624" customWidth="1"/>
    <col min="27" max="27" width="10.7109375" style="624" customWidth="1"/>
    <col min="28" max="28" width="5.7109375" style="624" customWidth="1"/>
    <col min="29" max="29" width="10.7109375" style="624" customWidth="1"/>
    <col min="30" max="30" width="9" style="624" customWidth="1"/>
    <col min="31" max="31" width="6.140625" style="720" customWidth="1"/>
    <col min="32" max="33" width="3" style="720" customWidth="1"/>
    <col min="34" max="189" width="14.42578125" style="162" customWidth="1"/>
    <col min="190" max="16384" width="14.42578125" style="162"/>
  </cols>
  <sheetData>
    <row r="1" spans="1:33" ht="24.75" customHeight="1" x14ac:dyDescent="0.25">
      <c r="A1" s="160" t="s">
        <v>132</v>
      </c>
      <c r="B1" s="160"/>
      <c r="C1" s="160"/>
      <c r="D1" s="160"/>
      <c r="E1" s="160"/>
      <c r="F1" s="558"/>
      <c r="G1" s="558"/>
      <c r="H1" s="558"/>
      <c r="I1" s="558"/>
      <c r="J1" s="558"/>
      <c r="K1" s="160"/>
      <c r="L1" s="160"/>
      <c r="M1" s="160"/>
      <c r="N1" s="161"/>
      <c r="O1" s="160"/>
      <c r="P1" s="558"/>
      <c r="Q1" s="558"/>
      <c r="R1" s="558"/>
      <c r="S1" s="558"/>
      <c r="T1" s="843" t="s">
        <v>133</v>
      </c>
      <c r="U1" s="871"/>
      <c r="V1" s="871"/>
      <c r="W1" s="871"/>
      <c r="X1" s="623"/>
      <c r="Y1" s="558"/>
      <c r="Z1" s="558"/>
      <c r="AA1" s="558"/>
      <c r="AB1" s="558"/>
      <c r="AC1" s="558"/>
      <c r="AD1" s="558"/>
      <c r="AE1" s="558"/>
      <c r="AF1" s="558"/>
      <c r="AG1" s="558"/>
    </row>
    <row r="2" spans="1:33" ht="10.5" customHeight="1" x14ac:dyDescent="0.25">
      <c r="B2" s="163"/>
      <c r="C2" s="163"/>
      <c r="D2" s="163"/>
      <c r="E2" s="163"/>
      <c r="F2" s="559"/>
      <c r="G2" s="559"/>
      <c r="H2" s="559"/>
      <c r="I2" s="559"/>
      <c r="J2" s="559"/>
      <c r="K2" s="163"/>
      <c r="L2" s="163"/>
      <c r="N2" s="164"/>
      <c r="O2" s="735"/>
      <c r="P2" s="736"/>
      <c r="Q2" s="622"/>
      <c r="R2" s="622"/>
      <c r="S2" s="846"/>
      <c r="T2" s="871"/>
      <c r="U2" s="871"/>
      <c r="V2" s="871"/>
      <c r="W2" s="871"/>
      <c r="X2" s="758"/>
      <c r="Y2" s="736"/>
      <c r="Z2" s="736"/>
      <c r="AA2" s="622"/>
      <c r="AB2" s="622"/>
      <c r="AC2" s="622"/>
      <c r="AE2" s="624"/>
      <c r="AF2" s="624"/>
      <c r="AG2" s="624"/>
    </row>
    <row r="3" spans="1:33" ht="24.75" customHeight="1" x14ac:dyDescent="0.25">
      <c r="A3" s="821" t="s">
        <v>2</v>
      </c>
      <c r="B3" s="821" t="s">
        <v>134</v>
      </c>
      <c r="C3" s="847" t="s">
        <v>4</v>
      </c>
      <c r="D3" s="848" t="s">
        <v>168</v>
      </c>
      <c r="E3" s="808"/>
      <c r="F3" s="808"/>
      <c r="G3" s="808"/>
      <c r="H3" s="808"/>
      <c r="I3" s="808"/>
      <c r="J3" s="808"/>
      <c r="K3" s="808"/>
      <c r="L3" s="808"/>
      <c r="M3" s="808"/>
      <c r="N3" s="849" t="s">
        <v>169</v>
      </c>
      <c r="O3" s="808"/>
      <c r="P3" s="808"/>
      <c r="Q3" s="808"/>
      <c r="R3" s="808"/>
      <c r="S3" s="808"/>
      <c r="T3" s="808"/>
      <c r="U3" s="808"/>
      <c r="V3" s="808"/>
      <c r="W3" s="820"/>
      <c r="X3" s="849" t="s">
        <v>170</v>
      </c>
      <c r="Y3" s="808"/>
      <c r="Z3" s="808"/>
      <c r="AA3" s="808"/>
      <c r="AB3" s="808"/>
      <c r="AC3" s="808"/>
      <c r="AD3" s="808"/>
      <c r="AE3" s="808"/>
      <c r="AF3" s="808"/>
      <c r="AG3" s="820"/>
    </row>
    <row r="4" spans="1:33" ht="12.75" customHeight="1" x14ac:dyDescent="0.25">
      <c r="A4" s="804"/>
      <c r="B4" s="804"/>
      <c r="C4" s="804"/>
      <c r="D4" s="821" t="s">
        <v>8</v>
      </c>
      <c r="E4" s="851" t="s">
        <v>139</v>
      </c>
      <c r="F4" s="851" t="s">
        <v>10</v>
      </c>
      <c r="G4" s="808"/>
      <c r="H4" s="808"/>
      <c r="I4" s="808"/>
      <c r="J4" s="808"/>
      <c r="K4" s="808"/>
      <c r="L4" s="808"/>
      <c r="M4" s="820"/>
      <c r="N4" s="849" t="s">
        <v>8</v>
      </c>
      <c r="O4" s="852" t="s">
        <v>139</v>
      </c>
      <c r="P4" s="870" t="s">
        <v>10</v>
      </c>
      <c r="Q4" s="869"/>
      <c r="R4" s="869"/>
      <c r="S4" s="869"/>
      <c r="T4" s="869"/>
      <c r="U4" s="869"/>
      <c r="V4" s="869"/>
      <c r="W4" s="864"/>
      <c r="X4" s="863" t="s">
        <v>8</v>
      </c>
      <c r="Y4" s="870" t="s">
        <v>139</v>
      </c>
      <c r="Z4" s="852" t="s">
        <v>10</v>
      </c>
      <c r="AA4" s="808"/>
      <c r="AB4" s="808"/>
      <c r="AC4" s="808"/>
      <c r="AD4" s="808"/>
      <c r="AE4" s="808"/>
      <c r="AF4" s="808"/>
      <c r="AG4" s="820"/>
    </row>
    <row r="5" spans="1:33" ht="12.75" customHeight="1" x14ac:dyDescent="0.25">
      <c r="A5" s="804"/>
      <c r="B5" s="804"/>
      <c r="C5" s="804"/>
      <c r="D5" s="804"/>
      <c r="E5" s="804"/>
      <c r="F5" s="853" t="s">
        <v>11</v>
      </c>
      <c r="G5" s="560" t="s">
        <v>12</v>
      </c>
      <c r="H5" s="821" t="s">
        <v>13</v>
      </c>
      <c r="I5" s="808"/>
      <c r="J5" s="808"/>
      <c r="K5" s="820"/>
      <c r="L5" s="854" t="s">
        <v>14</v>
      </c>
      <c r="M5" s="854" t="s">
        <v>15</v>
      </c>
      <c r="N5" s="804"/>
      <c r="O5" s="804"/>
      <c r="P5" s="863" t="s">
        <v>11</v>
      </c>
      <c r="Q5" s="863" t="s">
        <v>12</v>
      </c>
      <c r="R5" s="863" t="s">
        <v>13</v>
      </c>
      <c r="S5" s="869"/>
      <c r="T5" s="869"/>
      <c r="U5" s="864"/>
      <c r="V5" s="872" t="s">
        <v>14</v>
      </c>
      <c r="W5" s="872" t="s">
        <v>15</v>
      </c>
      <c r="X5" s="867"/>
      <c r="Y5" s="867"/>
      <c r="Z5" s="863" t="s">
        <v>11</v>
      </c>
      <c r="AA5" s="863" t="s">
        <v>12</v>
      </c>
      <c r="AB5" s="849" t="s">
        <v>13</v>
      </c>
      <c r="AC5" s="808"/>
      <c r="AD5" s="808"/>
      <c r="AE5" s="820"/>
      <c r="AF5" s="815" t="s">
        <v>14</v>
      </c>
      <c r="AG5" s="815" t="s">
        <v>15</v>
      </c>
    </row>
    <row r="6" spans="1:33" ht="18.75" customHeight="1" x14ac:dyDescent="0.25">
      <c r="A6" s="804"/>
      <c r="B6" s="804"/>
      <c r="C6" s="804"/>
      <c r="D6" s="804"/>
      <c r="E6" s="804"/>
      <c r="F6" s="804"/>
      <c r="G6" s="562"/>
      <c r="H6" s="853" t="s">
        <v>16</v>
      </c>
      <c r="I6" s="820"/>
      <c r="J6" s="857" t="s">
        <v>17</v>
      </c>
      <c r="K6" s="834"/>
      <c r="L6" s="804"/>
      <c r="M6" s="804"/>
      <c r="N6" s="804"/>
      <c r="O6" s="804"/>
      <c r="P6" s="867"/>
      <c r="Q6" s="867"/>
      <c r="R6" s="863" t="s">
        <v>16</v>
      </c>
      <c r="S6" s="864"/>
      <c r="T6" s="865" t="s">
        <v>17</v>
      </c>
      <c r="U6" s="866"/>
      <c r="V6" s="867"/>
      <c r="W6" s="867"/>
      <c r="X6" s="867"/>
      <c r="Y6" s="867"/>
      <c r="Z6" s="867"/>
      <c r="AA6" s="867"/>
      <c r="AB6" s="863" t="s">
        <v>16</v>
      </c>
      <c r="AC6" s="864"/>
      <c r="AD6" s="856" t="s">
        <v>17</v>
      </c>
      <c r="AE6" s="834"/>
      <c r="AF6" s="804"/>
      <c r="AG6" s="804"/>
    </row>
    <row r="7" spans="1:33" ht="35.25" customHeight="1" x14ac:dyDescent="0.25">
      <c r="A7" s="805"/>
      <c r="B7" s="805"/>
      <c r="C7" s="805"/>
      <c r="D7" s="805"/>
      <c r="E7" s="805"/>
      <c r="F7" s="805"/>
      <c r="G7" s="564"/>
      <c r="H7" s="565" t="s">
        <v>18</v>
      </c>
      <c r="I7" s="566" t="s">
        <v>140</v>
      </c>
      <c r="J7" s="565" t="s">
        <v>141</v>
      </c>
      <c r="K7" s="166" t="s">
        <v>142</v>
      </c>
      <c r="L7" s="805"/>
      <c r="M7" s="805"/>
      <c r="N7" s="805"/>
      <c r="O7" s="805"/>
      <c r="P7" s="868"/>
      <c r="Q7" s="868"/>
      <c r="R7" s="565" t="s">
        <v>18</v>
      </c>
      <c r="S7" s="759" t="s">
        <v>140</v>
      </c>
      <c r="T7" s="760" t="s">
        <v>141</v>
      </c>
      <c r="U7" s="565" t="s">
        <v>142</v>
      </c>
      <c r="V7" s="868"/>
      <c r="W7" s="868"/>
      <c r="X7" s="868"/>
      <c r="Y7" s="868"/>
      <c r="Z7" s="868"/>
      <c r="AA7" s="868"/>
      <c r="AB7" s="565" t="s">
        <v>18</v>
      </c>
      <c r="AC7" s="759" t="s">
        <v>140</v>
      </c>
      <c r="AD7" s="760" t="s">
        <v>141</v>
      </c>
      <c r="AE7" s="166" t="s">
        <v>142</v>
      </c>
      <c r="AF7" s="805"/>
      <c r="AG7" s="805"/>
    </row>
    <row r="8" spans="1:33" s="170" customFormat="1" x14ac:dyDescent="0.25">
      <c r="A8" s="168">
        <v>1</v>
      </c>
      <c r="B8" s="168">
        <v>2</v>
      </c>
      <c r="C8" s="737">
        <v>3</v>
      </c>
      <c r="D8" s="737">
        <v>4</v>
      </c>
      <c r="E8" s="737">
        <v>5</v>
      </c>
      <c r="F8" s="676">
        <v>6</v>
      </c>
      <c r="G8" s="567">
        <v>7</v>
      </c>
      <c r="H8" s="567">
        <v>8</v>
      </c>
      <c r="I8" s="567">
        <v>9</v>
      </c>
      <c r="J8" s="567">
        <v>10</v>
      </c>
      <c r="K8" s="168">
        <v>11</v>
      </c>
      <c r="L8" s="168">
        <v>12</v>
      </c>
      <c r="M8" s="168">
        <v>13</v>
      </c>
      <c r="N8" s="737">
        <v>14</v>
      </c>
      <c r="O8" s="737">
        <v>15</v>
      </c>
      <c r="P8" s="676">
        <v>16</v>
      </c>
      <c r="Q8" s="567">
        <v>17</v>
      </c>
      <c r="R8" s="567">
        <v>18</v>
      </c>
      <c r="S8" s="567">
        <v>19</v>
      </c>
      <c r="T8" s="567">
        <v>20</v>
      </c>
      <c r="U8" s="567">
        <v>21</v>
      </c>
      <c r="V8" s="567">
        <v>22</v>
      </c>
      <c r="W8" s="567">
        <v>23</v>
      </c>
      <c r="X8" s="636">
        <v>24</v>
      </c>
      <c r="Y8" s="636">
        <v>25</v>
      </c>
      <c r="Z8" s="636">
        <v>26</v>
      </c>
      <c r="AA8" s="636">
        <v>27</v>
      </c>
      <c r="AB8" s="636">
        <v>28</v>
      </c>
      <c r="AC8" s="636">
        <v>29</v>
      </c>
      <c r="AD8" s="636">
        <v>30</v>
      </c>
      <c r="AE8" s="740">
        <v>31</v>
      </c>
      <c r="AF8" s="740">
        <v>32</v>
      </c>
      <c r="AG8" s="740">
        <v>33</v>
      </c>
    </row>
    <row r="9" spans="1:33" ht="15.75" customHeight="1" x14ac:dyDescent="0.25">
      <c r="A9" s="859" t="s">
        <v>20</v>
      </c>
      <c r="B9" s="808"/>
      <c r="C9" s="820"/>
      <c r="D9" s="171"/>
      <c r="E9" s="171"/>
      <c r="F9" s="568"/>
      <c r="M9" s="172"/>
      <c r="N9" s="173"/>
      <c r="P9" s="761"/>
      <c r="Q9" s="761"/>
      <c r="U9" s="761"/>
      <c r="V9" s="761"/>
      <c r="W9" s="762"/>
      <c r="X9" s="761"/>
      <c r="AG9" s="176"/>
    </row>
    <row r="10" spans="1:33" ht="13.5" customHeight="1" x14ac:dyDescent="0.25">
      <c r="A10" s="177"/>
      <c r="B10" s="178"/>
      <c r="C10" s="179" t="s">
        <v>21</v>
      </c>
      <c r="D10" s="179"/>
      <c r="E10" s="179"/>
      <c r="F10" s="570"/>
      <c r="G10" s="571"/>
      <c r="H10" s="571"/>
      <c r="I10" s="571"/>
      <c r="J10" s="571"/>
      <c r="K10" s="180"/>
      <c r="L10" s="181"/>
      <c r="M10" s="182"/>
      <c r="N10" s="57"/>
      <c r="O10" s="183"/>
      <c r="P10" s="574"/>
      <c r="Q10" s="575"/>
      <c r="R10" s="575"/>
      <c r="S10" s="575"/>
      <c r="T10" s="575"/>
      <c r="U10" s="575"/>
      <c r="V10" s="575"/>
      <c r="W10" s="574"/>
      <c r="X10" s="763"/>
      <c r="Y10" s="764"/>
      <c r="Z10" s="574"/>
      <c r="AA10" s="765"/>
      <c r="AB10" s="575"/>
      <c r="AC10" s="575"/>
      <c r="AD10" s="575"/>
      <c r="AE10" s="184"/>
      <c r="AF10" s="184"/>
      <c r="AG10" s="183"/>
    </row>
    <row r="11" spans="1:33" ht="17.25" customHeight="1" x14ac:dyDescent="0.25">
      <c r="A11" s="177"/>
      <c r="B11" s="187">
        <v>3111302</v>
      </c>
      <c r="C11" s="124" t="s">
        <v>22</v>
      </c>
      <c r="D11" s="188"/>
      <c r="E11" s="189" t="s">
        <v>143</v>
      </c>
      <c r="F11" s="570">
        <v>1.51</v>
      </c>
      <c r="G11" s="571">
        <v>1.51</v>
      </c>
      <c r="H11" s="572"/>
      <c r="I11" s="571">
        <v>0</v>
      </c>
      <c r="J11" s="571">
        <v>0</v>
      </c>
      <c r="K11" s="180"/>
      <c r="L11" s="181"/>
      <c r="M11" s="182"/>
      <c r="N11" s="92"/>
      <c r="O11" s="190" t="s">
        <v>143</v>
      </c>
      <c r="P11" s="574">
        <v>2.0242</v>
      </c>
      <c r="Q11" s="575">
        <v>2.0242</v>
      </c>
      <c r="R11" s="575"/>
      <c r="S11" s="575">
        <v>0</v>
      </c>
      <c r="T11" s="575">
        <v>0</v>
      </c>
      <c r="U11" s="575"/>
      <c r="V11" s="575"/>
      <c r="W11" s="574"/>
      <c r="X11" s="522"/>
      <c r="Y11" s="519" t="s">
        <v>143</v>
      </c>
      <c r="Z11" s="574">
        <v>1.4658</v>
      </c>
      <c r="AA11" s="575">
        <v>1.4658</v>
      </c>
      <c r="AB11" s="575"/>
      <c r="AC11" s="575">
        <v>0</v>
      </c>
      <c r="AD11" s="575">
        <v>0</v>
      </c>
      <c r="AE11" s="184"/>
      <c r="AF11" s="184"/>
      <c r="AG11" s="183"/>
    </row>
    <row r="12" spans="1:33" ht="17.25" customHeight="1" x14ac:dyDescent="0.25">
      <c r="A12" s="177"/>
      <c r="B12" s="187">
        <v>3111327</v>
      </c>
      <c r="C12" s="188" t="s">
        <v>24</v>
      </c>
      <c r="D12" s="188"/>
      <c r="E12" s="188"/>
      <c r="F12" s="570">
        <v>0</v>
      </c>
      <c r="G12" s="571">
        <v>0</v>
      </c>
      <c r="H12" s="572"/>
      <c r="I12" s="571">
        <v>0</v>
      </c>
      <c r="J12" s="571">
        <v>0</v>
      </c>
      <c r="K12" s="180"/>
      <c r="L12" s="181"/>
      <c r="M12" s="182"/>
      <c r="N12" s="92"/>
      <c r="O12" s="190" t="s">
        <v>143</v>
      </c>
      <c r="P12" s="574">
        <v>6.3</v>
      </c>
      <c r="Q12" s="575">
        <v>6.3</v>
      </c>
      <c r="R12" s="575"/>
      <c r="S12" s="575">
        <v>0</v>
      </c>
      <c r="T12" s="575">
        <v>0</v>
      </c>
      <c r="U12" s="575"/>
      <c r="V12" s="575"/>
      <c r="W12" s="574"/>
      <c r="X12" s="522"/>
      <c r="Y12" s="519" t="s">
        <v>143</v>
      </c>
      <c r="Z12" s="574">
        <v>3.7</v>
      </c>
      <c r="AA12" s="575">
        <v>3.7</v>
      </c>
      <c r="AB12" s="575"/>
      <c r="AC12" s="575">
        <v>0</v>
      </c>
      <c r="AD12" s="575">
        <v>0</v>
      </c>
      <c r="AE12" s="184"/>
      <c r="AF12" s="184"/>
      <c r="AG12" s="183"/>
    </row>
    <row r="13" spans="1:33" ht="17.25" customHeight="1" x14ac:dyDescent="0.25">
      <c r="A13" s="177"/>
      <c r="B13" s="187">
        <v>3111338</v>
      </c>
      <c r="C13" s="188" t="s">
        <v>25</v>
      </c>
      <c r="D13" s="188"/>
      <c r="E13" s="188"/>
      <c r="F13" s="570">
        <v>50.61</v>
      </c>
      <c r="G13" s="571">
        <v>50.61</v>
      </c>
      <c r="H13" s="572"/>
      <c r="I13" s="571">
        <v>0</v>
      </c>
      <c r="J13" s="571">
        <v>0</v>
      </c>
      <c r="K13" s="180"/>
      <c r="L13" s="181"/>
      <c r="M13" s="182"/>
      <c r="N13" s="92"/>
      <c r="O13" s="190" t="s">
        <v>143</v>
      </c>
      <c r="P13" s="574">
        <v>53.634</v>
      </c>
      <c r="Q13" s="575">
        <v>53.634</v>
      </c>
      <c r="R13" s="575"/>
      <c r="S13" s="575">
        <v>0</v>
      </c>
      <c r="T13" s="575">
        <v>0</v>
      </c>
      <c r="U13" s="575"/>
      <c r="V13" s="575"/>
      <c r="W13" s="574"/>
      <c r="X13" s="522"/>
      <c r="Y13" s="519" t="s">
        <v>143</v>
      </c>
      <c r="Z13" s="574">
        <v>35.756</v>
      </c>
      <c r="AA13" s="575">
        <v>35.756</v>
      </c>
      <c r="AB13" s="575"/>
      <c r="AC13" s="575">
        <v>0</v>
      </c>
      <c r="AD13" s="575">
        <v>0</v>
      </c>
      <c r="AE13" s="184"/>
      <c r="AF13" s="184"/>
      <c r="AG13" s="183"/>
    </row>
    <row r="14" spans="1:33" ht="17.25" customHeight="1" x14ac:dyDescent="0.25">
      <c r="A14" s="177"/>
      <c r="B14" s="178"/>
      <c r="C14" s="179" t="s">
        <v>144</v>
      </c>
      <c r="D14" s="179"/>
      <c r="E14" s="179"/>
      <c r="F14" s="570"/>
      <c r="G14" s="571"/>
      <c r="H14" s="571"/>
      <c r="I14" s="571"/>
      <c r="J14" s="571"/>
      <c r="K14" s="180"/>
      <c r="L14" s="181"/>
      <c r="M14" s="182"/>
      <c r="N14" s="57"/>
      <c r="O14" s="191"/>
      <c r="P14" s="574"/>
      <c r="Q14" s="575"/>
      <c r="R14" s="575"/>
      <c r="S14" s="575"/>
      <c r="T14" s="575"/>
      <c r="V14" s="575"/>
      <c r="W14" s="574"/>
      <c r="X14" s="763"/>
      <c r="Y14" s="766"/>
      <c r="Z14" s="574"/>
      <c r="AA14" s="765"/>
      <c r="AB14" s="575"/>
      <c r="AC14" s="575"/>
      <c r="AD14" s="575"/>
      <c r="AE14" s="184"/>
      <c r="AF14" s="184"/>
      <c r="AG14" s="183"/>
    </row>
    <row r="15" spans="1:33" ht="18" customHeight="1" x14ac:dyDescent="0.25">
      <c r="A15" s="177"/>
      <c r="B15" s="187">
        <v>3241101</v>
      </c>
      <c r="C15" s="140" t="s">
        <v>27</v>
      </c>
      <c r="D15" s="188"/>
      <c r="E15" s="189" t="s">
        <v>143</v>
      </c>
      <c r="F15" s="570">
        <v>73.522999999999996</v>
      </c>
      <c r="G15" s="571">
        <v>73.522999999999996</v>
      </c>
      <c r="H15" s="572"/>
      <c r="I15" s="571">
        <v>0</v>
      </c>
      <c r="J15" s="571">
        <v>0</v>
      </c>
      <c r="K15" s="180"/>
      <c r="L15" s="181"/>
      <c r="M15" s="182"/>
      <c r="N15" s="92"/>
      <c r="O15" s="190" t="s">
        <v>143</v>
      </c>
      <c r="P15" s="574">
        <v>28.817599999999999</v>
      </c>
      <c r="Q15" s="575">
        <v>28.817599999999999</v>
      </c>
      <c r="R15" s="575"/>
      <c r="S15" s="575">
        <v>0</v>
      </c>
      <c r="T15" s="575">
        <v>0</v>
      </c>
      <c r="U15" s="575"/>
      <c r="V15" s="575"/>
      <c r="W15" s="574"/>
      <c r="X15" s="522"/>
      <c r="Y15" s="519" t="s">
        <v>143</v>
      </c>
      <c r="Z15" s="574">
        <v>17.662400000000002</v>
      </c>
      <c r="AA15" s="575">
        <v>17.662400000000002</v>
      </c>
      <c r="AB15" s="575"/>
      <c r="AC15" s="575">
        <v>0</v>
      </c>
      <c r="AD15" s="575">
        <v>0</v>
      </c>
      <c r="AE15" s="184"/>
      <c r="AF15" s="184"/>
      <c r="AG15" s="183"/>
    </row>
    <row r="16" spans="1:33" ht="16.5" customHeight="1" x14ac:dyDescent="0.25">
      <c r="A16" s="177"/>
      <c r="B16" s="187">
        <v>3211129</v>
      </c>
      <c r="C16" s="94" t="s">
        <v>28</v>
      </c>
      <c r="D16" s="188"/>
      <c r="E16" s="189" t="s">
        <v>143</v>
      </c>
      <c r="F16" s="570">
        <v>150.88</v>
      </c>
      <c r="G16" s="571">
        <v>150.88</v>
      </c>
      <c r="H16" s="572"/>
      <c r="I16" s="571">
        <v>0</v>
      </c>
      <c r="J16" s="571">
        <v>0</v>
      </c>
      <c r="K16" s="180"/>
      <c r="L16" s="181"/>
      <c r="M16" s="182"/>
      <c r="N16" s="92"/>
      <c r="O16" s="190" t="s">
        <v>143</v>
      </c>
      <c r="P16" s="574">
        <v>58.354399999999977</v>
      </c>
      <c r="Q16" s="575">
        <v>58.354399999999977</v>
      </c>
      <c r="R16" s="575"/>
      <c r="S16" s="575">
        <v>0</v>
      </c>
      <c r="T16" s="575">
        <v>0</v>
      </c>
      <c r="U16" s="575"/>
      <c r="V16" s="575"/>
      <c r="W16" s="574"/>
      <c r="X16" s="522"/>
      <c r="Y16" s="519" t="s">
        <v>143</v>
      </c>
      <c r="Z16" s="574">
        <v>35.765599999999992</v>
      </c>
      <c r="AA16" s="575">
        <v>35.765599999999992</v>
      </c>
      <c r="AB16" s="575"/>
      <c r="AC16" s="575">
        <v>0</v>
      </c>
      <c r="AD16" s="575">
        <v>0</v>
      </c>
      <c r="AE16" s="184"/>
      <c r="AF16" s="184"/>
      <c r="AG16" s="183"/>
    </row>
    <row r="17" spans="1:49" ht="30" customHeight="1" x14ac:dyDescent="0.25">
      <c r="A17" s="177"/>
      <c r="B17" s="187">
        <v>3821103</v>
      </c>
      <c r="C17" s="94" t="s">
        <v>29</v>
      </c>
      <c r="D17" s="188"/>
      <c r="E17" s="189" t="s">
        <v>143</v>
      </c>
      <c r="F17" s="570">
        <v>1780.35</v>
      </c>
      <c r="G17" s="571">
        <v>1780.35</v>
      </c>
      <c r="H17" s="572"/>
      <c r="I17" s="571">
        <v>0</v>
      </c>
      <c r="J17" s="571">
        <v>0</v>
      </c>
      <c r="K17" s="180"/>
      <c r="L17" s="181"/>
      <c r="M17" s="182"/>
      <c r="N17" s="92"/>
      <c r="O17" s="190" t="s">
        <v>143</v>
      </c>
      <c r="P17" s="574">
        <v>634.52</v>
      </c>
      <c r="Q17" s="575">
        <v>634.52</v>
      </c>
      <c r="R17" s="575"/>
      <c r="S17" s="575">
        <v>0</v>
      </c>
      <c r="T17" s="575">
        <v>0</v>
      </c>
      <c r="U17" s="575"/>
      <c r="V17" s="575"/>
      <c r="W17" s="574"/>
      <c r="X17" s="522"/>
      <c r="Y17" s="519" t="s">
        <v>143</v>
      </c>
      <c r="Z17" s="574">
        <v>459.48</v>
      </c>
      <c r="AA17" s="575">
        <v>459.48</v>
      </c>
      <c r="AB17" s="575"/>
      <c r="AC17" s="575">
        <v>0</v>
      </c>
      <c r="AD17" s="575">
        <v>0</v>
      </c>
      <c r="AE17" s="184"/>
      <c r="AF17" s="184"/>
      <c r="AG17" s="183"/>
    </row>
    <row r="18" spans="1:49" ht="16.5" customHeight="1" x14ac:dyDescent="0.25">
      <c r="A18" s="177"/>
      <c r="B18" s="187">
        <v>3211119</v>
      </c>
      <c r="C18" s="94" t="s">
        <v>30</v>
      </c>
      <c r="D18" s="188"/>
      <c r="E18" s="189" t="s">
        <v>143</v>
      </c>
      <c r="F18" s="570">
        <v>1.25</v>
      </c>
      <c r="G18" s="571">
        <v>1.25</v>
      </c>
      <c r="H18" s="572"/>
      <c r="I18" s="571">
        <v>0</v>
      </c>
      <c r="J18" s="571">
        <v>0</v>
      </c>
      <c r="K18" s="180"/>
      <c r="L18" s="181"/>
      <c r="M18" s="182"/>
      <c r="N18" s="92"/>
      <c r="O18" s="190" t="s">
        <v>143</v>
      </c>
      <c r="P18" s="574">
        <v>2.1749999999999998</v>
      </c>
      <c r="Q18" s="575">
        <v>2.1749999999999998</v>
      </c>
      <c r="R18" s="575"/>
      <c r="S18" s="575">
        <v>0</v>
      </c>
      <c r="T18" s="575">
        <v>0</v>
      </c>
      <c r="U18" s="575"/>
      <c r="V18" s="575"/>
      <c r="W18" s="574"/>
      <c r="X18" s="522"/>
      <c r="Y18" s="519" t="s">
        <v>143</v>
      </c>
      <c r="Z18" s="574">
        <v>1.575</v>
      </c>
      <c r="AA18" s="575">
        <v>1.575</v>
      </c>
      <c r="AB18" s="575"/>
      <c r="AC18" s="575">
        <v>0</v>
      </c>
      <c r="AD18" s="575">
        <v>0</v>
      </c>
      <c r="AE18" s="184"/>
      <c r="AF18" s="184"/>
      <c r="AG18" s="183"/>
    </row>
    <row r="19" spans="1:49" ht="16.5" customHeight="1" x14ac:dyDescent="0.25">
      <c r="A19" s="177"/>
      <c r="B19" s="187">
        <v>3211120</v>
      </c>
      <c r="C19" s="72" t="s">
        <v>31</v>
      </c>
      <c r="D19" s="188"/>
      <c r="E19" s="189" t="s">
        <v>143</v>
      </c>
      <c r="F19" s="570">
        <v>1.04</v>
      </c>
      <c r="G19" s="571">
        <v>1.04</v>
      </c>
      <c r="H19" s="572"/>
      <c r="I19" s="571">
        <v>0</v>
      </c>
      <c r="J19" s="571">
        <v>0</v>
      </c>
      <c r="K19" s="180"/>
      <c r="L19" s="181"/>
      <c r="M19" s="182"/>
      <c r="N19" s="92"/>
      <c r="O19" s="190" t="s">
        <v>143</v>
      </c>
      <c r="P19" s="574">
        <v>2.4156</v>
      </c>
      <c r="Q19" s="575">
        <v>2.4156</v>
      </c>
      <c r="R19" s="575"/>
      <c r="S19" s="575">
        <v>0</v>
      </c>
      <c r="T19" s="575">
        <v>0</v>
      </c>
      <c r="U19" s="575"/>
      <c r="V19" s="575"/>
      <c r="W19" s="574"/>
      <c r="X19" s="522"/>
      <c r="Y19" s="519" t="s">
        <v>143</v>
      </c>
      <c r="Z19" s="574">
        <v>1.5444</v>
      </c>
      <c r="AA19" s="575">
        <v>1.5444</v>
      </c>
      <c r="AB19" s="575"/>
      <c r="AC19" s="575">
        <v>0</v>
      </c>
      <c r="AD19" s="575">
        <v>0</v>
      </c>
      <c r="AE19" s="184"/>
      <c r="AF19" s="184"/>
      <c r="AG19" s="183"/>
    </row>
    <row r="20" spans="1:49" ht="16.5" customHeight="1" x14ac:dyDescent="0.25">
      <c r="A20" s="177"/>
      <c r="B20" s="187">
        <v>3211117</v>
      </c>
      <c r="C20" s="72" t="s">
        <v>32</v>
      </c>
      <c r="D20" s="188"/>
      <c r="E20" s="189" t="s">
        <v>143</v>
      </c>
      <c r="F20" s="570">
        <v>0.54100000000000004</v>
      </c>
      <c r="G20" s="571">
        <v>0.54100000000000004</v>
      </c>
      <c r="H20" s="572"/>
      <c r="I20" s="571">
        <v>0</v>
      </c>
      <c r="J20" s="571">
        <v>0</v>
      </c>
      <c r="K20" s="180"/>
      <c r="L20" s="181"/>
      <c r="M20" s="182"/>
      <c r="N20" s="92"/>
      <c r="O20" s="190" t="s">
        <v>143</v>
      </c>
      <c r="P20" s="574">
        <v>2.4970400000000001</v>
      </c>
      <c r="Q20" s="575">
        <v>2.4970400000000001</v>
      </c>
      <c r="R20" s="575"/>
      <c r="S20" s="575">
        <v>0</v>
      </c>
      <c r="T20" s="575">
        <v>0</v>
      </c>
      <c r="U20" s="575"/>
      <c r="V20" s="575"/>
      <c r="W20" s="574"/>
      <c r="X20" s="522"/>
      <c r="Y20" s="519" t="s">
        <v>143</v>
      </c>
      <c r="Z20" s="574">
        <v>1.9619599999999999</v>
      </c>
      <c r="AA20" s="575">
        <v>1.9619599999999999</v>
      </c>
      <c r="AB20" s="575"/>
      <c r="AC20" s="575">
        <v>0</v>
      </c>
      <c r="AD20" s="575">
        <v>0</v>
      </c>
      <c r="AE20" s="184"/>
      <c r="AF20" s="184"/>
      <c r="AG20" s="183"/>
    </row>
    <row r="21" spans="1:49" ht="16.5" customHeight="1" x14ac:dyDescent="0.25">
      <c r="A21" s="177"/>
      <c r="B21" s="192">
        <v>3221104</v>
      </c>
      <c r="C21" s="72" t="s">
        <v>33</v>
      </c>
      <c r="D21" s="188"/>
      <c r="E21" s="189" t="s">
        <v>143</v>
      </c>
      <c r="F21" s="570">
        <v>12.09</v>
      </c>
      <c r="G21" s="571">
        <v>12.09</v>
      </c>
      <c r="H21" s="572"/>
      <c r="I21" s="571">
        <v>0</v>
      </c>
      <c r="J21" s="571">
        <v>0</v>
      </c>
      <c r="K21" s="180"/>
      <c r="L21" s="181"/>
      <c r="M21" s="182"/>
      <c r="N21" s="92"/>
      <c r="O21" s="190"/>
      <c r="P21" s="574">
        <v>4.983299999999999</v>
      </c>
      <c r="Q21" s="575">
        <v>4.983299999999999</v>
      </c>
      <c r="R21" s="575"/>
      <c r="S21" s="575">
        <v>0</v>
      </c>
      <c r="T21" s="575">
        <v>0</v>
      </c>
      <c r="U21" s="575"/>
      <c r="V21" s="575"/>
      <c r="W21" s="574"/>
      <c r="X21" s="522"/>
      <c r="Y21" s="519"/>
      <c r="Z21" s="574">
        <v>2.926699999999999</v>
      </c>
      <c r="AA21" s="765">
        <v>2.926699999999999</v>
      </c>
      <c r="AB21" s="575"/>
      <c r="AC21" s="575">
        <v>0</v>
      </c>
      <c r="AD21" s="575">
        <v>0</v>
      </c>
      <c r="AE21" s="184"/>
      <c r="AF21" s="184"/>
      <c r="AG21" s="183"/>
    </row>
    <row r="22" spans="1:49" ht="16.5" customHeight="1" x14ac:dyDescent="0.25">
      <c r="A22" s="177"/>
      <c r="B22" s="187">
        <v>3211115</v>
      </c>
      <c r="C22" s="72" t="s">
        <v>34</v>
      </c>
      <c r="D22" s="188"/>
      <c r="E22" s="189" t="s">
        <v>143</v>
      </c>
      <c r="F22" s="570">
        <v>1.67</v>
      </c>
      <c r="G22" s="571">
        <v>1.67</v>
      </c>
      <c r="H22" s="572"/>
      <c r="I22" s="571">
        <v>0</v>
      </c>
      <c r="J22" s="571">
        <v>0</v>
      </c>
      <c r="K22" s="180"/>
      <c r="L22" s="181"/>
      <c r="M22" s="182"/>
      <c r="N22" s="92"/>
      <c r="O22" s="190" t="s">
        <v>143</v>
      </c>
      <c r="P22" s="574">
        <v>2.0312999999999999</v>
      </c>
      <c r="Q22" s="575">
        <v>2.0312999999999999</v>
      </c>
      <c r="R22" s="575"/>
      <c r="S22" s="575">
        <v>0</v>
      </c>
      <c r="T22" s="575">
        <v>0</v>
      </c>
      <c r="U22" s="575"/>
      <c r="V22" s="575"/>
      <c r="W22" s="574"/>
      <c r="X22" s="522"/>
      <c r="Y22" s="519" t="s">
        <v>143</v>
      </c>
      <c r="Z22" s="574">
        <v>1.2987</v>
      </c>
      <c r="AA22" s="765">
        <v>1.2987</v>
      </c>
      <c r="AB22" s="575"/>
      <c r="AC22" s="575">
        <v>0</v>
      </c>
      <c r="AD22" s="575">
        <v>0</v>
      </c>
      <c r="AE22" s="184"/>
      <c r="AF22" s="184"/>
      <c r="AG22" s="183"/>
      <c r="AH22" s="193"/>
      <c r="AI22" s="194"/>
      <c r="AJ22" s="194"/>
      <c r="AK22" s="194"/>
      <c r="AL22" s="194"/>
      <c r="AM22" s="193"/>
      <c r="AN22" s="194"/>
      <c r="AO22" s="194"/>
      <c r="AP22" s="194"/>
      <c r="AQ22" s="194"/>
      <c r="AR22" s="193"/>
      <c r="AS22" s="194"/>
      <c r="AT22" s="194"/>
      <c r="AU22" s="194"/>
      <c r="AV22" s="194"/>
      <c r="AW22" s="193"/>
    </row>
    <row r="23" spans="1:49" ht="18" customHeight="1" x14ac:dyDescent="0.25">
      <c r="A23" s="177"/>
      <c r="B23" s="187">
        <v>3211113</v>
      </c>
      <c r="C23" s="72" t="s">
        <v>35</v>
      </c>
      <c r="D23" s="188"/>
      <c r="E23" s="189" t="s">
        <v>143</v>
      </c>
      <c r="F23" s="570">
        <v>11.62</v>
      </c>
      <c r="G23" s="571">
        <v>11.62</v>
      </c>
      <c r="H23" s="572"/>
      <c r="I23" s="571">
        <v>0</v>
      </c>
      <c r="J23" s="571">
        <v>0</v>
      </c>
      <c r="K23" s="180"/>
      <c r="L23" s="181"/>
      <c r="M23" s="182"/>
      <c r="N23" s="92"/>
      <c r="O23" s="190" t="s">
        <v>143</v>
      </c>
      <c r="P23" s="574">
        <v>4.6090000000000009</v>
      </c>
      <c r="Q23" s="575">
        <v>4.6090000000000009</v>
      </c>
      <c r="R23" s="575"/>
      <c r="S23" s="575">
        <v>0</v>
      </c>
      <c r="T23" s="575">
        <v>0</v>
      </c>
      <c r="U23" s="575"/>
      <c r="V23" s="575"/>
      <c r="W23" s="574"/>
      <c r="X23" s="522"/>
      <c r="Y23" s="519" t="s">
        <v>143</v>
      </c>
      <c r="Z23" s="574">
        <v>3.7709999999999999</v>
      </c>
      <c r="AA23" s="575">
        <v>3.7709999999999999</v>
      </c>
      <c r="AB23" s="575"/>
      <c r="AC23" s="575">
        <v>0</v>
      </c>
      <c r="AD23" s="575">
        <v>0</v>
      </c>
      <c r="AE23" s="184"/>
      <c r="AF23" s="184"/>
      <c r="AG23" s="183"/>
    </row>
    <row r="24" spans="1:49" ht="15.75" customHeight="1" x14ac:dyDescent="0.25">
      <c r="A24" s="177"/>
      <c r="B24" s="187">
        <v>3243102</v>
      </c>
      <c r="C24" s="124" t="s">
        <v>36</v>
      </c>
      <c r="D24" s="188"/>
      <c r="E24" s="189" t="s">
        <v>143</v>
      </c>
      <c r="F24" s="570">
        <v>21.55</v>
      </c>
      <c r="G24" s="571">
        <v>21.55</v>
      </c>
      <c r="H24" s="572"/>
      <c r="I24" s="571">
        <v>0</v>
      </c>
      <c r="J24" s="571">
        <v>0</v>
      </c>
      <c r="K24" s="180"/>
      <c r="L24" s="181"/>
      <c r="M24" s="182"/>
      <c r="N24" s="92"/>
      <c r="O24" s="190" t="s">
        <v>143</v>
      </c>
      <c r="P24" s="574">
        <v>11.2545</v>
      </c>
      <c r="Q24" s="575">
        <v>11.2545</v>
      </c>
      <c r="R24" s="575"/>
      <c r="S24" s="575">
        <v>0</v>
      </c>
      <c r="T24" s="575">
        <v>0</v>
      </c>
      <c r="U24" s="575"/>
      <c r="V24" s="575"/>
      <c r="W24" s="574"/>
      <c r="X24" s="522"/>
      <c r="Y24" s="519" t="s">
        <v>143</v>
      </c>
      <c r="Z24" s="574">
        <v>7.1955</v>
      </c>
      <c r="AA24" s="765">
        <v>7.1955</v>
      </c>
      <c r="AB24" s="575"/>
      <c r="AC24" s="575">
        <v>0</v>
      </c>
      <c r="AD24" s="575">
        <v>0</v>
      </c>
      <c r="AE24" s="184"/>
      <c r="AF24" s="184"/>
      <c r="AG24" s="183"/>
    </row>
    <row r="25" spans="1:49" ht="15.75" customHeight="1" x14ac:dyDescent="0.25">
      <c r="A25" s="177"/>
      <c r="B25" s="187">
        <v>3243101</v>
      </c>
      <c r="C25" s="124" t="s">
        <v>37</v>
      </c>
      <c r="D25" s="188"/>
      <c r="E25" s="189" t="s">
        <v>143</v>
      </c>
      <c r="F25" s="570">
        <v>88.76</v>
      </c>
      <c r="G25" s="571">
        <v>88.76</v>
      </c>
      <c r="H25" s="572"/>
      <c r="I25" s="571">
        <v>0</v>
      </c>
      <c r="J25" s="571">
        <v>0</v>
      </c>
      <c r="K25" s="180"/>
      <c r="L25" s="181"/>
      <c r="M25" s="182"/>
      <c r="N25" s="92"/>
      <c r="O25" s="190" t="s">
        <v>143</v>
      </c>
      <c r="P25" s="574">
        <v>46.306800000000003</v>
      </c>
      <c r="Q25" s="575">
        <v>46.306800000000003</v>
      </c>
      <c r="R25" s="575"/>
      <c r="S25" s="575">
        <v>0</v>
      </c>
      <c r="T25" s="575">
        <v>0</v>
      </c>
      <c r="U25" s="575"/>
      <c r="V25" s="575"/>
      <c r="W25" s="574"/>
      <c r="X25" s="522"/>
      <c r="Y25" s="519" t="s">
        <v>143</v>
      </c>
      <c r="Z25" s="574">
        <v>34.933200000000006</v>
      </c>
      <c r="AA25" s="765">
        <v>34.933200000000006</v>
      </c>
      <c r="AB25" s="575"/>
      <c r="AC25" s="575">
        <v>0</v>
      </c>
      <c r="AD25" s="575">
        <v>0</v>
      </c>
      <c r="AE25" s="184"/>
      <c r="AF25" s="184"/>
      <c r="AG25" s="183"/>
    </row>
    <row r="26" spans="1:49" ht="15.75" customHeight="1" x14ac:dyDescent="0.25">
      <c r="A26" s="177"/>
      <c r="B26" s="187">
        <v>3221108</v>
      </c>
      <c r="C26" s="124" t="s">
        <v>38</v>
      </c>
      <c r="D26" s="188"/>
      <c r="E26" s="189" t="s">
        <v>143</v>
      </c>
      <c r="F26" s="570">
        <v>2.0699999999999998</v>
      </c>
      <c r="G26" s="571">
        <v>2.0699999999999998</v>
      </c>
      <c r="H26" s="572"/>
      <c r="I26" s="571">
        <v>0</v>
      </c>
      <c r="J26" s="571">
        <v>0</v>
      </c>
      <c r="K26" s="180"/>
      <c r="L26" s="181"/>
      <c r="M26" s="182"/>
      <c r="N26" s="92"/>
      <c r="O26" s="190" t="s">
        <v>143</v>
      </c>
      <c r="P26" s="574">
        <v>0.51205000000000012</v>
      </c>
      <c r="Q26" s="575">
        <v>0.51205000000000012</v>
      </c>
      <c r="R26" s="575"/>
      <c r="S26" s="575">
        <v>0</v>
      </c>
      <c r="T26" s="575">
        <v>0</v>
      </c>
      <c r="U26" s="575"/>
      <c r="V26" s="575"/>
      <c r="W26" s="574"/>
      <c r="X26" s="522"/>
      <c r="Y26" s="519" t="s">
        <v>143</v>
      </c>
      <c r="Z26" s="574">
        <v>0.41894999999999999</v>
      </c>
      <c r="AA26" s="765">
        <v>0.41894999999999999</v>
      </c>
      <c r="AB26" s="575"/>
      <c r="AC26" s="575">
        <v>0</v>
      </c>
      <c r="AD26" s="575">
        <v>0</v>
      </c>
      <c r="AE26" s="184"/>
      <c r="AF26" s="184"/>
      <c r="AG26" s="183"/>
    </row>
    <row r="27" spans="1:49" ht="15.75" customHeight="1" x14ac:dyDescent="0.25">
      <c r="A27" s="177"/>
      <c r="B27" s="187">
        <v>3255102</v>
      </c>
      <c r="C27" s="124" t="s">
        <v>39</v>
      </c>
      <c r="D27" s="188"/>
      <c r="E27" s="189" t="s">
        <v>143</v>
      </c>
      <c r="F27" s="570">
        <v>34.664000000000001</v>
      </c>
      <c r="G27" s="571">
        <v>34.664000000000001</v>
      </c>
      <c r="H27" s="572"/>
      <c r="I27" s="571">
        <v>0</v>
      </c>
      <c r="J27" s="571">
        <v>0</v>
      </c>
      <c r="K27" s="180"/>
      <c r="L27" s="181"/>
      <c r="M27" s="182"/>
      <c r="N27" s="92"/>
      <c r="O27" s="190" t="s">
        <v>143</v>
      </c>
      <c r="P27" s="574">
        <v>9.3549600000000037</v>
      </c>
      <c r="Q27" s="575">
        <v>9.3549600000000037</v>
      </c>
      <c r="R27" s="575"/>
      <c r="S27" s="575">
        <v>0</v>
      </c>
      <c r="T27" s="575">
        <v>0</v>
      </c>
      <c r="U27" s="575"/>
      <c r="V27" s="575"/>
      <c r="W27" s="574"/>
      <c r="X27" s="522"/>
      <c r="Y27" s="519" t="s">
        <v>143</v>
      </c>
      <c r="Z27" s="574">
        <v>5.9810400000000028</v>
      </c>
      <c r="AA27" s="765">
        <v>5.9810400000000028</v>
      </c>
      <c r="AB27" s="575"/>
      <c r="AC27" s="575">
        <v>0</v>
      </c>
      <c r="AD27" s="575">
        <v>0</v>
      </c>
      <c r="AE27" s="184"/>
      <c r="AF27" s="184"/>
      <c r="AG27" s="183"/>
    </row>
    <row r="28" spans="1:49" ht="18.75" customHeight="1" x14ac:dyDescent="0.25">
      <c r="A28" s="177"/>
      <c r="B28" s="187">
        <v>3255104</v>
      </c>
      <c r="C28" s="124" t="s">
        <v>40</v>
      </c>
      <c r="D28" s="188"/>
      <c r="E28" s="189" t="s">
        <v>143</v>
      </c>
      <c r="F28" s="570">
        <v>69.861999999999995</v>
      </c>
      <c r="G28" s="571">
        <v>69.861999999999995</v>
      </c>
      <c r="H28" s="572"/>
      <c r="I28" s="571">
        <v>0</v>
      </c>
      <c r="J28" s="571">
        <v>0</v>
      </c>
      <c r="K28" s="180"/>
      <c r="L28" s="181"/>
      <c r="M28" s="182"/>
      <c r="N28" s="92"/>
      <c r="O28" s="190" t="s">
        <v>143</v>
      </c>
      <c r="P28" s="574">
        <v>31.586939999999998</v>
      </c>
      <c r="Q28" s="575">
        <v>31.586939999999998</v>
      </c>
      <c r="R28" s="575"/>
      <c r="S28" s="575">
        <v>0</v>
      </c>
      <c r="T28" s="575">
        <v>0</v>
      </c>
      <c r="U28" s="575"/>
      <c r="V28" s="575"/>
      <c r="W28" s="574"/>
      <c r="X28" s="522"/>
      <c r="Y28" s="519" t="s">
        <v>143</v>
      </c>
      <c r="Z28" s="574">
        <v>18.55106</v>
      </c>
      <c r="AA28" s="765">
        <v>18.55106</v>
      </c>
      <c r="AB28" s="575"/>
      <c r="AC28" s="575">
        <v>0</v>
      </c>
      <c r="AD28" s="575">
        <v>0</v>
      </c>
      <c r="AE28" s="184"/>
      <c r="AF28" s="184"/>
      <c r="AG28" s="183"/>
    </row>
    <row r="29" spans="1:49" ht="15.75" customHeight="1" x14ac:dyDescent="0.25">
      <c r="A29" s="177"/>
      <c r="B29" s="187">
        <v>3211127</v>
      </c>
      <c r="C29" s="124" t="s">
        <v>41</v>
      </c>
      <c r="D29" s="188"/>
      <c r="E29" s="189" t="s">
        <v>143</v>
      </c>
      <c r="F29" s="570">
        <v>0.48</v>
      </c>
      <c r="G29" s="571">
        <v>0.48</v>
      </c>
      <c r="H29" s="572"/>
      <c r="I29" s="571">
        <v>0</v>
      </c>
      <c r="J29" s="571">
        <v>0</v>
      </c>
      <c r="K29" s="180"/>
      <c r="L29" s="181"/>
      <c r="M29" s="182"/>
      <c r="N29" s="92"/>
      <c r="O29" s="190" t="s">
        <v>143</v>
      </c>
      <c r="P29" s="574">
        <v>0.88159999999999994</v>
      </c>
      <c r="Q29" s="575">
        <v>0.88159999999999994</v>
      </c>
      <c r="R29" s="575"/>
      <c r="S29" s="575">
        <v>0</v>
      </c>
      <c r="T29" s="575">
        <v>0</v>
      </c>
      <c r="U29" s="575"/>
      <c r="V29" s="575"/>
      <c r="W29" s="574"/>
      <c r="X29" s="522"/>
      <c r="Y29" s="519" t="s">
        <v>143</v>
      </c>
      <c r="Z29" s="574">
        <v>0.63839999999999997</v>
      </c>
      <c r="AA29" s="575">
        <v>0.63839999999999997</v>
      </c>
      <c r="AB29" s="575"/>
      <c r="AC29" s="575">
        <v>0</v>
      </c>
      <c r="AD29" s="575">
        <v>0</v>
      </c>
      <c r="AE29" s="184"/>
      <c r="AF29" s="184"/>
      <c r="AG29" s="183"/>
    </row>
    <row r="30" spans="1:49" ht="15.75" customHeight="1" x14ac:dyDescent="0.25">
      <c r="A30" s="177"/>
      <c r="B30" s="195"/>
      <c r="C30" s="131" t="s">
        <v>42</v>
      </c>
      <c r="D30" s="179"/>
      <c r="E30" s="179"/>
      <c r="F30" s="570"/>
      <c r="G30" s="571"/>
      <c r="H30" s="571"/>
      <c r="I30" s="571"/>
      <c r="J30" s="571"/>
      <c r="K30" s="180"/>
      <c r="L30" s="181"/>
      <c r="M30" s="182"/>
      <c r="N30" s="57"/>
      <c r="O30" s="191"/>
      <c r="P30" s="574"/>
      <c r="Q30" s="575"/>
      <c r="R30" s="575"/>
      <c r="S30" s="575"/>
      <c r="T30" s="575"/>
      <c r="V30" s="575"/>
      <c r="W30" s="574"/>
      <c r="X30" s="763"/>
      <c r="Y30" s="766"/>
      <c r="Z30" s="574"/>
      <c r="AA30" s="575"/>
      <c r="AB30" s="575"/>
      <c r="AC30" s="575"/>
      <c r="AD30" s="575"/>
      <c r="AE30" s="184"/>
      <c r="AF30" s="184"/>
      <c r="AG30" s="183"/>
    </row>
    <row r="31" spans="1:49" ht="13.5" customHeight="1" x14ac:dyDescent="0.25">
      <c r="A31" s="177"/>
      <c r="B31" s="196">
        <v>3231201</v>
      </c>
      <c r="C31" s="126" t="s">
        <v>43</v>
      </c>
      <c r="D31" s="197"/>
      <c r="E31" s="197"/>
      <c r="F31" s="570">
        <v>0</v>
      </c>
      <c r="G31" s="571">
        <v>0</v>
      </c>
      <c r="H31" s="572"/>
      <c r="I31" s="571">
        <v>0</v>
      </c>
      <c r="J31" s="571">
        <v>0</v>
      </c>
      <c r="K31" s="180"/>
      <c r="L31" s="181"/>
      <c r="M31" s="182"/>
      <c r="N31" s="198"/>
      <c r="O31" s="199"/>
      <c r="P31" s="574">
        <v>119</v>
      </c>
      <c r="Q31" s="575">
        <v>0</v>
      </c>
      <c r="R31" s="575"/>
      <c r="S31" s="575">
        <v>119</v>
      </c>
      <c r="T31" s="575">
        <v>0</v>
      </c>
      <c r="U31" s="575"/>
      <c r="V31" s="575"/>
      <c r="W31" s="574"/>
      <c r="X31" s="767"/>
      <c r="Y31" s="768"/>
      <c r="Z31" s="574">
        <v>0</v>
      </c>
      <c r="AA31" s="575">
        <v>0</v>
      </c>
      <c r="AB31" s="575"/>
      <c r="AC31" s="575">
        <v>0</v>
      </c>
      <c r="AD31" s="575">
        <v>0</v>
      </c>
      <c r="AE31" s="184"/>
      <c r="AF31" s="184"/>
      <c r="AG31" s="183"/>
    </row>
    <row r="32" spans="1:49" ht="13.5" customHeight="1" x14ac:dyDescent="0.25">
      <c r="A32" s="177"/>
      <c r="B32" s="196">
        <v>3231201</v>
      </c>
      <c r="C32" s="126" t="s">
        <v>44</v>
      </c>
      <c r="D32" s="197"/>
      <c r="E32" s="189" t="s">
        <v>143</v>
      </c>
      <c r="F32" s="570">
        <v>323.70999999999998</v>
      </c>
      <c r="G32" s="571">
        <v>25.25</v>
      </c>
      <c r="H32" s="572"/>
      <c r="I32" s="571">
        <v>298.45999999999998</v>
      </c>
      <c r="J32" s="571">
        <v>0</v>
      </c>
      <c r="K32" s="180"/>
      <c r="L32" s="181"/>
      <c r="M32" s="182"/>
      <c r="N32" s="198"/>
      <c r="O32" s="190" t="s">
        <v>143</v>
      </c>
      <c r="P32" s="574">
        <v>127.794</v>
      </c>
      <c r="Q32" s="575">
        <v>23.48853720000001</v>
      </c>
      <c r="R32" s="575"/>
      <c r="S32" s="575">
        <v>104.3054628</v>
      </c>
      <c r="T32" s="575">
        <v>0</v>
      </c>
      <c r="U32" s="575"/>
      <c r="V32" s="575"/>
      <c r="W32" s="574"/>
      <c r="X32" s="767"/>
      <c r="Y32" s="519" t="s">
        <v>143</v>
      </c>
      <c r="Z32" s="574">
        <v>85.196000000000026</v>
      </c>
      <c r="AA32" s="575">
        <v>15.659024799999999</v>
      </c>
      <c r="AB32" s="575"/>
      <c r="AC32" s="575">
        <v>69.536975200000029</v>
      </c>
      <c r="AD32" s="575">
        <v>0</v>
      </c>
      <c r="AE32" s="184"/>
      <c r="AF32" s="184"/>
      <c r="AG32" s="183"/>
    </row>
    <row r="33" spans="1:33" ht="36.75" customHeight="1" x14ac:dyDescent="0.25">
      <c r="A33" s="177"/>
      <c r="B33" s="200">
        <v>3231201</v>
      </c>
      <c r="C33" s="121" t="s">
        <v>45</v>
      </c>
      <c r="D33" s="197"/>
      <c r="E33" s="197"/>
      <c r="F33" s="570">
        <v>1684.75</v>
      </c>
      <c r="G33" s="571">
        <v>114.81</v>
      </c>
      <c r="H33" s="572"/>
      <c r="I33" s="571">
        <v>1569.94</v>
      </c>
      <c r="J33" s="571">
        <v>0</v>
      </c>
      <c r="K33" s="180"/>
      <c r="L33" s="181"/>
      <c r="M33" s="182"/>
      <c r="N33" s="198"/>
      <c r="O33" s="190" t="s">
        <v>143</v>
      </c>
      <c r="P33" s="574">
        <v>801.91440000000011</v>
      </c>
      <c r="Q33" s="575">
        <v>151.24105584</v>
      </c>
      <c r="R33" s="575"/>
      <c r="S33" s="575">
        <v>650.67334416000006</v>
      </c>
      <c r="T33" s="575">
        <v>0</v>
      </c>
      <c r="U33" s="575"/>
      <c r="V33" s="575"/>
      <c r="W33" s="574"/>
      <c r="X33" s="767"/>
      <c r="Y33" s="519" t="s">
        <v>143</v>
      </c>
      <c r="Z33" s="574">
        <v>470.96560000000011</v>
      </c>
      <c r="AA33" s="575">
        <v>88.824112159999999</v>
      </c>
      <c r="AB33" s="575"/>
      <c r="AC33" s="575">
        <v>382.14148784000002</v>
      </c>
      <c r="AD33" s="575">
        <v>0</v>
      </c>
      <c r="AE33" s="184"/>
      <c r="AF33" s="184"/>
      <c r="AG33" s="183"/>
    </row>
    <row r="34" spans="1:33" ht="38.25" customHeight="1" x14ac:dyDescent="0.25">
      <c r="A34" s="177"/>
      <c r="B34" s="200">
        <v>3231201</v>
      </c>
      <c r="C34" s="121" t="s">
        <v>46</v>
      </c>
      <c r="D34" s="197"/>
      <c r="E34" s="197"/>
      <c r="F34" s="570">
        <v>661.17</v>
      </c>
      <c r="G34" s="571">
        <v>42.58</v>
      </c>
      <c r="H34" s="572"/>
      <c r="I34" s="571">
        <v>618.59</v>
      </c>
      <c r="J34" s="571">
        <v>0</v>
      </c>
      <c r="K34" s="180"/>
      <c r="L34" s="181"/>
      <c r="M34" s="182"/>
      <c r="N34" s="198"/>
      <c r="O34" s="190" t="s">
        <v>143</v>
      </c>
      <c r="P34" s="574">
        <v>210.3419999999999</v>
      </c>
      <c r="Q34" s="575">
        <v>45.454906199999982</v>
      </c>
      <c r="R34" s="575"/>
      <c r="S34" s="575">
        <v>164.88709379999989</v>
      </c>
      <c r="T34" s="575">
        <v>0</v>
      </c>
      <c r="U34" s="575"/>
      <c r="V34" s="575"/>
      <c r="W34" s="574"/>
      <c r="X34" s="767"/>
      <c r="Y34" s="519" t="s">
        <v>143</v>
      </c>
      <c r="Z34" s="574">
        <v>172.0979999999999</v>
      </c>
      <c r="AA34" s="575">
        <v>37.190377799999979</v>
      </c>
      <c r="AB34" s="575"/>
      <c r="AC34" s="575">
        <v>134.90762219999999</v>
      </c>
      <c r="AD34" s="575">
        <v>0</v>
      </c>
      <c r="AE34" s="184"/>
      <c r="AF34" s="184"/>
      <c r="AG34" s="183"/>
    </row>
    <row r="35" spans="1:33" ht="18" customHeight="1" x14ac:dyDescent="0.25">
      <c r="A35" s="177"/>
      <c r="B35" s="125">
        <v>3211109</v>
      </c>
      <c r="C35" s="124" t="s">
        <v>47</v>
      </c>
      <c r="D35" s="188"/>
      <c r="E35" s="189" t="s">
        <v>143</v>
      </c>
      <c r="F35" s="570">
        <v>14.45</v>
      </c>
      <c r="G35" s="571">
        <v>14.45</v>
      </c>
      <c r="H35" s="572"/>
      <c r="I35" s="571">
        <v>0</v>
      </c>
      <c r="J35" s="571">
        <v>0</v>
      </c>
      <c r="K35" s="180"/>
      <c r="L35" s="181"/>
      <c r="M35" s="182"/>
      <c r="N35" s="92"/>
      <c r="O35" s="190" t="s">
        <v>143</v>
      </c>
      <c r="P35" s="574">
        <v>4.6809999999999992</v>
      </c>
      <c r="Q35" s="575">
        <v>4.6809999999999992</v>
      </c>
      <c r="R35" s="575"/>
      <c r="S35" s="575">
        <v>0</v>
      </c>
      <c r="T35" s="575">
        <v>0</v>
      </c>
      <c r="U35" s="575"/>
      <c r="V35" s="575"/>
      <c r="W35" s="574"/>
      <c r="X35" s="522"/>
      <c r="Y35" s="519" t="s">
        <v>143</v>
      </c>
      <c r="Z35" s="574">
        <v>2.8690000000000002</v>
      </c>
      <c r="AA35" s="575">
        <v>2.8690000000000002</v>
      </c>
      <c r="AB35" s="575"/>
      <c r="AC35" s="575">
        <v>0</v>
      </c>
      <c r="AD35" s="575">
        <v>0</v>
      </c>
      <c r="AE35" s="184"/>
      <c r="AF35" s="184"/>
      <c r="AG35" s="183"/>
    </row>
    <row r="36" spans="1:33" ht="15.75" customHeight="1" x14ac:dyDescent="0.25">
      <c r="A36" s="177"/>
      <c r="B36" s="187">
        <v>3256103</v>
      </c>
      <c r="C36" s="124" t="s">
        <v>48</v>
      </c>
      <c r="D36" s="188"/>
      <c r="E36" s="189" t="s">
        <v>143</v>
      </c>
      <c r="F36" s="570">
        <v>6.74</v>
      </c>
      <c r="G36" s="571">
        <v>6.74</v>
      </c>
      <c r="H36" s="572"/>
      <c r="I36" s="571">
        <v>0</v>
      </c>
      <c r="J36" s="571">
        <v>0</v>
      </c>
      <c r="K36" s="180"/>
      <c r="L36" s="181"/>
      <c r="M36" s="182"/>
      <c r="N36" s="92"/>
      <c r="O36" s="190" t="s">
        <v>143</v>
      </c>
      <c r="P36" s="574">
        <v>4.7907999999999999</v>
      </c>
      <c r="Q36" s="575">
        <v>4.7907999999999999</v>
      </c>
      <c r="R36" s="575"/>
      <c r="S36" s="575">
        <v>0</v>
      </c>
      <c r="T36" s="575">
        <v>0</v>
      </c>
      <c r="U36" s="575"/>
      <c r="V36" s="575"/>
      <c r="W36" s="574"/>
      <c r="X36" s="522"/>
      <c r="Y36" s="519" t="s">
        <v>143</v>
      </c>
      <c r="Z36" s="574">
        <v>3.4691999999999998</v>
      </c>
      <c r="AA36" s="575">
        <v>3.4691999999999998</v>
      </c>
      <c r="AB36" s="575"/>
      <c r="AC36" s="575">
        <v>0</v>
      </c>
      <c r="AD36" s="575">
        <v>0</v>
      </c>
      <c r="AE36" s="184"/>
      <c r="AF36" s="184"/>
      <c r="AG36" s="183"/>
    </row>
    <row r="37" spans="1:33" ht="32.25" customHeight="1" x14ac:dyDescent="0.25">
      <c r="A37" s="177"/>
      <c r="B37" s="189">
        <v>3257101</v>
      </c>
      <c r="C37" s="124" t="s">
        <v>49</v>
      </c>
      <c r="D37" s="188"/>
      <c r="E37" s="189" t="s">
        <v>143</v>
      </c>
      <c r="F37" s="570">
        <v>5648.0050000000001</v>
      </c>
      <c r="G37" s="571">
        <v>0</v>
      </c>
      <c r="H37" s="572"/>
      <c r="I37" s="571">
        <v>0</v>
      </c>
      <c r="J37" s="571">
        <v>5648.0050000000001</v>
      </c>
      <c r="K37" s="180"/>
      <c r="L37" s="181"/>
      <c r="M37" s="182"/>
      <c r="N37" s="92" t="s">
        <v>50</v>
      </c>
      <c r="O37" s="190" t="s">
        <v>143</v>
      </c>
      <c r="P37" s="574">
        <v>1374.57095</v>
      </c>
      <c r="Q37" s="575">
        <v>0</v>
      </c>
      <c r="R37" s="575"/>
      <c r="S37" s="575">
        <v>0</v>
      </c>
      <c r="T37" s="575">
        <v>1374.57095</v>
      </c>
      <c r="U37" s="575"/>
      <c r="V37" s="575"/>
      <c r="W37" s="574"/>
      <c r="X37" s="522" t="s">
        <v>50</v>
      </c>
      <c r="Y37" s="519" t="s">
        <v>143</v>
      </c>
      <c r="Z37" s="574">
        <v>878.82404999999983</v>
      </c>
      <c r="AA37" s="575">
        <v>0</v>
      </c>
      <c r="AB37" s="575"/>
      <c r="AC37" s="575">
        <v>0</v>
      </c>
      <c r="AD37" s="575">
        <v>878.82404999999983</v>
      </c>
      <c r="AE37" s="184"/>
      <c r="AF37" s="184"/>
      <c r="AG37" s="183"/>
    </row>
    <row r="38" spans="1:33" ht="18" customHeight="1" x14ac:dyDescent="0.25">
      <c r="A38" s="177"/>
      <c r="B38" s="201">
        <v>3111332</v>
      </c>
      <c r="C38" s="94" t="s">
        <v>53</v>
      </c>
      <c r="D38" s="202"/>
      <c r="E38" s="189" t="s">
        <v>143</v>
      </c>
      <c r="F38" s="570">
        <v>15.73</v>
      </c>
      <c r="G38" s="571">
        <v>15.73</v>
      </c>
      <c r="H38" s="572"/>
      <c r="I38" s="571">
        <v>0</v>
      </c>
      <c r="J38" s="571">
        <v>0</v>
      </c>
      <c r="K38" s="180"/>
      <c r="L38" s="181"/>
      <c r="M38" s="182"/>
      <c r="N38" s="116"/>
      <c r="O38" s="190" t="s">
        <v>143</v>
      </c>
      <c r="P38" s="574">
        <v>8.2765999999999984</v>
      </c>
      <c r="Q38" s="575">
        <v>8.2765999999999984</v>
      </c>
      <c r="R38" s="575"/>
      <c r="S38" s="575">
        <v>0</v>
      </c>
      <c r="T38" s="575">
        <v>0</v>
      </c>
      <c r="U38" s="575"/>
      <c r="V38" s="575"/>
      <c r="W38" s="574"/>
      <c r="X38" s="534"/>
      <c r="Y38" s="519" t="s">
        <v>143</v>
      </c>
      <c r="Z38" s="574">
        <v>5.9933999999999994</v>
      </c>
      <c r="AA38" s="575">
        <v>5.9933999999999994</v>
      </c>
      <c r="AB38" s="575"/>
      <c r="AC38" s="575">
        <v>0</v>
      </c>
      <c r="AD38" s="575">
        <v>0</v>
      </c>
      <c r="AE38" s="184"/>
      <c r="AF38" s="184"/>
      <c r="AG38" s="183"/>
    </row>
    <row r="39" spans="1:33" ht="18" customHeight="1" x14ac:dyDescent="0.25">
      <c r="A39" s="177"/>
      <c r="B39" s="203">
        <v>3111332</v>
      </c>
      <c r="C39" s="94" t="s">
        <v>54</v>
      </c>
      <c r="D39" s="202"/>
      <c r="E39" s="202"/>
      <c r="F39" s="570">
        <v>1.7</v>
      </c>
      <c r="G39" s="571">
        <v>1.7</v>
      </c>
      <c r="H39" s="572"/>
      <c r="I39" s="571">
        <v>0</v>
      </c>
      <c r="J39" s="571">
        <v>0</v>
      </c>
      <c r="K39" s="180"/>
      <c r="L39" s="181"/>
      <c r="M39" s="182"/>
      <c r="N39" s="116"/>
      <c r="O39" s="190" t="s">
        <v>143</v>
      </c>
      <c r="P39" s="574">
        <v>8.3000000000000007</v>
      </c>
      <c r="Q39" s="575">
        <v>8.3000000000000007</v>
      </c>
      <c r="R39" s="575"/>
      <c r="S39" s="575">
        <v>0</v>
      </c>
      <c r="T39" s="575">
        <v>0</v>
      </c>
      <c r="U39" s="575"/>
      <c r="V39" s="575"/>
      <c r="W39" s="574"/>
      <c r="X39" s="534"/>
      <c r="Y39" s="519"/>
      <c r="Z39" s="574">
        <v>0</v>
      </c>
      <c r="AA39" s="575">
        <v>0</v>
      </c>
      <c r="AB39" s="575"/>
      <c r="AC39" s="575">
        <v>0</v>
      </c>
      <c r="AD39" s="575">
        <v>0</v>
      </c>
      <c r="AE39" s="184"/>
      <c r="AF39" s="184"/>
      <c r="AG39" s="183"/>
    </row>
    <row r="40" spans="1:33" ht="18" customHeight="1" x14ac:dyDescent="0.25">
      <c r="A40" s="177"/>
      <c r="B40" s="204">
        <v>3111332</v>
      </c>
      <c r="C40" s="94" t="s">
        <v>55</v>
      </c>
      <c r="D40" s="202"/>
      <c r="E40" s="202"/>
      <c r="F40" s="570">
        <v>1.71</v>
      </c>
      <c r="G40" s="571">
        <v>1.71</v>
      </c>
      <c r="H40" s="572"/>
      <c r="I40" s="571">
        <v>0</v>
      </c>
      <c r="J40" s="571">
        <v>0</v>
      </c>
      <c r="K40" s="180"/>
      <c r="L40" s="181"/>
      <c r="M40" s="182"/>
      <c r="N40" s="116"/>
      <c r="O40" s="190" t="s">
        <v>143</v>
      </c>
      <c r="P40" s="574">
        <v>4.1449999999999996</v>
      </c>
      <c r="Q40" s="575">
        <v>4.1449999999999996</v>
      </c>
      <c r="R40" s="575"/>
      <c r="S40" s="575">
        <v>0</v>
      </c>
      <c r="T40" s="575">
        <v>0</v>
      </c>
      <c r="U40" s="575"/>
      <c r="V40" s="575"/>
      <c r="W40" s="574"/>
      <c r="X40" s="534"/>
      <c r="Y40" s="519" t="s">
        <v>143</v>
      </c>
      <c r="Z40" s="574">
        <v>4.1449999999999996</v>
      </c>
      <c r="AA40" s="575">
        <v>4.1449999999999996</v>
      </c>
      <c r="AB40" s="575"/>
      <c r="AC40" s="575">
        <v>0</v>
      </c>
      <c r="AD40" s="575">
        <v>0</v>
      </c>
      <c r="AE40" s="184"/>
      <c r="AF40" s="184"/>
      <c r="AG40" s="183"/>
    </row>
    <row r="41" spans="1:33" ht="18" customHeight="1" x14ac:dyDescent="0.25">
      <c r="A41" s="177"/>
      <c r="B41" s="189">
        <v>3257104</v>
      </c>
      <c r="C41" s="94" t="s">
        <v>56</v>
      </c>
      <c r="D41" s="202"/>
      <c r="E41" s="189" t="s">
        <v>143</v>
      </c>
      <c r="F41" s="570">
        <v>115.02</v>
      </c>
      <c r="G41" s="571">
        <v>115.02</v>
      </c>
      <c r="H41" s="572"/>
      <c r="I41" s="571">
        <v>0</v>
      </c>
      <c r="J41" s="571">
        <v>0</v>
      </c>
      <c r="K41" s="180"/>
      <c r="L41" s="181"/>
      <c r="M41" s="182"/>
      <c r="N41" s="116"/>
      <c r="O41" s="190" t="s">
        <v>143</v>
      </c>
      <c r="P41" s="574">
        <v>26.77859999999999</v>
      </c>
      <c r="Q41" s="575">
        <v>26.77859999999999</v>
      </c>
      <c r="R41" s="575"/>
      <c r="S41" s="575">
        <v>0</v>
      </c>
      <c r="T41" s="575">
        <v>0</v>
      </c>
      <c r="U41" s="575"/>
      <c r="V41" s="575"/>
      <c r="W41" s="574"/>
      <c r="X41" s="534"/>
      <c r="Y41" s="519" t="s">
        <v>143</v>
      </c>
      <c r="Z41" s="574">
        <v>20.2014</v>
      </c>
      <c r="AA41" s="575">
        <v>20.2014</v>
      </c>
      <c r="AB41" s="575"/>
      <c r="AC41" s="575">
        <v>0</v>
      </c>
      <c r="AD41" s="575">
        <v>0</v>
      </c>
      <c r="AE41" s="184"/>
      <c r="AF41" s="184"/>
      <c r="AG41" s="183"/>
    </row>
    <row r="42" spans="1:33" ht="18" customHeight="1" x14ac:dyDescent="0.25">
      <c r="A42" s="177"/>
      <c r="B42" s="189">
        <v>3255101</v>
      </c>
      <c r="C42" s="124" t="s">
        <v>57</v>
      </c>
      <c r="D42" s="202"/>
      <c r="E42" s="189" t="s">
        <v>143</v>
      </c>
      <c r="F42" s="570">
        <v>30.469000000000001</v>
      </c>
      <c r="G42" s="571">
        <v>30.469000000000001</v>
      </c>
      <c r="H42" s="572"/>
      <c r="I42" s="571">
        <v>0</v>
      </c>
      <c r="J42" s="571">
        <v>0</v>
      </c>
      <c r="K42" s="180"/>
      <c r="L42" s="181"/>
      <c r="M42" s="182"/>
      <c r="N42" s="116"/>
      <c r="O42" s="190" t="s">
        <v>143</v>
      </c>
      <c r="P42" s="574">
        <v>16.242049999999999</v>
      </c>
      <c r="Q42" s="575">
        <v>16.242049999999999</v>
      </c>
      <c r="R42" s="575"/>
      <c r="S42" s="575">
        <v>0</v>
      </c>
      <c r="T42" s="575">
        <v>0</v>
      </c>
      <c r="U42" s="575"/>
      <c r="V42" s="575"/>
      <c r="W42" s="574"/>
      <c r="X42" s="534"/>
      <c r="Y42" s="519" t="s">
        <v>143</v>
      </c>
      <c r="Z42" s="574">
        <v>13.28895</v>
      </c>
      <c r="AA42" s="575">
        <v>13.28895</v>
      </c>
      <c r="AB42" s="575"/>
      <c r="AC42" s="575">
        <v>0</v>
      </c>
      <c r="AD42" s="575">
        <v>0</v>
      </c>
      <c r="AE42" s="184"/>
      <c r="AF42" s="184"/>
      <c r="AG42" s="183"/>
    </row>
    <row r="43" spans="1:33" ht="18" customHeight="1" x14ac:dyDescent="0.25">
      <c r="A43" s="177"/>
      <c r="B43" s="189">
        <v>3256101</v>
      </c>
      <c r="C43" s="124" t="s">
        <v>58</v>
      </c>
      <c r="D43" s="202"/>
      <c r="E43" s="189" t="s">
        <v>143</v>
      </c>
      <c r="F43" s="570">
        <v>1175.4100000000001</v>
      </c>
      <c r="G43" s="571">
        <v>1175.4100000000001</v>
      </c>
      <c r="H43" s="572"/>
      <c r="I43" s="571">
        <v>0</v>
      </c>
      <c r="J43" s="571">
        <v>0</v>
      </c>
      <c r="K43" s="180"/>
      <c r="L43" s="181"/>
      <c r="M43" s="182"/>
      <c r="N43" s="116"/>
      <c r="O43" s="190" t="s">
        <v>143</v>
      </c>
      <c r="P43" s="574">
        <v>299.01629999999989</v>
      </c>
      <c r="Q43" s="575">
        <v>299.01629999999989</v>
      </c>
      <c r="R43" s="575"/>
      <c r="S43" s="575">
        <v>0</v>
      </c>
      <c r="T43" s="575">
        <v>0</v>
      </c>
      <c r="U43" s="575"/>
      <c r="V43" s="575"/>
      <c r="W43" s="574"/>
      <c r="X43" s="534"/>
      <c r="Y43" s="519" t="s">
        <v>143</v>
      </c>
      <c r="Z43" s="574">
        <v>225.5737</v>
      </c>
      <c r="AA43" s="575">
        <v>225.5737</v>
      </c>
      <c r="AB43" s="575"/>
      <c r="AC43" s="575">
        <v>0</v>
      </c>
      <c r="AD43" s="575">
        <v>0</v>
      </c>
      <c r="AE43" s="184"/>
      <c r="AF43" s="184"/>
      <c r="AG43" s="183"/>
    </row>
    <row r="44" spans="1:33" ht="18" customHeight="1" x14ac:dyDescent="0.25">
      <c r="A44" s="177"/>
      <c r="B44" s="178"/>
      <c r="C44" s="205" t="s">
        <v>145</v>
      </c>
      <c r="D44" s="205"/>
      <c r="E44" s="205"/>
      <c r="F44" s="570"/>
      <c r="G44" s="571"/>
      <c r="H44" s="571"/>
      <c r="I44" s="571"/>
      <c r="J44" s="571"/>
      <c r="K44" s="180"/>
      <c r="L44" s="181"/>
      <c r="M44" s="182"/>
      <c r="N44" s="206"/>
      <c r="O44" s="207"/>
      <c r="P44" s="574"/>
      <c r="Q44" s="575"/>
      <c r="R44" s="575"/>
      <c r="S44" s="575"/>
      <c r="T44" s="575"/>
      <c r="V44" s="575"/>
      <c r="W44" s="574"/>
      <c r="X44" s="769"/>
      <c r="Y44" s="770"/>
      <c r="Z44" s="574"/>
      <c r="AA44" s="575"/>
      <c r="AB44" s="575"/>
      <c r="AC44" s="575"/>
      <c r="AD44" s="575"/>
      <c r="AE44" s="184"/>
      <c r="AF44" s="184"/>
      <c r="AG44" s="183"/>
    </row>
    <row r="45" spans="1:33" ht="18" customHeight="1" x14ac:dyDescent="0.25">
      <c r="A45" s="177"/>
      <c r="B45" s="187">
        <v>3258101</v>
      </c>
      <c r="C45" s="95" t="s">
        <v>60</v>
      </c>
      <c r="D45" s="188"/>
      <c r="E45" s="189" t="s">
        <v>143</v>
      </c>
      <c r="F45" s="570">
        <v>76.367000000000004</v>
      </c>
      <c r="G45" s="571">
        <v>76.367000000000004</v>
      </c>
      <c r="H45" s="572"/>
      <c r="I45" s="571">
        <v>0</v>
      </c>
      <c r="J45" s="571">
        <v>0</v>
      </c>
      <c r="K45" s="180"/>
      <c r="L45" s="181"/>
      <c r="M45" s="182"/>
      <c r="N45" s="92"/>
      <c r="O45" s="190" t="s">
        <v>143</v>
      </c>
      <c r="P45" s="574">
        <v>26.748149999999999</v>
      </c>
      <c r="Q45" s="575">
        <v>26.748149999999999</v>
      </c>
      <c r="R45" s="575"/>
      <c r="S45" s="575">
        <v>0</v>
      </c>
      <c r="T45" s="575">
        <v>0</v>
      </c>
      <c r="U45" s="575"/>
      <c r="V45" s="575"/>
      <c r="W45" s="574"/>
      <c r="X45" s="522"/>
      <c r="Y45" s="519" t="s">
        <v>143</v>
      </c>
      <c r="Z45" s="574">
        <v>21.88485</v>
      </c>
      <c r="AA45" s="575">
        <v>21.88485</v>
      </c>
      <c r="AB45" s="575"/>
      <c r="AC45" s="575">
        <v>0</v>
      </c>
      <c r="AD45" s="575">
        <v>0</v>
      </c>
      <c r="AE45" s="184"/>
      <c r="AF45" s="184"/>
      <c r="AG45" s="183"/>
    </row>
    <row r="46" spans="1:33" ht="18" customHeight="1" x14ac:dyDescent="0.25">
      <c r="A46" s="177"/>
      <c r="B46" s="187">
        <v>3258102</v>
      </c>
      <c r="C46" s="124" t="s">
        <v>62</v>
      </c>
      <c r="D46" s="188"/>
      <c r="E46" s="189" t="s">
        <v>143</v>
      </c>
      <c r="F46" s="570">
        <v>4.3099999999999996</v>
      </c>
      <c r="G46" s="571">
        <v>4.3099999999999996</v>
      </c>
      <c r="H46" s="572"/>
      <c r="I46" s="571">
        <v>0</v>
      </c>
      <c r="J46" s="571">
        <v>0</v>
      </c>
      <c r="K46" s="180"/>
      <c r="L46" s="181"/>
      <c r="M46" s="182"/>
      <c r="N46" s="92"/>
      <c r="O46" s="190" t="s">
        <v>143</v>
      </c>
      <c r="P46" s="574">
        <v>3.4140000000000001</v>
      </c>
      <c r="Q46" s="575">
        <v>3.4140000000000001</v>
      </c>
      <c r="R46" s="575"/>
      <c r="S46" s="575">
        <v>0</v>
      </c>
      <c r="T46" s="575">
        <v>0</v>
      </c>
      <c r="U46" s="575"/>
      <c r="V46" s="575"/>
      <c r="W46" s="574"/>
      <c r="X46" s="522"/>
      <c r="Y46" s="519" t="s">
        <v>143</v>
      </c>
      <c r="Z46" s="574">
        <v>2.2759999999999998</v>
      </c>
      <c r="AA46" s="575">
        <v>2.2759999999999998</v>
      </c>
      <c r="AB46" s="575"/>
      <c r="AC46" s="575">
        <v>0</v>
      </c>
      <c r="AD46" s="575">
        <v>0</v>
      </c>
      <c r="AE46" s="184"/>
      <c r="AF46" s="184"/>
      <c r="AG46" s="183"/>
    </row>
    <row r="47" spans="1:33" ht="18" customHeight="1" x14ac:dyDescent="0.25">
      <c r="A47" s="177"/>
      <c r="B47" s="187">
        <v>3258103</v>
      </c>
      <c r="C47" s="124" t="s">
        <v>63</v>
      </c>
      <c r="D47" s="188"/>
      <c r="E47" s="189" t="s">
        <v>143</v>
      </c>
      <c r="F47" s="570">
        <v>8.34</v>
      </c>
      <c r="G47" s="571">
        <v>8.34</v>
      </c>
      <c r="H47" s="572"/>
      <c r="I47" s="571">
        <v>0</v>
      </c>
      <c r="J47" s="571">
        <v>0</v>
      </c>
      <c r="K47" s="180"/>
      <c r="L47" s="181"/>
      <c r="M47" s="182"/>
      <c r="N47" s="92"/>
      <c r="O47" s="190" t="s">
        <v>143</v>
      </c>
      <c r="P47" s="574">
        <v>3.9293999999999998</v>
      </c>
      <c r="Q47" s="575">
        <v>3.9293999999999998</v>
      </c>
      <c r="R47" s="575"/>
      <c r="S47" s="575">
        <v>0</v>
      </c>
      <c r="T47" s="575">
        <v>0</v>
      </c>
      <c r="U47" s="575"/>
      <c r="V47" s="575"/>
      <c r="W47" s="574"/>
      <c r="X47" s="522"/>
      <c r="Y47" s="519" t="s">
        <v>143</v>
      </c>
      <c r="Z47" s="574">
        <v>2.7305999999999999</v>
      </c>
      <c r="AA47" s="575">
        <v>2.7305999999999999</v>
      </c>
      <c r="AB47" s="575"/>
      <c r="AC47" s="575">
        <v>0</v>
      </c>
      <c r="AD47" s="575">
        <v>0</v>
      </c>
      <c r="AE47" s="184"/>
      <c r="AF47" s="184"/>
      <c r="AG47" s="183"/>
    </row>
    <row r="48" spans="1:33" ht="18" customHeight="1" x14ac:dyDescent="0.25">
      <c r="A48" s="177"/>
      <c r="B48" s="187">
        <v>3258105</v>
      </c>
      <c r="C48" s="124" t="s">
        <v>64</v>
      </c>
      <c r="D48" s="188"/>
      <c r="E48" s="189" t="s">
        <v>143</v>
      </c>
      <c r="F48" s="570">
        <v>3.22</v>
      </c>
      <c r="G48" s="571">
        <v>3.22</v>
      </c>
      <c r="H48" s="572"/>
      <c r="I48" s="571">
        <v>0</v>
      </c>
      <c r="J48" s="571">
        <v>0</v>
      </c>
      <c r="K48" s="180"/>
      <c r="L48" s="181"/>
      <c r="M48" s="182"/>
      <c r="N48" s="92"/>
      <c r="O48" s="190" t="s">
        <v>143</v>
      </c>
      <c r="P48" s="574">
        <v>4.1357999999999997</v>
      </c>
      <c r="Q48" s="575">
        <v>4.1357999999999997</v>
      </c>
      <c r="R48" s="575"/>
      <c r="S48" s="575">
        <v>0</v>
      </c>
      <c r="T48" s="575">
        <v>0</v>
      </c>
      <c r="U48" s="575"/>
      <c r="V48" s="575"/>
      <c r="W48" s="574"/>
      <c r="X48" s="522"/>
      <c r="Y48" s="519" t="s">
        <v>143</v>
      </c>
      <c r="Z48" s="574">
        <v>2.6442000000000001</v>
      </c>
      <c r="AA48" s="575">
        <v>2.6442000000000001</v>
      </c>
      <c r="AB48" s="575"/>
      <c r="AC48" s="575">
        <v>0</v>
      </c>
      <c r="AD48" s="575">
        <v>0</v>
      </c>
      <c r="AE48" s="184"/>
      <c r="AF48" s="184"/>
      <c r="AG48" s="183"/>
    </row>
    <row r="49" spans="1:33" ht="18" customHeight="1" x14ac:dyDescent="0.25">
      <c r="A49" s="177"/>
      <c r="B49" s="125">
        <v>3258107</v>
      </c>
      <c r="C49" s="124" t="s">
        <v>65</v>
      </c>
      <c r="D49" s="124"/>
      <c r="E49" s="124"/>
      <c r="F49" s="570">
        <v>19.98</v>
      </c>
      <c r="G49" s="571">
        <v>19.98</v>
      </c>
      <c r="H49" s="572"/>
      <c r="I49" s="571">
        <v>0</v>
      </c>
      <c r="J49" s="571">
        <v>0</v>
      </c>
      <c r="K49" s="180"/>
      <c r="L49" s="181"/>
      <c r="M49" s="182"/>
      <c r="N49" s="92"/>
      <c r="O49" s="190" t="s">
        <v>143</v>
      </c>
      <c r="P49" s="574">
        <v>2.9618000000000002</v>
      </c>
      <c r="Q49" s="575">
        <v>2.9618000000000002</v>
      </c>
      <c r="R49" s="575"/>
      <c r="S49" s="575">
        <v>0</v>
      </c>
      <c r="T49" s="575">
        <v>0</v>
      </c>
      <c r="U49" s="575"/>
      <c r="V49" s="575"/>
      <c r="W49" s="574"/>
      <c r="X49" s="522"/>
      <c r="Y49" s="519" t="s">
        <v>143</v>
      </c>
      <c r="Z49" s="574">
        <v>2.0581999999999998</v>
      </c>
      <c r="AA49" s="575">
        <v>2.0581999999999998</v>
      </c>
      <c r="AB49" s="575"/>
      <c r="AC49" s="575">
        <v>0</v>
      </c>
      <c r="AD49" s="575">
        <v>0</v>
      </c>
      <c r="AE49" s="184"/>
      <c r="AF49" s="184"/>
      <c r="AG49" s="183"/>
    </row>
    <row r="50" spans="1:33" ht="18" customHeight="1" x14ac:dyDescent="0.25">
      <c r="A50" s="177"/>
      <c r="B50" s="125">
        <v>3258106</v>
      </c>
      <c r="C50" s="124" t="s">
        <v>66</v>
      </c>
      <c r="D50" s="124"/>
      <c r="E50" s="124"/>
      <c r="F50" s="570">
        <v>19.48</v>
      </c>
      <c r="G50" s="571">
        <v>19.48</v>
      </c>
      <c r="H50" s="572"/>
      <c r="I50" s="571">
        <v>0</v>
      </c>
      <c r="J50" s="571">
        <v>0</v>
      </c>
      <c r="K50" s="180"/>
      <c r="L50" s="181"/>
      <c r="M50" s="182"/>
      <c r="N50" s="92"/>
      <c r="O50" s="190" t="s">
        <v>143</v>
      </c>
      <c r="P50" s="574">
        <v>11.9016</v>
      </c>
      <c r="Q50" s="575">
        <v>11.9016</v>
      </c>
      <c r="R50" s="575"/>
      <c r="S50" s="575">
        <v>0</v>
      </c>
      <c r="T50" s="575">
        <v>0</v>
      </c>
      <c r="U50" s="575"/>
      <c r="V50" s="575"/>
      <c r="W50" s="574"/>
      <c r="X50" s="522"/>
      <c r="Y50" s="519" t="s">
        <v>143</v>
      </c>
      <c r="Z50" s="574">
        <v>8.6183999999999994</v>
      </c>
      <c r="AA50" s="575">
        <v>8.6183999999999994</v>
      </c>
      <c r="AB50" s="575"/>
      <c r="AC50" s="575">
        <v>0</v>
      </c>
      <c r="AD50" s="575">
        <v>0</v>
      </c>
      <c r="AE50" s="184"/>
      <c r="AF50" s="184"/>
      <c r="AG50" s="183"/>
    </row>
    <row r="51" spans="1:33" ht="18" customHeight="1" x14ac:dyDescent="0.25">
      <c r="A51" s="177"/>
      <c r="B51" s="187">
        <v>3258105</v>
      </c>
      <c r="C51" s="124" t="s">
        <v>67</v>
      </c>
      <c r="D51" s="188"/>
      <c r="E51" s="189" t="s">
        <v>143</v>
      </c>
      <c r="F51" s="570">
        <v>3.39</v>
      </c>
      <c r="G51" s="571">
        <v>3.39</v>
      </c>
      <c r="H51" s="572"/>
      <c r="I51" s="571">
        <v>0</v>
      </c>
      <c r="J51" s="571">
        <v>0</v>
      </c>
      <c r="K51" s="180"/>
      <c r="L51" s="181"/>
      <c r="M51" s="182"/>
      <c r="N51" s="92"/>
      <c r="O51" s="190" t="s">
        <v>143</v>
      </c>
      <c r="P51" s="574">
        <v>9.1355000000000004</v>
      </c>
      <c r="Q51" s="575">
        <v>9.1355000000000004</v>
      </c>
      <c r="R51" s="575"/>
      <c r="S51" s="575">
        <v>0</v>
      </c>
      <c r="T51" s="575">
        <v>0</v>
      </c>
      <c r="U51" s="575"/>
      <c r="V51" s="575"/>
      <c r="W51" s="574"/>
      <c r="X51" s="522"/>
      <c r="Y51" s="519" t="s">
        <v>143</v>
      </c>
      <c r="Z51" s="574">
        <v>7.4744999999999999</v>
      </c>
      <c r="AA51" s="575">
        <v>7.4744999999999999</v>
      </c>
      <c r="AB51" s="575"/>
      <c r="AC51" s="575">
        <v>0</v>
      </c>
      <c r="AD51" s="575">
        <v>0</v>
      </c>
      <c r="AE51" s="184"/>
      <c r="AF51" s="184"/>
      <c r="AG51" s="183"/>
    </row>
    <row r="52" spans="1:33" ht="18" customHeight="1" x14ac:dyDescent="0.25">
      <c r="A52" s="177"/>
      <c r="B52" s="192"/>
      <c r="C52" s="131" t="s">
        <v>103</v>
      </c>
      <c r="D52" s="129"/>
      <c r="E52" s="129"/>
      <c r="F52" s="573"/>
      <c r="G52" s="573"/>
      <c r="H52" s="573"/>
      <c r="I52" s="573"/>
      <c r="J52" s="573"/>
      <c r="K52" s="129"/>
      <c r="L52" s="129"/>
      <c r="M52" s="129"/>
      <c r="N52" s="57"/>
      <c r="O52" s="191"/>
      <c r="P52" s="574"/>
      <c r="Q52" s="575"/>
      <c r="R52" s="575"/>
      <c r="S52" s="575"/>
      <c r="T52" s="575"/>
      <c r="V52" s="575"/>
      <c r="W52" s="574"/>
      <c r="X52" s="763"/>
      <c r="Y52" s="766"/>
      <c r="Z52" s="574"/>
      <c r="AA52" s="575"/>
      <c r="AB52" s="575"/>
      <c r="AC52" s="575"/>
      <c r="AD52" s="575"/>
      <c r="AE52" s="184"/>
      <c r="AF52" s="184"/>
      <c r="AG52" s="183"/>
    </row>
    <row r="53" spans="1:33" ht="18.75" customHeight="1" x14ac:dyDescent="0.25">
      <c r="A53" s="177"/>
      <c r="B53" s="200">
        <v>3258114</v>
      </c>
      <c r="C53" s="72" t="s">
        <v>68</v>
      </c>
      <c r="D53" s="72" t="s">
        <v>146</v>
      </c>
      <c r="E53" s="189" t="s">
        <v>143</v>
      </c>
      <c r="F53" s="570">
        <v>128.19999999999999</v>
      </c>
      <c r="G53" s="571">
        <v>14.98</v>
      </c>
      <c r="H53" s="572"/>
      <c r="I53" s="571">
        <v>113.22</v>
      </c>
      <c r="J53" s="571">
        <v>0</v>
      </c>
      <c r="K53" s="180"/>
      <c r="L53" s="181"/>
      <c r="M53" s="182"/>
      <c r="N53" s="71" t="s">
        <v>146</v>
      </c>
      <c r="O53" s="190" t="s">
        <v>143</v>
      </c>
      <c r="P53" s="574">
        <v>173.90520000000001</v>
      </c>
      <c r="Q53" s="575">
        <v>26.224904160000001</v>
      </c>
      <c r="R53" s="575"/>
      <c r="S53" s="575">
        <v>147.68029584000001</v>
      </c>
      <c r="T53" s="575">
        <v>0</v>
      </c>
      <c r="U53" s="575"/>
      <c r="V53" s="575"/>
      <c r="W53" s="574"/>
      <c r="X53" s="496" t="s">
        <v>146</v>
      </c>
      <c r="Y53" s="519" t="s">
        <v>143</v>
      </c>
      <c r="Z53" s="574">
        <v>102.1348</v>
      </c>
      <c r="AA53" s="575">
        <v>15.401927840000001</v>
      </c>
      <c r="AB53" s="575"/>
      <c r="AC53" s="575">
        <v>86.732872159999999</v>
      </c>
      <c r="AD53" s="575">
        <v>0</v>
      </c>
      <c r="AE53" s="184"/>
      <c r="AF53" s="184"/>
      <c r="AG53" s="183"/>
    </row>
    <row r="54" spans="1:33" ht="18" customHeight="1" x14ac:dyDescent="0.25">
      <c r="A54" s="177"/>
      <c r="B54" s="187">
        <v>3258128</v>
      </c>
      <c r="C54" s="124" t="s">
        <v>69</v>
      </c>
      <c r="D54" s="72" t="s">
        <v>146</v>
      </c>
      <c r="E54" s="189" t="s">
        <v>143</v>
      </c>
      <c r="F54" s="570">
        <v>2.77</v>
      </c>
      <c r="G54" s="571">
        <v>2.77</v>
      </c>
      <c r="H54" s="572"/>
      <c r="I54" s="571">
        <v>0</v>
      </c>
      <c r="J54" s="571">
        <v>0</v>
      </c>
      <c r="K54" s="180"/>
      <c r="L54" s="181"/>
      <c r="M54" s="182"/>
      <c r="N54" s="71" t="s">
        <v>146</v>
      </c>
      <c r="O54" s="190" t="s">
        <v>143</v>
      </c>
      <c r="P54" s="574">
        <v>1.3603000000000001</v>
      </c>
      <c r="Q54" s="575">
        <v>1.3603000000000001</v>
      </c>
      <c r="R54" s="575"/>
      <c r="S54" s="575">
        <v>0</v>
      </c>
      <c r="T54" s="575">
        <v>0</v>
      </c>
      <c r="U54" s="575"/>
      <c r="V54" s="575"/>
      <c r="W54" s="574"/>
      <c r="X54" s="496" t="s">
        <v>146</v>
      </c>
      <c r="Y54" s="519" t="s">
        <v>143</v>
      </c>
      <c r="Z54" s="574">
        <v>0.86970000000000025</v>
      </c>
      <c r="AA54" s="575">
        <v>0.86970000000000025</v>
      </c>
      <c r="AB54" s="575"/>
      <c r="AC54" s="575">
        <v>0</v>
      </c>
      <c r="AD54" s="575">
        <v>0</v>
      </c>
      <c r="AE54" s="184"/>
      <c r="AF54" s="184"/>
      <c r="AG54" s="183"/>
    </row>
    <row r="55" spans="1:33" ht="18" customHeight="1" x14ac:dyDescent="0.25">
      <c r="A55" s="177"/>
      <c r="B55" s="125">
        <v>3258107</v>
      </c>
      <c r="C55" s="208" t="s">
        <v>70</v>
      </c>
      <c r="D55" s="124"/>
      <c r="E55" s="124"/>
      <c r="F55" s="471">
        <v>8.9700000000000006</v>
      </c>
      <c r="G55" s="471">
        <v>8.9700000000000006</v>
      </c>
      <c r="H55" s="471"/>
      <c r="I55" s="471">
        <v>0</v>
      </c>
      <c r="J55" s="471">
        <v>0</v>
      </c>
      <c r="K55" s="124"/>
      <c r="L55" s="124"/>
      <c r="M55" s="124"/>
      <c r="N55" s="71"/>
      <c r="O55" s="190" t="s">
        <v>143</v>
      </c>
      <c r="P55" s="574">
        <v>17.376799999999999</v>
      </c>
      <c r="Q55" s="575">
        <v>17.376799999999999</v>
      </c>
      <c r="R55" s="575"/>
      <c r="S55" s="575">
        <v>0</v>
      </c>
      <c r="T55" s="575">
        <v>0</v>
      </c>
      <c r="U55" s="575"/>
      <c r="V55" s="575"/>
      <c r="W55" s="574"/>
      <c r="X55" s="496"/>
      <c r="Y55" s="519" t="s">
        <v>143</v>
      </c>
      <c r="Z55" s="574">
        <v>13.6532</v>
      </c>
      <c r="AA55" s="575">
        <v>13.6532</v>
      </c>
      <c r="AB55" s="575"/>
      <c r="AC55" s="575">
        <v>0</v>
      </c>
      <c r="AD55" s="575">
        <v>0</v>
      </c>
      <c r="AE55" s="184"/>
      <c r="AF55" s="184"/>
      <c r="AG55" s="183"/>
    </row>
    <row r="56" spans="1:33" ht="15" customHeight="1" x14ac:dyDescent="0.25">
      <c r="A56" s="209" t="s">
        <v>147</v>
      </c>
      <c r="B56" s="85"/>
      <c r="C56" s="188"/>
      <c r="D56" s="188"/>
      <c r="E56" s="188"/>
      <c r="F56" s="571">
        <f>SUM(F11:F55)</f>
        <v>12256.360999999999</v>
      </c>
      <c r="G56" s="571">
        <f>SUM(G11:G55)</f>
        <v>4008.1460000000006</v>
      </c>
      <c r="H56" s="571"/>
      <c r="I56" s="571">
        <f>SUM(I11:I55)</f>
        <v>2600.21</v>
      </c>
      <c r="J56" s="571">
        <f>SUM(J11:J55)</f>
        <v>5648.0050000000001</v>
      </c>
      <c r="K56" s="180"/>
      <c r="L56" s="181"/>
      <c r="M56" s="182"/>
      <c r="N56" s="92"/>
      <c r="O56" s="210"/>
      <c r="P56" s="571">
        <f>SUM(P11:P55)</f>
        <v>4162.978540000001</v>
      </c>
      <c r="Q56" s="571">
        <f>SUM(Q11:Q55)</f>
        <v>1601.8613933999998</v>
      </c>
      <c r="R56" s="575"/>
      <c r="S56" s="571">
        <f>SUM(S11:S55)</f>
        <v>1186.5461966</v>
      </c>
      <c r="T56" s="571">
        <f>SUM(T11:T55)</f>
        <v>1374.57095</v>
      </c>
      <c r="V56" s="575"/>
      <c r="W56" s="575"/>
      <c r="X56" s="522"/>
      <c r="Y56" s="771"/>
      <c r="Z56" s="575">
        <f>SUM(Z11:Z55)</f>
        <v>2681.5944599999993</v>
      </c>
      <c r="AA56" s="575">
        <f>SUM(AA11:AA55)</f>
        <v>1129.4514526000003</v>
      </c>
      <c r="AB56" s="575"/>
      <c r="AC56" s="575">
        <f>SUM(AC11:AC55)</f>
        <v>673.31895740000004</v>
      </c>
      <c r="AD56" s="575">
        <f>SUM(AD11:AD55)</f>
        <v>878.82404999999983</v>
      </c>
      <c r="AE56" s="184"/>
      <c r="AF56" s="184"/>
      <c r="AG56" s="184"/>
    </row>
    <row r="57" spans="1:33" s="84" customFormat="1" ht="14.25" customHeight="1" x14ac:dyDescent="0.25">
      <c r="A57" s="860" t="s">
        <v>73</v>
      </c>
      <c r="B57" s="808"/>
      <c r="C57" s="820"/>
      <c r="D57" s="211"/>
      <c r="E57" s="211"/>
      <c r="F57" s="570"/>
      <c r="G57" s="484"/>
      <c r="H57" s="484"/>
      <c r="I57" s="484"/>
      <c r="J57" s="484"/>
      <c r="M57" s="85"/>
      <c r="N57" s="212"/>
      <c r="O57" s="213"/>
      <c r="P57" s="574"/>
      <c r="Q57" s="772"/>
      <c r="R57" s="529"/>
      <c r="S57" s="529"/>
      <c r="T57" s="529"/>
      <c r="U57" s="484"/>
      <c r="V57" s="529"/>
      <c r="W57" s="574"/>
      <c r="X57" s="773"/>
      <c r="Y57" s="774"/>
      <c r="Z57" s="574"/>
      <c r="AA57" s="529"/>
      <c r="AB57" s="529"/>
      <c r="AC57" s="529"/>
      <c r="AD57" s="529"/>
      <c r="AE57" s="746"/>
      <c r="AF57" s="746"/>
      <c r="AG57" s="183"/>
    </row>
    <row r="58" spans="1:33" s="84" customFormat="1" ht="15" customHeight="1" x14ac:dyDescent="0.25">
      <c r="A58" s="214"/>
      <c r="B58" s="178"/>
      <c r="C58" s="179" t="s">
        <v>74</v>
      </c>
      <c r="D58" s="179"/>
      <c r="E58" s="179"/>
      <c r="F58" s="570"/>
      <c r="G58" s="571"/>
      <c r="H58" s="571"/>
      <c r="I58" s="571"/>
      <c r="J58" s="571"/>
      <c r="K58" s="180"/>
      <c r="L58" s="181"/>
      <c r="M58" s="85"/>
      <c r="N58" s="57"/>
      <c r="O58" s="191"/>
      <c r="P58" s="574"/>
      <c r="Q58" s="575"/>
      <c r="R58" s="575"/>
      <c r="S58" s="575"/>
      <c r="T58" s="575"/>
      <c r="U58" s="484"/>
      <c r="V58" s="575"/>
      <c r="W58" s="574"/>
      <c r="X58" s="763"/>
      <c r="Y58" s="766"/>
      <c r="Z58" s="574"/>
      <c r="AA58" s="765"/>
      <c r="AB58" s="575"/>
      <c r="AC58" s="575"/>
      <c r="AD58" s="575"/>
      <c r="AE58" s="184"/>
      <c r="AF58" s="184"/>
      <c r="AG58" s="183"/>
    </row>
    <row r="59" spans="1:33" s="84" customFormat="1" ht="19.5" customHeight="1" x14ac:dyDescent="0.25">
      <c r="A59" s="215"/>
      <c r="B59" s="195"/>
      <c r="C59" s="839" t="s">
        <v>75</v>
      </c>
      <c r="D59" s="808"/>
      <c r="E59" s="808"/>
      <c r="F59" s="808"/>
      <c r="G59" s="808"/>
      <c r="H59" s="808"/>
      <c r="I59" s="808"/>
      <c r="J59" s="808"/>
      <c r="K59" s="808"/>
      <c r="L59" s="808"/>
      <c r="M59" s="808"/>
      <c r="N59" s="808"/>
      <c r="O59" s="808"/>
      <c r="P59" s="808"/>
      <c r="Q59" s="820"/>
      <c r="R59" s="575"/>
      <c r="S59" s="575"/>
      <c r="T59" s="575"/>
      <c r="U59" s="484"/>
      <c r="V59" s="575"/>
      <c r="W59" s="574"/>
      <c r="X59" s="775"/>
      <c r="Y59" s="766"/>
      <c r="Z59" s="574"/>
      <c r="AA59" s="765"/>
      <c r="AB59" s="575"/>
      <c r="AC59" s="575"/>
      <c r="AD59" s="575"/>
      <c r="AE59" s="184"/>
      <c r="AF59" s="184"/>
      <c r="AG59" s="183"/>
    </row>
    <row r="60" spans="1:33" s="84" customFormat="1" ht="60" customHeight="1" x14ac:dyDescent="0.25">
      <c r="A60" s="177"/>
      <c r="B60" s="187">
        <v>4112101</v>
      </c>
      <c r="C60" s="217" t="s">
        <v>76</v>
      </c>
      <c r="D60" s="218" t="s">
        <v>146</v>
      </c>
      <c r="E60" s="219" t="s">
        <v>148</v>
      </c>
      <c r="F60" s="574">
        <v>606.9</v>
      </c>
      <c r="G60" s="575">
        <v>606.9</v>
      </c>
      <c r="H60" s="572"/>
      <c r="I60" s="575">
        <v>0</v>
      </c>
      <c r="J60" s="575">
        <v>0</v>
      </c>
      <c r="K60" s="184"/>
      <c r="L60" s="220"/>
      <c r="M60" s="90"/>
      <c r="N60" s="218" t="s">
        <v>146</v>
      </c>
      <c r="O60" s="219" t="s">
        <v>149</v>
      </c>
      <c r="P60" s="574">
        <v>95.600000000000023</v>
      </c>
      <c r="Q60" s="575">
        <v>95.600000000000023</v>
      </c>
      <c r="R60" s="575"/>
      <c r="S60" s="575">
        <v>0</v>
      </c>
      <c r="T60" s="575">
        <v>0</v>
      </c>
      <c r="U60" s="575"/>
      <c r="V60" s="575"/>
      <c r="W60" s="574"/>
      <c r="X60" s="496"/>
      <c r="Y60" s="776"/>
      <c r="Z60" s="574">
        <v>0</v>
      </c>
      <c r="AA60" s="765">
        <v>0</v>
      </c>
      <c r="AB60" s="575"/>
      <c r="AC60" s="575">
        <v>0</v>
      </c>
      <c r="AD60" s="575">
        <v>0</v>
      </c>
      <c r="AE60" s="184"/>
      <c r="AF60" s="184"/>
      <c r="AG60" s="183"/>
    </row>
    <row r="61" spans="1:33" s="84" customFormat="1" ht="30.75" customHeight="1" x14ac:dyDescent="0.25">
      <c r="A61" s="215"/>
      <c r="B61" s="187">
        <v>4112101</v>
      </c>
      <c r="C61" s="222" t="s">
        <v>78</v>
      </c>
      <c r="D61" s="71" t="s">
        <v>146</v>
      </c>
      <c r="E61" s="222" t="s">
        <v>150</v>
      </c>
      <c r="F61" s="570">
        <v>50.22</v>
      </c>
      <c r="G61" s="571">
        <v>50.22</v>
      </c>
      <c r="H61" s="572"/>
      <c r="I61" s="571">
        <v>0</v>
      </c>
      <c r="J61" s="571">
        <v>0</v>
      </c>
      <c r="K61" s="180"/>
      <c r="L61" s="181"/>
      <c r="M61" s="85"/>
      <c r="N61" s="71" t="s">
        <v>146</v>
      </c>
      <c r="O61" s="221" t="s">
        <v>151</v>
      </c>
      <c r="P61" s="574">
        <v>18.03</v>
      </c>
      <c r="Q61" s="575">
        <v>18.03</v>
      </c>
      <c r="R61" s="575"/>
      <c r="S61" s="575">
        <v>0</v>
      </c>
      <c r="T61" s="575">
        <v>0</v>
      </c>
      <c r="U61" s="575"/>
      <c r="V61" s="575"/>
      <c r="W61" s="574"/>
      <c r="X61" s="496"/>
      <c r="Y61" s="776"/>
      <c r="Z61" s="574">
        <v>0</v>
      </c>
      <c r="AA61" s="575">
        <v>0</v>
      </c>
      <c r="AB61" s="575"/>
      <c r="AC61" s="575">
        <v>0</v>
      </c>
      <c r="AD61" s="575">
        <v>0</v>
      </c>
      <c r="AE61" s="184"/>
      <c r="AF61" s="184"/>
      <c r="AG61" s="183"/>
    </row>
    <row r="62" spans="1:33" s="84" customFormat="1" ht="18" customHeight="1" x14ac:dyDescent="0.25">
      <c r="A62" s="177"/>
      <c r="B62" s="195"/>
      <c r="C62" s="839" t="s">
        <v>79</v>
      </c>
      <c r="D62" s="808"/>
      <c r="E62" s="808"/>
      <c r="F62" s="808"/>
      <c r="G62" s="808"/>
      <c r="H62" s="808"/>
      <c r="I62" s="808"/>
      <c r="J62" s="808"/>
      <c r="K62" s="808"/>
      <c r="L62" s="808"/>
      <c r="M62" s="808"/>
      <c r="N62" s="808"/>
      <c r="O62" s="808"/>
      <c r="P62" s="808"/>
      <c r="Q62" s="820"/>
      <c r="R62" s="575"/>
      <c r="S62" s="575"/>
      <c r="T62" s="575"/>
      <c r="U62" s="484"/>
      <c r="V62" s="575"/>
      <c r="W62" s="574"/>
      <c r="X62" s="777"/>
      <c r="Y62" s="778"/>
      <c r="Z62" s="574"/>
      <c r="AA62" s="765"/>
      <c r="AB62" s="575"/>
      <c r="AC62" s="575"/>
      <c r="AD62" s="575"/>
      <c r="AE62" s="184"/>
      <c r="AF62" s="184"/>
      <c r="AG62" s="183"/>
    </row>
    <row r="63" spans="1:33" s="84" customFormat="1" ht="18" customHeight="1" x14ac:dyDescent="0.25">
      <c r="A63" s="177"/>
      <c r="B63" s="187">
        <v>4112102</v>
      </c>
      <c r="C63" s="225" t="s">
        <v>80</v>
      </c>
      <c r="D63" s="71" t="s">
        <v>146</v>
      </c>
      <c r="E63" s="221" t="s">
        <v>152</v>
      </c>
      <c r="F63" s="570">
        <v>61.29</v>
      </c>
      <c r="G63" s="571">
        <v>61.29</v>
      </c>
      <c r="H63" s="572"/>
      <c r="I63" s="571">
        <v>0</v>
      </c>
      <c r="J63" s="571">
        <v>0</v>
      </c>
      <c r="K63" s="180"/>
      <c r="L63" s="181"/>
      <c r="M63" s="85"/>
      <c r="N63" s="71" t="s">
        <v>146</v>
      </c>
      <c r="O63" s="221" t="s">
        <v>149</v>
      </c>
      <c r="P63" s="574">
        <v>28.71</v>
      </c>
      <c r="Q63" s="575">
        <v>28.71</v>
      </c>
      <c r="R63" s="575"/>
      <c r="S63" s="575">
        <v>0</v>
      </c>
      <c r="T63" s="575">
        <v>0</v>
      </c>
      <c r="U63" s="575"/>
      <c r="V63" s="575"/>
      <c r="W63" s="574"/>
      <c r="X63" s="496"/>
      <c r="Y63" s="776"/>
      <c r="Z63" s="574">
        <v>0</v>
      </c>
      <c r="AA63" s="575">
        <v>0</v>
      </c>
      <c r="AB63" s="575"/>
      <c r="AC63" s="575">
        <v>0</v>
      </c>
      <c r="AD63" s="575">
        <v>0</v>
      </c>
      <c r="AE63" s="184"/>
      <c r="AF63" s="184"/>
      <c r="AG63" s="183"/>
    </row>
    <row r="64" spans="1:33" s="84" customFormat="1" ht="18" customHeight="1" x14ac:dyDescent="0.25">
      <c r="A64" s="177"/>
      <c r="B64" s="83"/>
      <c r="C64" s="839" t="s">
        <v>153</v>
      </c>
      <c r="D64" s="808"/>
      <c r="E64" s="808"/>
      <c r="F64" s="808"/>
      <c r="G64" s="808"/>
      <c r="H64" s="808"/>
      <c r="I64" s="808"/>
      <c r="J64" s="808"/>
      <c r="K64" s="808"/>
      <c r="L64" s="808"/>
      <c r="M64" s="808"/>
      <c r="N64" s="808"/>
      <c r="O64" s="808"/>
      <c r="P64" s="808"/>
      <c r="Q64" s="820"/>
      <c r="R64" s="575"/>
      <c r="S64" s="575"/>
      <c r="T64" s="575"/>
      <c r="U64" s="484"/>
      <c r="V64" s="575"/>
      <c r="W64" s="574"/>
      <c r="X64" s="777"/>
      <c r="Y64" s="778"/>
      <c r="Z64" s="574"/>
      <c r="AA64" s="765"/>
      <c r="AB64" s="575"/>
      <c r="AC64" s="575"/>
      <c r="AD64" s="575"/>
      <c r="AE64" s="184"/>
      <c r="AF64" s="184"/>
      <c r="AG64" s="183"/>
    </row>
    <row r="65" spans="1:33" s="84" customFormat="1" ht="33.75" customHeight="1" x14ac:dyDescent="0.25">
      <c r="A65" s="177"/>
      <c r="B65" s="187">
        <v>4112316</v>
      </c>
      <c r="C65" s="222" t="s">
        <v>81</v>
      </c>
      <c r="D65" s="71" t="s">
        <v>146</v>
      </c>
      <c r="E65" s="222" t="s">
        <v>148</v>
      </c>
      <c r="F65" s="570">
        <v>8.9700000000000006</v>
      </c>
      <c r="G65" s="571">
        <v>8.9700000000000006</v>
      </c>
      <c r="H65" s="572"/>
      <c r="I65" s="571">
        <v>0</v>
      </c>
      <c r="J65" s="571">
        <v>0</v>
      </c>
      <c r="K65" s="180"/>
      <c r="L65" s="181"/>
      <c r="M65" s="85"/>
      <c r="N65" s="71" t="s">
        <v>146</v>
      </c>
      <c r="O65" s="221"/>
      <c r="P65" s="574">
        <v>0</v>
      </c>
      <c r="Q65" s="575">
        <v>0</v>
      </c>
      <c r="R65" s="575"/>
      <c r="S65" s="575">
        <v>0</v>
      </c>
      <c r="T65" s="575">
        <v>0</v>
      </c>
      <c r="U65" s="575"/>
      <c r="V65" s="575"/>
      <c r="W65" s="574"/>
      <c r="X65" s="496"/>
      <c r="Y65" s="776"/>
      <c r="Z65" s="574">
        <v>0</v>
      </c>
      <c r="AA65" s="575">
        <v>0</v>
      </c>
      <c r="AB65" s="575"/>
      <c r="AC65" s="575">
        <v>0</v>
      </c>
      <c r="AD65" s="575">
        <v>0</v>
      </c>
      <c r="AE65" s="184"/>
      <c r="AF65" s="184"/>
      <c r="AG65" s="183"/>
    </row>
    <row r="66" spans="1:33" s="84" customFormat="1" ht="18" customHeight="1" x14ac:dyDescent="0.25">
      <c r="A66" s="177"/>
      <c r="B66" s="187">
        <v>4112316</v>
      </c>
      <c r="C66" s="222" t="s">
        <v>82</v>
      </c>
      <c r="D66" s="71" t="s">
        <v>146</v>
      </c>
      <c r="E66" s="222" t="s">
        <v>154</v>
      </c>
      <c r="F66" s="570">
        <v>0.79</v>
      </c>
      <c r="G66" s="571">
        <v>0.79</v>
      </c>
      <c r="H66" s="572"/>
      <c r="I66" s="571">
        <v>0</v>
      </c>
      <c r="J66" s="571">
        <v>0</v>
      </c>
      <c r="K66" s="180"/>
      <c r="L66" s="181"/>
      <c r="M66" s="85"/>
      <c r="N66" s="71" t="s">
        <v>146</v>
      </c>
      <c r="O66" s="221" t="s">
        <v>151</v>
      </c>
      <c r="P66" s="574">
        <v>0.21</v>
      </c>
      <c r="Q66" s="575">
        <v>0.21</v>
      </c>
      <c r="R66" s="575"/>
      <c r="S66" s="575">
        <v>0</v>
      </c>
      <c r="T66" s="575">
        <v>0</v>
      </c>
      <c r="U66" s="575"/>
      <c r="V66" s="575"/>
      <c r="W66" s="574"/>
      <c r="X66" s="496"/>
      <c r="Y66" s="776"/>
      <c r="Z66" s="574">
        <v>0</v>
      </c>
      <c r="AA66" s="575">
        <v>0</v>
      </c>
      <c r="AB66" s="575"/>
      <c r="AC66" s="575">
        <v>0</v>
      </c>
      <c r="AD66" s="575">
        <v>0</v>
      </c>
      <c r="AE66" s="184"/>
      <c r="AF66" s="184"/>
      <c r="AG66" s="183"/>
    </row>
    <row r="67" spans="1:33" s="84" customFormat="1" ht="17.25" customHeight="1" x14ac:dyDescent="0.25">
      <c r="A67" s="177"/>
      <c r="B67" s="83"/>
      <c r="C67" s="861" t="s">
        <v>67</v>
      </c>
      <c r="D67" s="808"/>
      <c r="E67" s="808"/>
      <c r="F67" s="808"/>
      <c r="G67" s="808"/>
      <c r="H67" s="808"/>
      <c r="I67" s="808"/>
      <c r="J67" s="808"/>
      <c r="K67" s="808"/>
      <c r="L67" s="808"/>
      <c r="M67" s="808"/>
      <c r="N67" s="808"/>
      <c r="O67" s="808"/>
      <c r="P67" s="808"/>
      <c r="Q67" s="820"/>
      <c r="R67" s="575"/>
      <c r="S67" s="575"/>
      <c r="T67" s="575"/>
      <c r="U67" s="484"/>
      <c r="V67" s="575"/>
      <c r="W67" s="574"/>
      <c r="X67" s="775"/>
      <c r="Y67" s="779"/>
      <c r="Z67" s="574"/>
      <c r="AA67" s="765"/>
      <c r="AB67" s="575"/>
      <c r="AC67" s="575"/>
      <c r="AD67" s="575"/>
      <c r="AE67" s="184"/>
      <c r="AF67" s="184"/>
      <c r="AG67" s="183"/>
    </row>
    <row r="68" spans="1:33" s="84" customFormat="1" ht="35.25" customHeight="1" x14ac:dyDescent="0.25">
      <c r="A68" s="177"/>
      <c r="B68" s="187">
        <v>4112304</v>
      </c>
      <c r="C68" s="124" t="s">
        <v>83</v>
      </c>
      <c r="D68" s="71" t="s">
        <v>146</v>
      </c>
      <c r="E68" s="222" t="s">
        <v>155</v>
      </c>
      <c r="F68" s="570">
        <v>20.5</v>
      </c>
      <c r="G68" s="571">
        <v>20.5</v>
      </c>
      <c r="H68" s="572"/>
      <c r="I68" s="571">
        <v>0</v>
      </c>
      <c r="J68" s="571">
        <v>0</v>
      </c>
      <c r="K68" s="180"/>
      <c r="L68" s="181"/>
      <c r="M68" s="85"/>
      <c r="N68" s="71" t="s">
        <v>146</v>
      </c>
      <c r="O68" s="221" t="s">
        <v>156</v>
      </c>
      <c r="P68" s="574">
        <v>0</v>
      </c>
      <c r="Q68" s="575">
        <v>0</v>
      </c>
      <c r="R68" s="575"/>
      <c r="S68" s="575">
        <v>0</v>
      </c>
      <c r="T68" s="575">
        <v>0</v>
      </c>
      <c r="U68" s="529"/>
      <c r="V68" s="575"/>
      <c r="W68" s="574"/>
      <c r="X68" s="496"/>
      <c r="Y68" s="776"/>
      <c r="Z68" s="574">
        <v>0</v>
      </c>
      <c r="AA68" s="575">
        <v>0</v>
      </c>
      <c r="AB68" s="575"/>
      <c r="AC68" s="575">
        <v>0</v>
      </c>
      <c r="AD68" s="575">
        <v>0</v>
      </c>
      <c r="AE68" s="184"/>
      <c r="AF68" s="184"/>
      <c r="AG68" s="183"/>
    </row>
    <row r="69" spans="1:33" s="84" customFormat="1" ht="29.25" customHeight="1" x14ac:dyDescent="0.25">
      <c r="A69" s="177"/>
      <c r="B69" s="187">
        <v>4112304</v>
      </c>
      <c r="C69" s="222" t="s">
        <v>84</v>
      </c>
      <c r="D69" s="222"/>
      <c r="E69" s="222"/>
      <c r="F69" s="570">
        <v>3</v>
      </c>
      <c r="G69" s="571">
        <v>3</v>
      </c>
      <c r="H69" s="572"/>
      <c r="I69" s="571">
        <v>0</v>
      </c>
      <c r="J69" s="571">
        <v>0</v>
      </c>
      <c r="K69" s="180"/>
      <c r="L69" s="181"/>
      <c r="M69" s="85"/>
      <c r="N69" s="71" t="s">
        <v>146</v>
      </c>
      <c r="O69" s="221" t="s">
        <v>156</v>
      </c>
      <c r="P69" s="574">
        <v>0</v>
      </c>
      <c r="Q69" s="575">
        <v>0</v>
      </c>
      <c r="R69" s="575"/>
      <c r="S69" s="575">
        <v>0</v>
      </c>
      <c r="T69" s="575">
        <v>0</v>
      </c>
      <c r="U69" s="575"/>
      <c r="V69" s="575"/>
      <c r="W69" s="574"/>
      <c r="X69" s="496"/>
      <c r="Y69" s="776"/>
      <c r="Z69" s="574">
        <v>0</v>
      </c>
      <c r="AA69" s="575">
        <v>0</v>
      </c>
      <c r="AB69" s="575"/>
      <c r="AC69" s="575">
        <v>0</v>
      </c>
      <c r="AD69" s="575">
        <v>0</v>
      </c>
      <c r="AE69" s="184"/>
      <c r="AF69" s="184"/>
      <c r="AG69" s="183"/>
    </row>
    <row r="70" spans="1:33" s="84" customFormat="1" ht="16.5" customHeight="1" x14ac:dyDescent="0.25">
      <c r="A70" s="177"/>
      <c r="B70" s="187">
        <v>4112304</v>
      </c>
      <c r="C70" s="94" t="s">
        <v>85</v>
      </c>
      <c r="D70" s="222"/>
      <c r="E70" s="222"/>
      <c r="F70" s="570">
        <v>14.49</v>
      </c>
      <c r="G70" s="571">
        <v>14.49</v>
      </c>
      <c r="H70" s="572">
        <f>ROW(C70)</f>
        <v>70</v>
      </c>
      <c r="I70" s="571">
        <v>0</v>
      </c>
      <c r="J70" s="571">
        <v>0</v>
      </c>
      <c r="K70" s="180"/>
      <c r="L70" s="181"/>
      <c r="M70" s="85"/>
      <c r="N70" s="71"/>
      <c r="O70" s="221"/>
      <c r="P70" s="574">
        <v>35.51</v>
      </c>
      <c r="Q70" s="575">
        <v>35.51</v>
      </c>
      <c r="R70" s="575"/>
      <c r="S70" s="575">
        <v>0</v>
      </c>
      <c r="T70" s="575">
        <v>0</v>
      </c>
      <c r="U70" s="575"/>
      <c r="V70" s="575"/>
      <c r="W70" s="574"/>
      <c r="X70" s="496"/>
      <c r="Y70" s="776"/>
      <c r="Z70" s="574">
        <v>0</v>
      </c>
      <c r="AA70" s="575">
        <v>0</v>
      </c>
      <c r="AB70" s="575"/>
      <c r="AC70" s="575">
        <v>0</v>
      </c>
      <c r="AD70" s="575">
        <v>0</v>
      </c>
      <c r="AE70" s="184"/>
      <c r="AF70" s="184"/>
      <c r="AG70" s="183"/>
    </row>
    <row r="71" spans="1:33" s="84" customFormat="1" ht="19.5" customHeight="1" x14ac:dyDescent="0.25">
      <c r="A71" s="177"/>
      <c r="B71" s="83"/>
      <c r="C71" s="839" t="s">
        <v>87</v>
      </c>
      <c r="D71" s="808"/>
      <c r="E71" s="808"/>
      <c r="F71" s="808"/>
      <c r="G71" s="808"/>
      <c r="H71" s="808"/>
      <c r="I71" s="808"/>
      <c r="J71" s="808"/>
      <c r="K71" s="808"/>
      <c r="L71" s="808"/>
      <c r="M71" s="808"/>
      <c r="N71" s="808"/>
      <c r="O71" s="808"/>
      <c r="P71" s="808"/>
      <c r="Q71" s="820"/>
      <c r="R71" s="575"/>
      <c r="S71" s="575"/>
      <c r="T71" s="575"/>
      <c r="U71" s="484"/>
      <c r="V71" s="575"/>
      <c r="W71" s="574"/>
      <c r="X71" s="775"/>
      <c r="Y71" s="779"/>
      <c r="Z71" s="574"/>
      <c r="AA71" s="765"/>
      <c r="AB71" s="575"/>
      <c r="AC71" s="575"/>
      <c r="AD71" s="575"/>
      <c r="AE71" s="184"/>
      <c r="AF71" s="184"/>
      <c r="AG71" s="183"/>
    </row>
    <row r="72" spans="1:33" s="84" customFormat="1" ht="66.75" customHeight="1" x14ac:dyDescent="0.25">
      <c r="A72" s="177"/>
      <c r="B72" s="187">
        <v>4112202</v>
      </c>
      <c r="C72" s="124" t="s">
        <v>88</v>
      </c>
      <c r="D72" s="71" t="s">
        <v>146</v>
      </c>
      <c r="E72" s="222" t="s">
        <v>157</v>
      </c>
      <c r="F72" s="570">
        <v>19.47</v>
      </c>
      <c r="G72" s="571">
        <v>19.47</v>
      </c>
      <c r="H72" s="572">
        <f t="shared" ref="H72:H77" si="0">ROW(C72)</f>
        <v>72</v>
      </c>
      <c r="I72" s="571">
        <v>0</v>
      </c>
      <c r="J72" s="571">
        <v>0</v>
      </c>
      <c r="K72" s="180"/>
      <c r="L72" s="181"/>
      <c r="M72" s="85"/>
      <c r="N72" s="71" t="s">
        <v>146</v>
      </c>
      <c r="O72" s="221" t="s">
        <v>149</v>
      </c>
      <c r="P72" s="574">
        <v>3.0300000000000011</v>
      </c>
      <c r="Q72" s="575">
        <v>3.0300000000000011</v>
      </c>
      <c r="R72" s="575"/>
      <c r="S72" s="575">
        <v>0</v>
      </c>
      <c r="T72" s="575">
        <v>0</v>
      </c>
      <c r="U72" s="575"/>
      <c r="V72" s="575"/>
      <c r="W72" s="574"/>
      <c r="X72" s="496"/>
      <c r="Y72" s="776"/>
      <c r="Z72" s="574">
        <v>0</v>
      </c>
      <c r="AA72" s="575">
        <v>0</v>
      </c>
      <c r="AB72" s="575"/>
      <c r="AC72" s="575">
        <v>0</v>
      </c>
      <c r="AD72" s="575">
        <v>0</v>
      </c>
      <c r="AE72" s="184"/>
      <c r="AF72" s="184"/>
      <c r="AG72" s="183"/>
    </row>
    <row r="73" spans="1:33" s="84" customFormat="1" ht="39" customHeight="1" x14ac:dyDescent="0.25">
      <c r="A73" s="177"/>
      <c r="B73" s="187">
        <v>4112202</v>
      </c>
      <c r="C73" s="124" t="s">
        <v>89</v>
      </c>
      <c r="D73" s="71" t="s">
        <v>146</v>
      </c>
      <c r="E73" s="222" t="s">
        <v>148</v>
      </c>
      <c r="F73" s="570">
        <v>9.8800000000000008</v>
      </c>
      <c r="G73" s="571">
        <v>9.8800000000000008</v>
      </c>
      <c r="H73" s="572">
        <f t="shared" si="0"/>
        <v>73</v>
      </c>
      <c r="I73" s="571">
        <v>0</v>
      </c>
      <c r="J73" s="571">
        <v>0</v>
      </c>
      <c r="K73" s="180"/>
      <c r="L73" s="181"/>
      <c r="M73" s="85"/>
      <c r="N73" s="71" t="s">
        <v>146</v>
      </c>
      <c r="O73" s="221" t="s">
        <v>158</v>
      </c>
      <c r="P73" s="574">
        <v>3.8699999999999992</v>
      </c>
      <c r="Q73" s="575">
        <v>3.8699999999999992</v>
      </c>
      <c r="R73" s="575"/>
      <c r="S73" s="575">
        <v>0</v>
      </c>
      <c r="T73" s="575">
        <v>0</v>
      </c>
      <c r="U73" s="575"/>
      <c r="V73" s="575"/>
      <c r="W73" s="574"/>
      <c r="X73" s="496"/>
      <c r="Y73" s="776"/>
      <c r="Z73" s="574">
        <v>0</v>
      </c>
      <c r="AA73" s="575">
        <v>0</v>
      </c>
      <c r="AB73" s="575"/>
      <c r="AC73" s="575">
        <v>0</v>
      </c>
      <c r="AD73" s="575">
        <v>0</v>
      </c>
      <c r="AE73" s="184"/>
      <c r="AF73" s="184"/>
      <c r="AG73" s="183"/>
    </row>
    <row r="74" spans="1:33" s="84" customFormat="1" ht="17.25" customHeight="1" x14ac:dyDescent="0.25">
      <c r="A74" s="177"/>
      <c r="B74" s="187">
        <v>4112202</v>
      </c>
      <c r="C74" s="124" t="s">
        <v>90</v>
      </c>
      <c r="D74" s="71" t="s">
        <v>146</v>
      </c>
      <c r="E74" s="222" t="s">
        <v>159</v>
      </c>
      <c r="F74" s="570">
        <v>0.2</v>
      </c>
      <c r="G74" s="571">
        <v>0.2</v>
      </c>
      <c r="H74" s="572">
        <f t="shared" si="0"/>
        <v>74</v>
      </c>
      <c r="I74" s="571">
        <v>0</v>
      </c>
      <c r="J74" s="571">
        <v>0</v>
      </c>
      <c r="K74" s="180"/>
      <c r="L74" s="181"/>
      <c r="M74" s="85"/>
      <c r="N74" s="71" t="s">
        <v>160</v>
      </c>
      <c r="O74" s="222" t="s">
        <v>159</v>
      </c>
      <c r="P74" s="574">
        <v>1.3</v>
      </c>
      <c r="Q74" s="575">
        <v>1.3</v>
      </c>
      <c r="R74" s="575"/>
      <c r="S74" s="575">
        <v>0</v>
      </c>
      <c r="T74" s="575">
        <v>0</v>
      </c>
      <c r="U74" s="575"/>
      <c r="V74" s="575"/>
      <c r="W74" s="574"/>
      <c r="X74" s="496"/>
      <c r="Y74" s="776"/>
      <c r="Z74" s="574">
        <v>0</v>
      </c>
      <c r="AA74" s="575">
        <v>0</v>
      </c>
      <c r="AB74" s="575"/>
      <c r="AC74" s="575">
        <v>0</v>
      </c>
      <c r="AD74" s="575">
        <v>0</v>
      </c>
      <c r="AE74" s="184"/>
      <c r="AF74" s="184"/>
      <c r="AG74" s="183"/>
    </row>
    <row r="75" spans="1:33" s="84" customFormat="1" ht="38.25" customHeight="1" x14ac:dyDescent="0.25">
      <c r="A75" s="177"/>
      <c r="B75" s="187">
        <v>4112202</v>
      </c>
      <c r="C75" s="124" t="s">
        <v>91</v>
      </c>
      <c r="D75" s="71" t="s">
        <v>146</v>
      </c>
      <c r="E75" s="222" t="s">
        <v>148</v>
      </c>
      <c r="F75" s="570">
        <v>4.08</v>
      </c>
      <c r="G75" s="571">
        <v>4.08</v>
      </c>
      <c r="H75" s="572">
        <f t="shared" si="0"/>
        <v>75</v>
      </c>
      <c r="I75" s="571">
        <v>0</v>
      </c>
      <c r="J75" s="571">
        <v>0</v>
      </c>
      <c r="K75" s="180"/>
      <c r="L75" s="181"/>
      <c r="M75" s="85"/>
      <c r="N75" s="71" t="s">
        <v>146</v>
      </c>
      <c r="O75" s="221" t="s">
        <v>158</v>
      </c>
      <c r="P75" s="574">
        <v>1.17</v>
      </c>
      <c r="Q75" s="575">
        <v>1.17</v>
      </c>
      <c r="R75" s="575"/>
      <c r="S75" s="575">
        <v>0</v>
      </c>
      <c r="T75" s="575">
        <v>0</v>
      </c>
      <c r="U75" s="575"/>
      <c r="V75" s="575"/>
      <c r="W75" s="574"/>
      <c r="X75" s="496"/>
      <c r="Y75" s="780"/>
      <c r="Z75" s="574">
        <v>0</v>
      </c>
      <c r="AA75" s="575">
        <v>0</v>
      </c>
      <c r="AB75" s="575"/>
      <c r="AC75" s="575">
        <v>0</v>
      </c>
      <c r="AD75" s="575">
        <v>0</v>
      </c>
      <c r="AE75" s="184"/>
      <c r="AF75" s="184"/>
      <c r="AG75" s="183"/>
    </row>
    <row r="76" spans="1:33" s="84" customFormat="1" ht="17.25" customHeight="1" x14ac:dyDescent="0.25">
      <c r="A76" s="177"/>
      <c r="B76" s="617">
        <v>4112314</v>
      </c>
      <c r="C76" s="124" t="s">
        <v>62</v>
      </c>
      <c r="D76" s="222"/>
      <c r="E76" s="189" t="s">
        <v>143</v>
      </c>
      <c r="F76" s="570">
        <v>45.33</v>
      </c>
      <c r="G76" s="571">
        <v>45.33</v>
      </c>
      <c r="H76" s="572">
        <f t="shared" si="0"/>
        <v>76</v>
      </c>
      <c r="I76" s="571">
        <v>0</v>
      </c>
      <c r="J76" s="571">
        <v>0</v>
      </c>
      <c r="K76" s="180"/>
      <c r="L76" s="181"/>
      <c r="M76" s="85"/>
      <c r="N76" s="198"/>
      <c r="O76" s="190" t="s">
        <v>143</v>
      </c>
      <c r="P76" s="574">
        <v>2.8954000000000009</v>
      </c>
      <c r="Q76" s="575">
        <v>2.8954000000000009</v>
      </c>
      <c r="R76" s="575"/>
      <c r="S76" s="575">
        <v>0</v>
      </c>
      <c r="T76" s="575">
        <v>0</v>
      </c>
      <c r="U76" s="575"/>
      <c r="V76" s="575"/>
      <c r="W76" s="574"/>
      <c r="X76" s="767"/>
      <c r="Y76" s="519" t="s">
        <v>143</v>
      </c>
      <c r="Z76" s="574">
        <v>1.7746000000000011</v>
      </c>
      <c r="AA76" s="575">
        <v>1.7746000000000011</v>
      </c>
      <c r="AB76" s="575"/>
      <c r="AC76" s="575">
        <v>0</v>
      </c>
      <c r="AD76" s="575">
        <v>0</v>
      </c>
      <c r="AE76" s="184"/>
      <c r="AF76" s="184"/>
      <c r="AG76" s="183"/>
    </row>
    <row r="77" spans="1:33" s="84" customFormat="1" ht="16.5" customHeight="1" x14ac:dyDescent="0.25">
      <c r="A77" s="177"/>
      <c r="B77" s="617">
        <v>4112303</v>
      </c>
      <c r="C77" s="124" t="s">
        <v>93</v>
      </c>
      <c r="D77" s="71" t="s">
        <v>146</v>
      </c>
      <c r="E77" s="222" t="s">
        <v>158</v>
      </c>
      <c r="F77" s="570">
        <v>12.72</v>
      </c>
      <c r="G77" s="571">
        <v>12.72</v>
      </c>
      <c r="H77" s="572">
        <f t="shared" si="0"/>
        <v>77</v>
      </c>
      <c r="I77" s="571">
        <v>0</v>
      </c>
      <c r="J77" s="571">
        <v>0</v>
      </c>
      <c r="K77" s="180"/>
      <c r="L77" s="181"/>
      <c r="M77" s="85"/>
      <c r="N77" s="71" t="s">
        <v>146</v>
      </c>
      <c r="O77" s="222" t="s">
        <v>156</v>
      </c>
      <c r="P77" s="574">
        <v>1.3908</v>
      </c>
      <c r="Q77" s="575">
        <v>1.3908</v>
      </c>
      <c r="R77" s="575"/>
      <c r="S77" s="575">
        <v>0</v>
      </c>
      <c r="T77" s="575">
        <v>0</v>
      </c>
      <c r="U77" s="575"/>
      <c r="V77" s="575"/>
      <c r="W77" s="574"/>
      <c r="X77" s="496" t="s">
        <v>146</v>
      </c>
      <c r="Y77" s="781" t="s">
        <v>151</v>
      </c>
      <c r="Z77" s="574">
        <v>0.88919999999999977</v>
      </c>
      <c r="AA77" s="575">
        <v>0.88919999999999977</v>
      </c>
      <c r="AB77" s="575"/>
      <c r="AC77" s="575">
        <v>0</v>
      </c>
      <c r="AD77" s="575">
        <v>0</v>
      </c>
      <c r="AE77" s="184"/>
      <c r="AF77" s="184"/>
      <c r="AG77" s="183"/>
    </row>
    <row r="78" spans="1:33" s="84" customFormat="1" ht="18" customHeight="1" x14ac:dyDescent="0.25">
      <c r="A78" s="177"/>
      <c r="B78" s="178"/>
      <c r="C78" s="228" t="s">
        <v>97</v>
      </c>
      <c r="D78" s="228"/>
      <c r="E78" s="228"/>
      <c r="F78" s="570"/>
      <c r="G78" s="571"/>
      <c r="H78" s="571"/>
      <c r="I78" s="571"/>
      <c r="J78" s="571"/>
      <c r="K78" s="180"/>
      <c r="L78" s="181"/>
      <c r="M78" s="85"/>
      <c r="N78" s="228"/>
      <c r="O78" s="228"/>
      <c r="P78" s="574"/>
      <c r="Q78" s="575"/>
      <c r="R78" s="575"/>
      <c r="S78" s="575"/>
      <c r="T78" s="575"/>
      <c r="U78" s="484"/>
      <c r="V78" s="575"/>
      <c r="W78" s="574"/>
      <c r="X78" s="782"/>
      <c r="Y78" s="782"/>
      <c r="Z78" s="574"/>
      <c r="AA78" s="765"/>
      <c r="AB78" s="575"/>
      <c r="AC78" s="575"/>
      <c r="AD78" s="575"/>
      <c r="AE78" s="184"/>
      <c r="AF78" s="184"/>
      <c r="AG78" s="183"/>
    </row>
    <row r="79" spans="1:33" s="84" customFormat="1" ht="15" customHeight="1" x14ac:dyDescent="0.25">
      <c r="A79" s="177"/>
      <c r="B79" s="187">
        <v>4141101</v>
      </c>
      <c r="C79" s="225" t="s">
        <v>98</v>
      </c>
      <c r="D79" s="225"/>
      <c r="E79" s="225"/>
      <c r="F79" s="570">
        <v>15323.6</v>
      </c>
      <c r="G79" s="571">
        <v>15323.6</v>
      </c>
      <c r="H79" s="572">
        <f>ROW(C79)</f>
        <v>79</v>
      </c>
      <c r="I79" s="571">
        <v>0</v>
      </c>
      <c r="J79" s="571">
        <v>0</v>
      </c>
      <c r="K79" s="180"/>
      <c r="L79" s="181"/>
      <c r="M79" s="85"/>
      <c r="N79" s="71" t="s">
        <v>161</v>
      </c>
      <c r="O79" s="190" t="s">
        <v>143</v>
      </c>
      <c r="P79" s="574">
        <v>2338.1999999999998</v>
      </c>
      <c r="Q79" s="574">
        <v>2338.1999999999998</v>
      </c>
      <c r="R79" s="575"/>
      <c r="S79" s="575">
        <v>0</v>
      </c>
      <c r="T79" s="575">
        <v>0</v>
      </c>
      <c r="U79" s="575"/>
      <c r="V79" s="575"/>
      <c r="W79" s="574"/>
      <c r="X79" s="496" t="s">
        <v>161</v>
      </c>
      <c r="Y79" s="519" t="s">
        <v>143</v>
      </c>
      <c r="Z79" s="574">
        <v>2338.1999999999998</v>
      </c>
      <c r="AA79" s="765">
        <v>2338.1999999999998</v>
      </c>
      <c r="AB79" s="575"/>
      <c r="AC79" s="575">
        <v>0</v>
      </c>
      <c r="AD79" s="575">
        <v>0</v>
      </c>
      <c r="AE79" s="184"/>
      <c r="AF79" s="184"/>
      <c r="AG79" s="183"/>
    </row>
    <row r="80" spans="1:33" s="84" customFormat="1" ht="15.75" customHeight="1" x14ac:dyDescent="0.25">
      <c r="A80" s="177"/>
      <c r="B80" s="178"/>
      <c r="C80" s="724" t="s">
        <v>100</v>
      </c>
      <c r="D80" s="224"/>
      <c r="E80" s="224"/>
      <c r="F80" s="570"/>
      <c r="G80" s="571"/>
      <c r="H80" s="571"/>
      <c r="I80" s="571"/>
      <c r="J80" s="571"/>
      <c r="K80" s="180"/>
      <c r="L80" s="181"/>
      <c r="M80" s="85"/>
      <c r="N80" s="216"/>
      <c r="O80" s="82"/>
      <c r="P80" s="783"/>
      <c r="Q80" s="784"/>
      <c r="R80" s="575"/>
      <c r="S80" s="575"/>
      <c r="T80" s="575"/>
      <c r="U80" s="484"/>
      <c r="V80" s="575"/>
      <c r="W80" s="574"/>
      <c r="X80" s="775"/>
      <c r="Y80" s="778"/>
      <c r="Z80" s="574"/>
      <c r="AA80" s="765"/>
      <c r="AB80" s="575"/>
      <c r="AC80" s="575"/>
      <c r="AD80" s="575"/>
      <c r="AE80" s="184"/>
      <c r="AF80" s="184"/>
      <c r="AG80" s="183"/>
    </row>
    <row r="81" spans="1:33" s="84" customFormat="1" ht="15.75" customHeight="1" x14ac:dyDescent="0.25">
      <c r="A81" s="177"/>
      <c r="B81" s="192"/>
      <c r="C81" s="724" t="s">
        <v>162</v>
      </c>
      <c r="D81" s="224"/>
      <c r="E81" s="224"/>
      <c r="F81" s="570"/>
      <c r="G81" s="571"/>
      <c r="H81" s="571"/>
      <c r="I81" s="571"/>
      <c r="J81" s="571"/>
      <c r="K81" s="180"/>
      <c r="L81" s="181"/>
      <c r="M81" s="85"/>
      <c r="N81" s="216"/>
      <c r="O81" s="82"/>
      <c r="P81" s="783"/>
      <c r="Q81" s="784"/>
      <c r="R81" s="575"/>
      <c r="S81" s="575"/>
      <c r="T81" s="575"/>
      <c r="U81" s="484"/>
      <c r="V81" s="575"/>
      <c r="W81" s="574"/>
      <c r="X81" s="775"/>
      <c r="Y81" s="778"/>
      <c r="Z81" s="574"/>
      <c r="AA81" s="575"/>
      <c r="AB81" s="575"/>
      <c r="AC81" s="575"/>
      <c r="AD81" s="575"/>
      <c r="AE81" s="184"/>
      <c r="AF81" s="184"/>
      <c r="AG81" s="183"/>
    </row>
    <row r="82" spans="1:33" s="84" customFormat="1" ht="17.25" customHeight="1" x14ac:dyDescent="0.25">
      <c r="A82" s="177"/>
      <c r="B82" s="200">
        <v>4111306</v>
      </c>
      <c r="C82" s="72" t="s">
        <v>102</v>
      </c>
      <c r="D82" s="72"/>
      <c r="E82" s="72"/>
      <c r="F82" s="570">
        <v>308.94</v>
      </c>
      <c r="G82" s="571">
        <v>40.42</v>
      </c>
      <c r="H82" s="572">
        <f>ROW(C82)</f>
        <v>82</v>
      </c>
      <c r="I82" s="571">
        <v>268.52</v>
      </c>
      <c r="J82" s="571">
        <v>0</v>
      </c>
      <c r="K82" s="180"/>
      <c r="L82" s="181"/>
      <c r="M82" s="85"/>
      <c r="N82" s="71"/>
      <c r="O82" s="190"/>
      <c r="P82" s="574">
        <v>522.34799999999996</v>
      </c>
      <c r="Q82" s="575">
        <v>74.747998799999991</v>
      </c>
      <c r="R82" s="575"/>
      <c r="S82" s="575">
        <v>447.60000120000001</v>
      </c>
      <c r="T82" s="575">
        <v>0</v>
      </c>
      <c r="U82" s="575"/>
      <c r="V82" s="575"/>
      <c r="W82" s="574"/>
      <c r="X82" s="496" t="s">
        <v>146</v>
      </c>
      <c r="Y82" s="519">
        <v>131</v>
      </c>
      <c r="Z82" s="574">
        <v>378.25200000000001</v>
      </c>
      <c r="AA82" s="575">
        <v>54.127861199999998</v>
      </c>
      <c r="AB82" s="575"/>
      <c r="AC82" s="575">
        <v>324.12413880000003</v>
      </c>
      <c r="AD82" s="575">
        <v>0</v>
      </c>
      <c r="AE82" s="184"/>
      <c r="AF82" s="184"/>
      <c r="AG82" s="183"/>
    </row>
    <row r="83" spans="1:33" s="84" customFormat="1" ht="15.75" customHeight="1" x14ac:dyDescent="0.25">
      <c r="A83" s="177"/>
      <c r="B83" s="192"/>
      <c r="C83" s="724" t="s">
        <v>103</v>
      </c>
      <c r="D83" s="224"/>
      <c r="E83" s="224"/>
      <c r="F83" s="570"/>
      <c r="G83" s="571"/>
      <c r="H83" s="571"/>
      <c r="I83" s="571"/>
      <c r="J83" s="571"/>
      <c r="K83" s="180"/>
      <c r="L83" s="181"/>
      <c r="M83" s="85"/>
      <c r="N83" s="216"/>
      <c r="O83" s="82"/>
      <c r="P83" s="783"/>
      <c r="Q83" s="784"/>
      <c r="R83" s="575"/>
      <c r="S83" s="575"/>
      <c r="T83" s="575"/>
      <c r="U83" s="484"/>
      <c r="V83" s="575"/>
      <c r="W83" s="574"/>
      <c r="X83" s="775"/>
      <c r="Y83" s="778"/>
      <c r="Z83" s="574"/>
      <c r="AA83" s="575"/>
      <c r="AB83" s="575"/>
      <c r="AC83" s="575"/>
      <c r="AD83" s="575"/>
      <c r="AE83" s="184"/>
      <c r="AF83" s="184"/>
      <c r="AG83" s="183"/>
    </row>
    <row r="84" spans="1:33" s="84" customFormat="1" ht="17.25" customHeight="1" x14ac:dyDescent="0.25">
      <c r="A84" s="177"/>
      <c r="B84" s="187">
        <v>4111307</v>
      </c>
      <c r="C84" s="72" t="s">
        <v>104</v>
      </c>
      <c r="D84" s="72"/>
      <c r="E84" s="72"/>
      <c r="F84" s="570">
        <v>0</v>
      </c>
      <c r="G84" s="571">
        <v>0</v>
      </c>
      <c r="H84" s="572">
        <f>ROW(C84)</f>
        <v>84</v>
      </c>
      <c r="I84" s="571">
        <v>0</v>
      </c>
      <c r="J84" s="571">
        <v>0</v>
      </c>
      <c r="K84" s="180"/>
      <c r="L84" s="181"/>
      <c r="M84" s="85"/>
      <c r="N84" s="71" t="s">
        <v>160</v>
      </c>
      <c r="O84" s="190" t="s">
        <v>143</v>
      </c>
      <c r="P84" s="574">
        <v>670.03499999999997</v>
      </c>
      <c r="Q84" s="575">
        <v>93.804900000000004</v>
      </c>
      <c r="R84" s="575"/>
      <c r="S84" s="575">
        <v>576.23009999999999</v>
      </c>
      <c r="T84" s="575">
        <v>0</v>
      </c>
      <c r="U84" s="575"/>
      <c r="V84" s="575"/>
      <c r="W84" s="574"/>
      <c r="X84" s="496" t="s">
        <v>160</v>
      </c>
      <c r="Y84" s="519" t="s">
        <v>143</v>
      </c>
      <c r="Z84" s="574">
        <v>505.46499999999997</v>
      </c>
      <c r="AA84" s="575">
        <v>70.765100000000004</v>
      </c>
      <c r="AB84" s="575"/>
      <c r="AC84" s="575">
        <v>434.69990000000001</v>
      </c>
      <c r="AD84" s="575">
        <v>0</v>
      </c>
      <c r="AE84" s="184"/>
      <c r="AF84" s="184"/>
      <c r="AG84" s="183"/>
    </row>
    <row r="85" spans="1:33" s="84" customFormat="1" ht="17.25" customHeight="1" x14ac:dyDescent="0.25">
      <c r="A85" s="177"/>
      <c r="B85" s="187">
        <v>4111307</v>
      </c>
      <c r="C85" s="72" t="s">
        <v>106</v>
      </c>
      <c r="D85" s="72"/>
      <c r="E85" s="72"/>
      <c r="F85" s="570">
        <v>10218.879999999999</v>
      </c>
      <c r="G85" s="571">
        <v>1398.89</v>
      </c>
      <c r="H85" s="572">
        <f>ROW(C85)</f>
        <v>85</v>
      </c>
      <c r="I85" s="571">
        <v>8819.99</v>
      </c>
      <c r="J85" s="571">
        <v>0</v>
      </c>
      <c r="K85" s="180"/>
      <c r="L85" s="181"/>
      <c r="M85" s="85"/>
      <c r="N85" s="71" t="s">
        <v>146</v>
      </c>
      <c r="O85" s="190" t="s">
        <v>143</v>
      </c>
      <c r="P85" s="574">
        <v>4439.6033000000016</v>
      </c>
      <c r="Q85" s="575">
        <v>638.41495454000028</v>
      </c>
      <c r="R85" s="575"/>
      <c r="S85" s="575">
        <v>3801.1883454600011</v>
      </c>
      <c r="T85" s="575">
        <v>0</v>
      </c>
      <c r="U85" s="575"/>
      <c r="V85" s="575"/>
      <c r="W85" s="574"/>
      <c r="X85" s="496" t="s">
        <v>146</v>
      </c>
      <c r="Y85" s="519" t="s">
        <v>143</v>
      </c>
      <c r="Z85" s="574">
        <v>3937.0067000000008</v>
      </c>
      <c r="AA85" s="575">
        <v>566.14156346000016</v>
      </c>
      <c r="AB85" s="575"/>
      <c r="AC85" s="575">
        <v>3370.865136540001</v>
      </c>
      <c r="AD85" s="575">
        <v>0</v>
      </c>
      <c r="AE85" s="184"/>
      <c r="AF85" s="184"/>
      <c r="AG85" s="183"/>
    </row>
    <row r="86" spans="1:33" s="84" customFormat="1" ht="19.5" customHeight="1" x14ac:dyDescent="0.25">
      <c r="A86" s="177"/>
      <c r="B86" s="187">
        <v>4111307</v>
      </c>
      <c r="C86" s="72" t="s">
        <v>108</v>
      </c>
      <c r="D86" s="72"/>
      <c r="E86" s="72"/>
      <c r="F86" s="570">
        <v>8684.6999999999989</v>
      </c>
      <c r="G86" s="571">
        <v>1125.23</v>
      </c>
      <c r="H86" s="572">
        <f>ROW(C86)</f>
        <v>86</v>
      </c>
      <c r="I86" s="571">
        <v>7559.4699999999993</v>
      </c>
      <c r="J86" s="571">
        <v>0</v>
      </c>
      <c r="K86" s="180"/>
      <c r="L86" s="181"/>
      <c r="M86" s="85"/>
      <c r="N86" s="71" t="s">
        <v>163</v>
      </c>
      <c r="O86" s="190" t="s">
        <v>143</v>
      </c>
      <c r="P86" s="574">
        <v>845.2807999999992</v>
      </c>
      <c r="Q86" s="575">
        <v>169.05615999999989</v>
      </c>
      <c r="R86" s="575"/>
      <c r="S86" s="575">
        <v>676.22463999999945</v>
      </c>
      <c r="T86" s="575">
        <v>0</v>
      </c>
      <c r="U86" s="575"/>
      <c r="V86" s="575"/>
      <c r="W86" s="574"/>
      <c r="X86" s="496" t="s">
        <v>163</v>
      </c>
      <c r="Y86" s="519" t="s">
        <v>143</v>
      </c>
      <c r="Z86" s="574">
        <v>664.14919999999915</v>
      </c>
      <c r="AA86" s="575">
        <v>132.82983999999979</v>
      </c>
      <c r="AB86" s="575"/>
      <c r="AC86" s="575">
        <v>531.31935999999939</v>
      </c>
      <c r="AD86" s="575">
        <v>0</v>
      </c>
      <c r="AE86" s="184"/>
      <c r="AF86" s="184"/>
      <c r="AG86" s="183"/>
    </row>
    <row r="87" spans="1:33" s="84" customFormat="1" ht="15.75" customHeight="1" x14ac:dyDescent="0.25">
      <c r="A87" s="177"/>
      <c r="B87" s="195"/>
      <c r="C87" s="724" t="s">
        <v>164</v>
      </c>
      <c r="D87" s="724"/>
      <c r="E87" s="724"/>
      <c r="F87" s="570"/>
      <c r="G87" s="571"/>
      <c r="H87" s="571"/>
      <c r="I87" s="571"/>
      <c r="J87" s="571"/>
      <c r="K87" s="180"/>
      <c r="L87" s="181"/>
      <c r="M87" s="85"/>
      <c r="N87" s="228"/>
      <c r="O87" s="724"/>
      <c r="P87" s="574"/>
      <c r="Q87" s="575"/>
      <c r="R87" s="575"/>
      <c r="S87" s="575"/>
      <c r="T87" s="575"/>
      <c r="U87" s="484"/>
      <c r="V87" s="575"/>
      <c r="W87" s="574"/>
      <c r="X87" s="782"/>
      <c r="Y87" s="785"/>
      <c r="Z87" s="574"/>
      <c r="AA87" s="765"/>
      <c r="AB87" s="575"/>
      <c r="AC87" s="575"/>
      <c r="AD87" s="575"/>
      <c r="AE87" s="184"/>
      <c r="AF87" s="184"/>
      <c r="AG87" s="183"/>
    </row>
    <row r="88" spans="1:33" s="84" customFormat="1" ht="19.5" customHeight="1" x14ac:dyDescent="0.25">
      <c r="A88" s="177"/>
      <c r="B88" s="187">
        <v>4111201</v>
      </c>
      <c r="C88" s="72" t="s">
        <v>110</v>
      </c>
      <c r="D88" s="72"/>
      <c r="E88" s="72"/>
      <c r="F88" s="570">
        <v>1181.58</v>
      </c>
      <c r="G88" s="571">
        <v>155.18</v>
      </c>
      <c r="H88" s="572">
        <f t="shared" ref="H88:H95" si="1">ROW(C88)</f>
        <v>88</v>
      </c>
      <c r="I88" s="571">
        <v>1026.4000000000001</v>
      </c>
      <c r="J88" s="571">
        <v>0</v>
      </c>
      <c r="K88" s="180"/>
      <c r="L88" s="181"/>
      <c r="M88" s="85"/>
      <c r="N88" s="71" t="s">
        <v>163</v>
      </c>
      <c r="O88" s="190" t="s">
        <v>143</v>
      </c>
      <c r="P88" s="574">
        <v>1218.998</v>
      </c>
      <c r="Q88" s="575">
        <v>176.26711080000001</v>
      </c>
      <c r="R88" s="575"/>
      <c r="S88" s="575">
        <v>1042.7308892000001</v>
      </c>
      <c r="T88" s="575">
        <v>0</v>
      </c>
      <c r="U88" s="575"/>
      <c r="V88" s="575"/>
      <c r="W88" s="574"/>
      <c r="X88" s="496" t="s">
        <v>163</v>
      </c>
      <c r="Y88" s="519" t="s">
        <v>143</v>
      </c>
      <c r="Z88" s="574">
        <v>997.36200000000008</v>
      </c>
      <c r="AA88" s="765">
        <v>144.21854519999999</v>
      </c>
      <c r="AB88" s="575"/>
      <c r="AC88" s="575">
        <v>853.14345480000009</v>
      </c>
      <c r="AD88" s="575">
        <v>0</v>
      </c>
      <c r="AE88" s="184"/>
      <c r="AF88" s="184"/>
      <c r="AG88" s="183"/>
    </row>
    <row r="89" spans="1:33" s="84" customFormat="1" ht="31.5" customHeight="1" x14ac:dyDescent="0.25">
      <c r="A89" s="177"/>
      <c r="B89" s="187">
        <v>4111201</v>
      </c>
      <c r="C89" s="72" t="s">
        <v>111</v>
      </c>
      <c r="D89" s="72"/>
      <c r="E89" s="72"/>
      <c r="F89" s="570">
        <v>706.11</v>
      </c>
      <c r="G89" s="571">
        <v>95.2</v>
      </c>
      <c r="H89" s="572">
        <f t="shared" si="1"/>
        <v>89</v>
      </c>
      <c r="I89" s="571">
        <v>610.91000000000008</v>
      </c>
      <c r="J89" s="571">
        <v>0</v>
      </c>
      <c r="K89" s="180"/>
      <c r="L89" s="181"/>
      <c r="M89" s="85"/>
      <c r="N89" s="71" t="s">
        <v>163</v>
      </c>
      <c r="O89" s="190" t="s">
        <v>143</v>
      </c>
      <c r="P89" s="574">
        <v>771.00560000000007</v>
      </c>
      <c r="Q89" s="575">
        <v>110.02249912000001</v>
      </c>
      <c r="R89" s="575"/>
      <c r="S89" s="575">
        <v>660.98310088000005</v>
      </c>
      <c r="T89" s="575">
        <v>0</v>
      </c>
      <c r="U89" s="575"/>
      <c r="V89" s="575"/>
      <c r="W89" s="574"/>
      <c r="X89" s="496" t="s">
        <v>163</v>
      </c>
      <c r="Y89" s="519" t="s">
        <v>143</v>
      </c>
      <c r="Z89" s="574">
        <v>558.31440000000009</v>
      </c>
      <c r="AA89" s="765">
        <v>79.671464880000016</v>
      </c>
      <c r="AB89" s="575"/>
      <c r="AC89" s="575">
        <v>478.64293512000012</v>
      </c>
      <c r="AD89" s="575">
        <v>0</v>
      </c>
      <c r="AE89" s="184"/>
      <c r="AF89" s="184"/>
      <c r="AG89" s="183"/>
    </row>
    <row r="90" spans="1:33" s="84" customFormat="1" ht="30.75" customHeight="1" x14ac:dyDescent="0.25">
      <c r="A90" s="177"/>
      <c r="B90" s="187">
        <v>4111201</v>
      </c>
      <c r="C90" s="72" t="s">
        <v>112</v>
      </c>
      <c r="D90" s="72"/>
      <c r="E90" s="72"/>
      <c r="F90" s="570">
        <v>521.53</v>
      </c>
      <c r="G90" s="571">
        <v>71.300000000000011</v>
      </c>
      <c r="H90" s="572">
        <f t="shared" si="1"/>
        <v>90</v>
      </c>
      <c r="I90" s="571">
        <v>450.23</v>
      </c>
      <c r="J90" s="571">
        <v>0</v>
      </c>
      <c r="K90" s="180"/>
      <c r="L90" s="181"/>
      <c r="M90" s="85"/>
      <c r="N90" s="71" t="s">
        <v>163</v>
      </c>
      <c r="O90" s="190" t="s">
        <v>143</v>
      </c>
      <c r="P90" s="574">
        <v>674.45400000000006</v>
      </c>
      <c r="Q90" s="575">
        <v>95.367795600000008</v>
      </c>
      <c r="R90" s="575"/>
      <c r="S90" s="575">
        <v>579.08620440000004</v>
      </c>
      <c r="T90" s="575">
        <v>0</v>
      </c>
      <c r="U90" s="575"/>
      <c r="V90" s="575"/>
      <c r="W90" s="574"/>
      <c r="X90" s="496" t="s">
        <v>163</v>
      </c>
      <c r="Y90" s="519" t="s">
        <v>143</v>
      </c>
      <c r="Z90" s="574">
        <v>551.82600000000002</v>
      </c>
      <c r="AA90" s="765">
        <v>78.028196399999999</v>
      </c>
      <c r="AB90" s="575"/>
      <c r="AC90" s="575">
        <v>473.79780360000001</v>
      </c>
      <c r="AD90" s="575">
        <v>0</v>
      </c>
      <c r="AE90" s="184"/>
      <c r="AF90" s="184"/>
      <c r="AG90" s="183"/>
    </row>
    <row r="91" spans="1:33" s="84" customFormat="1" ht="16.5" customHeight="1" x14ac:dyDescent="0.25">
      <c r="A91" s="177"/>
      <c r="B91" s="187">
        <v>4111201</v>
      </c>
      <c r="C91" s="72" t="s">
        <v>113</v>
      </c>
      <c r="D91" s="72"/>
      <c r="E91" s="72"/>
      <c r="F91" s="570">
        <v>9050.67</v>
      </c>
      <c r="G91" s="571">
        <v>1144.47</v>
      </c>
      <c r="H91" s="572">
        <f t="shared" si="1"/>
        <v>91</v>
      </c>
      <c r="I91" s="571">
        <v>7906.2</v>
      </c>
      <c r="J91" s="571">
        <v>0</v>
      </c>
      <c r="K91" s="180"/>
      <c r="L91" s="181"/>
      <c r="M91" s="85"/>
      <c r="N91" s="71" t="s">
        <v>163</v>
      </c>
      <c r="O91" s="190" t="s">
        <v>143</v>
      </c>
      <c r="P91" s="574">
        <v>6159.0431999999992</v>
      </c>
      <c r="Q91" s="575">
        <v>3283.3859299199999</v>
      </c>
      <c r="R91" s="575"/>
      <c r="S91" s="575">
        <v>2875.6572700799989</v>
      </c>
      <c r="T91" s="575">
        <v>0</v>
      </c>
      <c r="U91" s="575"/>
      <c r="V91" s="575"/>
      <c r="W91" s="574"/>
      <c r="X91" s="496" t="s">
        <v>163</v>
      </c>
      <c r="Y91" s="519" t="s">
        <v>143</v>
      </c>
      <c r="Z91" s="574">
        <v>4459.996799999999</v>
      </c>
      <c r="AA91" s="575">
        <v>2377.6242940799989</v>
      </c>
      <c r="AB91" s="575"/>
      <c r="AC91" s="575">
        <v>2082.3725059200001</v>
      </c>
      <c r="AD91" s="575">
        <v>0</v>
      </c>
      <c r="AE91" s="184"/>
      <c r="AF91" s="184"/>
      <c r="AG91" s="183"/>
    </row>
    <row r="92" spans="1:33" s="84" customFormat="1" ht="16.5" customHeight="1" x14ac:dyDescent="0.25">
      <c r="A92" s="177"/>
      <c r="B92" s="187">
        <v>4111201</v>
      </c>
      <c r="C92" s="72" t="s">
        <v>114</v>
      </c>
      <c r="D92" s="72"/>
      <c r="E92" s="72"/>
      <c r="F92" s="570">
        <v>73.260000000000005</v>
      </c>
      <c r="G92" s="571">
        <v>9.77</v>
      </c>
      <c r="H92" s="572">
        <f t="shared" si="1"/>
        <v>92</v>
      </c>
      <c r="I92" s="571">
        <v>63.49</v>
      </c>
      <c r="J92" s="571">
        <v>0</v>
      </c>
      <c r="K92" s="180"/>
      <c r="L92" s="181"/>
      <c r="M92" s="85"/>
      <c r="N92" s="71" t="s">
        <v>146</v>
      </c>
      <c r="O92" s="737"/>
      <c r="P92" s="574">
        <v>48.141499999999994</v>
      </c>
      <c r="Q92" s="575">
        <v>7.009402399999999</v>
      </c>
      <c r="R92" s="575"/>
      <c r="S92" s="575">
        <v>41.132097599999987</v>
      </c>
      <c r="T92" s="575">
        <v>0</v>
      </c>
      <c r="U92" s="575"/>
      <c r="V92" s="575"/>
      <c r="W92" s="574"/>
      <c r="X92" s="496" t="s">
        <v>146</v>
      </c>
      <c r="Y92" s="519"/>
      <c r="Z92" s="574">
        <v>39.388499999999993</v>
      </c>
      <c r="AA92" s="575">
        <v>5.7349655999999989</v>
      </c>
      <c r="AB92" s="575"/>
      <c r="AC92" s="575">
        <v>33.653534399999998</v>
      </c>
      <c r="AD92" s="575">
        <v>0</v>
      </c>
      <c r="AE92" s="184"/>
      <c r="AF92" s="184"/>
      <c r="AG92" s="183"/>
    </row>
    <row r="93" spans="1:33" s="84" customFormat="1" ht="16.5" customHeight="1" x14ac:dyDescent="0.25">
      <c r="A93" s="177"/>
      <c r="B93" s="187">
        <v>4111201</v>
      </c>
      <c r="C93" s="72" t="s">
        <v>115</v>
      </c>
      <c r="D93" s="72"/>
      <c r="E93" s="72"/>
      <c r="F93" s="570">
        <v>0</v>
      </c>
      <c r="G93" s="571">
        <v>0</v>
      </c>
      <c r="H93" s="572">
        <f t="shared" si="1"/>
        <v>93</v>
      </c>
      <c r="I93" s="571">
        <v>0</v>
      </c>
      <c r="J93" s="571">
        <v>0</v>
      </c>
      <c r="K93" s="180"/>
      <c r="L93" s="181"/>
      <c r="M93" s="85"/>
      <c r="N93" s="71"/>
      <c r="O93" s="737"/>
      <c r="P93" s="574">
        <v>123.75</v>
      </c>
      <c r="Q93" s="575">
        <v>17.324999999999999</v>
      </c>
      <c r="R93" s="575"/>
      <c r="S93" s="575">
        <v>106.425</v>
      </c>
      <c r="T93" s="575">
        <v>0</v>
      </c>
      <c r="U93" s="575"/>
      <c r="V93" s="575"/>
      <c r="W93" s="574"/>
      <c r="X93" s="496"/>
      <c r="Y93" s="519"/>
      <c r="Z93" s="574">
        <v>101.25</v>
      </c>
      <c r="AA93" s="575">
        <v>14.175000000000001</v>
      </c>
      <c r="AB93" s="575"/>
      <c r="AC93" s="575">
        <v>87.075000000000003</v>
      </c>
      <c r="AD93" s="575">
        <v>0</v>
      </c>
      <c r="AE93" s="184"/>
      <c r="AF93" s="184"/>
      <c r="AG93" s="183"/>
    </row>
    <row r="94" spans="1:33" s="84" customFormat="1" ht="16.5" customHeight="1" x14ac:dyDescent="0.25">
      <c r="A94" s="177"/>
      <c r="B94" s="187">
        <v>4111201</v>
      </c>
      <c r="C94" s="72" t="s">
        <v>116</v>
      </c>
      <c r="D94" s="72"/>
      <c r="E94" s="72"/>
      <c r="F94" s="570">
        <v>135.41999999999999</v>
      </c>
      <c r="G94" s="571">
        <v>17.14</v>
      </c>
      <c r="H94" s="572">
        <f t="shared" si="1"/>
        <v>94</v>
      </c>
      <c r="I94" s="571">
        <v>118.28</v>
      </c>
      <c r="J94" s="571">
        <v>0</v>
      </c>
      <c r="K94" s="180"/>
      <c r="L94" s="181"/>
      <c r="M94" s="85"/>
      <c r="N94" s="71" t="s">
        <v>146</v>
      </c>
      <c r="O94" s="190" t="s">
        <v>143</v>
      </c>
      <c r="P94" s="574">
        <v>521.31059999999991</v>
      </c>
      <c r="Q94" s="575">
        <v>74.026105199999975</v>
      </c>
      <c r="R94" s="575"/>
      <c r="S94" s="575">
        <v>447.28449479999989</v>
      </c>
      <c r="T94" s="575">
        <v>0</v>
      </c>
      <c r="U94" s="575"/>
      <c r="V94" s="575"/>
      <c r="W94" s="574"/>
      <c r="X94" s="496" t="s">
        <v>146</v>
      </c>
      <c r="Y94" s="519"/>
      <c r="Z94" s="574">
        <v>393.26940000000002</v>
      </c>
      <c r="AA94" s="575">
        <v>55.844254799999987</v>
      </c>
      <c r="AB94" s="575"/>
      <c r="AC94" s="575">
        <v>337.42514519999997</v>
      </c>
      <c r="AD94" s="575">
        <v>0</v>
      </c>
      <c r="AE94" s="184"/>
      <c r="AF94" s="184"/>
      <c r="AG94" s="183"/>
    </row>
    <row r="95" spans="1:33" s="84" customFormat="1" ht="16.5" customHeight="1" x14ac:dyDescent="0.25">
      <c r="A95" s="177"/>
      <c r="B95" s="187">
        <v>4111201</v>
      </c>
      <c r="C95" s="72" t="s">
        <v>117</v>
      </c>
      <c r="D95" s="72"/>
      <c r="E95" s="72"/>
      <c r="F95" s="570">
        <v>0</v>
      </c>
      <c r="G95" s="571">
        <v>0</v>
      </c>
      <c r="H95" s="572">
        <f t="shared" si="1"/>
        <v>95</v>
      </c>
      <c r="I95" s="571">
        <v>0</v>
      </c>
      <c r="J95" s="571">
        <v>0</v>
      </c>
      <c r="K95" s="180"/>
      <c r="L95" s="181"/>
      <c r="M95" s="85"/>
      <c r="N95" s="71"/>
      <c r="O95" s="190"/>
      <c r="P95" s="574">
        <v>55.000000000000007</v>
      </c>
      <c r="Q95" s="575">
        <v>55.000000000000007</v>
      </c>
      <c r="R95" s="575"/>
      <c r="S95" s="575">
        <v>0</v>
      </c>
      <c r="T95" s="575">
        <v>0</v>
      </c>
      <c r="U95" s="575"/>
      <c r="V95" s="575"/>
      <c r="W95" s="574"/>
      <c r="X95" s="496"/>
      <c r="Y95" s="519" t="s">
        <v>143</v>
      </c>
      <c r="Z95" s="574">
        <v>45</v>
      </c>
      <c r="AA95" s="575">
        <v>45</v>
      </c>
      <c r="AB95" s="575"/>
      <c r="AC95" s="575">
        <v>0</v>
      </c>
      <c r="AD95" s="575">
        <v>0</v>
      </c>
      <c r="AE95" s="184"/>
      <c r="AF95" s="184"/>
      <c r="AG95" s="183"/>
    </row>
    <row r="96" spans="1:33" s="84" customFormat="1" ht="15.75" customHeight="1" x14ac:dyDescent="0.25">
      <c r="A96" s="862" t="s">
        <v>165</v>
      </c>
      <c r="B96" s="808"/>
      <c r="C96" s="820"/>
      <c r="D96" s="229"/>
      <c r="E96" s="229"/>
      <c r="F96" s="570">
        <f>SUM(F60:F95)</f>
        <v>47062.53</v>
      </c>
      <c r="G96" s="570">
        <f>SUM(G60:G95)</f>
        <v>20239.04</v>
      </c>
      <c r="H96" s="570"/>
      <c r="I96" s="570">
        <f>SUM(I60:I95)</f>
        <v>26823.49</v>
      </c>
      <c r="J96" s="570">
        <f>SUM(J60:J95)</f>
        <v>0</v>
      </c>
      <c r="K96" s="433"/>
      <c r="L96" s="230"/>
      <c r="M96" s="85"/>
      <c r="N96" s="231"/>
      <c r="O96" s="183"/>
      <c r="P96" s="786">
        <f>SUM(P60:P95)</f>
        <v>18578.886200000001</v>
      </c>
      <c r="Q96" s="786">
        <f>SUM(Q60:Q95)</f>
        <v>7324.3440563799986</v>
      </c>
      <c r="R96" s="786"/>
      <c r="S96" s="786">
        <f>SUM(S60:S95)</f>
        <v>11254.542143619999</v>
      </c>
      <c r="T96" s="786">
        <f>SUM(T60:T95)</f>
        <v>0</v>
      </c>
      <c r="U96" s="484"/>
      <c r="V96" s="786"/>
      <c r="W96" s="786"/>
      <c r="X96" s="557"/>
      <c r="Y96" s="786"/>
      <c r="Z96" s="786">
        <f>SUM(Z60:Z95)</f>
        <v>14972.143799999996</v>
      </c>
      <c r="AA96" s="786">
        <f>SUM(AA60:AA95)</f>
        <v>5965.0248856199987</v>
      </c>
      <c r="AB96" s="786"/>
      <c r="AC96" s="575">
        <f>SUM(AC60:AC95)</f>
        <v>9007.1189143800038</v>
      </c>
      <c r="AD96" s="575">
        <f>SUM(AD60:AD95)</f>
        <v>0</v>
      </c>
      <c r="AE96" s="232"/>
      <c r="AF96" s="232"/>
      <c r="AG96" s="232"/>
    </row>
    <row r="97" spans="1:33" s="235" customFormat="1" ht="15.75" customHeight="1" x14ac:dyDescent="0.25">
      <c r="A97" s="862" t="s">
        <v>120</v>
      </c>
      <c r="B97" s="808"/>
      <c r="C97" s="820"/>
      <c r="D97" s="229"/>
      <c r="E97" s="229"/>
      <c r="F97" s="571">
        <f>F56+F96</f>
        <v>59318.890999999996</v>
      </c>
      <c r="G97" s="571">
        <f>+G56+G96</f>
        <v>24247.186000000002</v>
      </c>
      <c r="H97" s="571"/>
      <c r="I97" s="571">
        <f>+I56+I96</f>
        <v>29423.7</v>
      </c>
      <c r="J97" s="571">
        <f>+J56+J96</f>
        <v>5648.0050000000001</v>
      </c>
      <c r="K97" s="180"/>
      <c r="L97" s="181"/>
      <c r="M97" s="209"/>
      <c r="N97" s="231"/>
      <c r="O97" s="183"/>
      <c r="P97" s="786">
        <f>SUM(P56+P96)</f>
        <v>22741.864740000001</v>
      </c>
      <c r="Q97" s="787">
        <f>+Q56+Q96</f>
        <v>8926.2054497799982</v>
      </c>
      <c r="R97" s="786"/>
      <c r="S97" s="787">
        <f>+S56+S96</f>
        <v>12441.08834022</v>
      </c>
      <c r="T97" s="787">
        <f>+T56+T96</f>
        <v>1374.57095</v>
      </c>
      <c r="U97" s="788"/>
      <c r="V97" s="787"/>
      <c r="W97" s="786"/>
      <c r="X97" s="557"/>
      <c r="Y97" s="786"/>
      <c r="Z97" s="786">
        <f>SUM(Z56+Z96)</f>
        <v>17653.738259999995</v>
      </c>
      <c r="AA97" s="787">
        <f>+AA56+AA96</f>
        <v>7094.476338219999</v>
      </c>
      <c r="AB97" s="786"/>
      <c r="AC97" s="575">
        <f>+AC56+AC96</f>
        <v>9680.4378717800046</v>
      </c>
      <c r="AD97" s="575">
        <f>+AD56+AD96</f>
        <v>878.82404999999983</v>
      </c>
      <c r="AE97" s="234"/>
      <c r="AF97" s="234"/>
      <c r="AG97" s="232"/>
    </row>
    <row r="98" spans="1:33" s="235" customFormat="1" ht="15" customHeight="1" x14ac:dyDescent="0.25">
      <c r="B98" s="619"/>
      <c r="C98" s="618" t="s">
        <v>121</v>
      </c>
      <c r="D98" s="236"/>
      <c r="E98" s="236"/>
      <c r="F98" s="570">
        <v>0</v>
      </c>
      <c r="G98" s="571">
        <v>0</v>
      </c>
      <c r="H98" s="572"/>
      <c r="I98" s="571">
        <v>0</v>
      </c>
      <c r="J98" s="571">
        <v>0</v>
      </c>
      <c r="K98" s="180"/>
      <c r="L98" s="181"/>
      <c r="M98" s="209"/>
      <c r="N98" s="231"/>
      <c r="O98" s="183"/>
      <c r="P98" s="574">
        <v>26.240300000000001</v>
      </c>
      <c r="Q98" s="575">
        <v>26.240300000000001</v>
      </c>
      <c r="R98" s="575"/>
      <c r="S98" s="575">
        <v>0</v>
      </c>
      <c r="T98" s="575">
        <v>0</v>
      </c>
      <c r="U98" s="575"/>
      <c r="V98" s="575"/>
      <c r="W98" s="574"/>
      <c r="X98" s="557"/>
      <c r="Y98" s="574"/>
      <c r="Z98" s="574">
        <v>23.2697</v>
      </c>
      <c r="AA98" s="575">
        <v>23.2697</v>
      </c>
      <c r="AB98" s="575"/>
      <c r="AC98" s="575">
        <v>0</v>
      </c>
      <c r="AD98" s="575">
        <v>0</v>
      </c>
      <c r="AE98" s="184"/>
      <c r="AF98" s="184"/>
      <c r="AG98" s="183"/>
    </row>
    <row r="99" spans="1:33" s="235" customFormat="1" ht="18" customHeight="1" x14ac:dyDescent="0.25">
      <c r="B99" s="619"/>
      <c r="C99" s="618" t="s">
        <v>123</v>
      </c>
      <c r="D99" s="236"/>
      <c r="E99" s="236"/>
      <c r="F99" s="570">
        <v>0</v>
      </c>
      <c r="G99" s="571">
        <v>0</v>
      </c>
      <c r="H99" s="572"/>
      <c r="I99" s="571">
        <v>0</v>
      </c>
      <c r="J99" s="571">
        <v>0</v>
      </c>
      <c r="K99" s="180"/>
      <c r="L99" s="181"/>
      <c r="M99" s="209"/>
      <c r="N99" s="231"/>
      <c r="O99" s="183"/>
      <c r="P99" s="574">
        <v>5.4</v>
      </c>
      <c r="Q99" s="575">
        <v>5.4</v>
      </c>
      <c r="R99" s="575"/>
      <c r="S99" s="575">
        <v>0</v>
      </c>
      <c r="T99" s="575">
        <v>0</v>
      </c>
      <c r="U99" s="575"/>
      <c r="V99" s="575"/>
      <c r="W99" s="574"/>
      <c r="X99" s="557"/>
      <c r="Y99" s="574"/>
      <c r="Z99" s="574">
        <v>4.6000000000000014</v>
      </c>
      <c r="AA99" s="575">
        <v>4.6000000000000014</v>
      </c>
      <c r="AB99" s="575"/>
      <c r="AC99" s="575">
        <v>0</v>
      </c>
      <c r="AD99" s="575">
        <v>0</v>
      </c>
      <c r="AE99" s="184"/>
      <c r="AF99" s="184"/>
      <c r="AG99" s="183"/>
    </row>
    <row r="100" spans="1:33" s="84" customFormat="1" ht="18" customHeight="1" x14ac:dyDescent="0.25">
      <c r="A100" s="858" t="s">
        <v>166</v>
      </c>
      <c r="B100" s="808"/>
      <c r="C100" s="820"/>
      <c r="D100" s="237"/>
      <c r="E100" s="238"/>
      <c r="F100" s="570">
        <f>SUM(F97:F99)</f>
        <v>59318.890999999996</v>
      </c>
      <c r="G100" s="571">
        <f>SUM(G97:G99)</f>
        <v>24247.186000000002</v>
      </c>
      <c r="H100" s="571"/>
      <c r="I100" s="571">
        <f>SUM(I97:I99)</f>
        <v>29423.7</v>
      </c>
      <c r="J100" s="571">
        <f>SUM(J97:J99)</f>
        <v>5648.0050000000001</v>
      </c>
      <c r="K100" s="180"/>
      <c r="L100" s="181"/>
      <c r="M100" s="85"/>
      <c r="N100" s="239"/>
      <c r="O100" s="240"/>
      <c r="P100" s="789">
        <f>SUM(P97:P99)</f>
        <v>22773.505040000004</v>
      </c>
      <c r="Q100" s="789">
        <f>SUM(Q97:Q99)</f>
        <v>8957.8457497799973</v>
      </c>
      <c r="R100" s="789"/>
      <c r="S100" s="789">
        <f>SUM(S97:S99)</f>
        <v>12441.08834022</v>
      </c>
      <c r="T100" s="789">
        <f>SUM(T97:T99)</f>
        <v>1374.57095</v>
      </c>
      <c r="U100" s="790"/>
      <c r="V100" s="789"/>
      <c r="W100" s="789"/>
      <c r="X100" s="791"/>
      <c r="Y100" s="792"/>
      <c r="Z100" s="789">
        <f>SUM(Z97:Z99)</f>
        <v>17681.607959999994</v>
      </c>
      <c r="AA100" s="789">
        <f>SUM(AA97:AA99)</f>
        <v>7122.3460382199992</v>
      </c>
      <c r="AB100" s="789"/>
      <c r="AC100" s="789">
        <f>SUM(AC97:AC99)</f>
        <v>9680.4378717800046</v>
      </c>
      <c r="AD100" s="789">
        <f>SUM(AD97:AD99)</f>
        <v>878.82404999999983</v>
      </c>
      <c r="AE100" s="241"/>
      <c r="AF100" s="241"/>
      <c r="AG100" s="241"/>
    </row>
    <row r="101" spans="1:33" ht="13.9" customHeight="1" x14ac:dyDescent="0.25">
      <c r="J101" s="577">
        <f>G100+I100+J100</f>
        <v>59318.890999999996</v>
      </c>
      <c r="U101" s="793"/>
    </row>
    <row r="102" spans="1:33" ht="13.9" customHeight="1" x14ac:dyDescent="0.25">
      <c r="F102" s="576">
        <v>59318.896999999997</v>
      </c>
      <c r="P102" s="794">
        <f>'Annex-II'!AA99</f>
        <v>22773.505040000004</v>
      </c>
      <c r="R102" s="624">
        <v>23.168240686211991</v>
      </c>
      <c r="T102" s="794">
        <f>P100-Q100-S100-T100</f>
        <v>6.5938365878537297E-12</v>
      </c>
      <c r="U102" s="793"/>
      <c r="Z102" s="794">
        <f>'Annex-II'!AD99</f>
        <v>17681.607959999994</v>
      </c>
      <c r="AD102" s="794">
        <f>Z100-AA100-AC100-AD100</f>
        <v>-9.6633812063373625E-12</v>
      </c>
    </row>
    <row r="103" spans="1:33" ht="17.25" customHeight="1" x14ac:dyDescent="0.25">
      <c r="A103" s="162" t="s">
        <v>167</v>
      </c>
      <c r="C103" s="244"/>
      <c r="D103" s="244"/>
      <c r="E103" s="244"/>
      <c r="F103" s="576">
        <f>F100-F102</f>
        <v>-6.0000000012223609E-3</v>
      </c>
      <c r="G103" s="577"/>
      <c r="M103" s="245"/>
      <c r="P103" s="794">
        <f>P100-P102</f>
        <v>0</v>
      </c>
      <c r="U103" s="793"/>
      <c r="Z103" s="794">
        <f>Z100-Z102</f>
        <v>0</v>
      </c>
    </row>
    <row r="104" spans="1:33" x14ac:dyDescent="0.25">
      <c r="F104" s="579">
        <v>59318.896999999997</v>
      </c>
      <c r="U104" s="795"/>
    </row>
    <row r="105" spans="1:33" x14ac:dyDescent="0.25">
      <c r="F105" s="576">
        <f>F104-F100</f>
        <v>6.0000000012223609E-3</v>
      </c>
      <c r="U105" s="795"/>
    </row>
    <row r="106" spans="1:33" ht="15.75" customHeight="1" x14ac:dyDescent="0.25">
      <c r="C106" s="246"/>
      <c r="D106" s="246"/>
      <c r="E106" s="712" t="s">
        <v>11</v>
      </c>
      <c r="F106" s="715" t="s">
        <v>171</v>
      </c>
      <c r="G106" s="716" t="s">
        <v>16</v>
      </c>
      <c r="H106" s="567" t="s">
        <v>17</v>
      </c>
      <c r="I106" s="577"/>
      <c r="J106" s="577"/>
    </row>
    <row r="107" spans="1:33" ht="15.75" customHeight="1" x14ac:dyDescent="0.25">
      <c r="C107" s="246"/>
      <c r="D107" s="714" t="s">
        <v>172</v>
      </c>
      <c r="E107" s="713">
        <f>Revised_2nd!O108</f>
        <v>99773.999999999985</v>
      </c>
      <c r="F107" s="713">
        <f>Revised_2nd!P108</f>
        <v>40327.9</v>
      </c>
      <c r="G107" s="713">
        <f>Revised_2nd!R108</f>
        <v>51544.69999999999</v>
      </c>
      <c r="H107" s="713">
        <f>Revised_2nd!S108</f>
        <v>7901.4</v>
      </c>
    </row>
    <row r="108" spans="1:33" ht="15.75" customHeight="1" x14ac:dyDescent="0.25">
      <c r="C108" s="246"/>
      <c r="D108" s="714" t="s">
        <v>173</v>
      </c>
      <c r="E108" s="713">
        <f>F100</f>
        <v>59318.890999999996</v>
      </c>
      <c r="F108" s="713">
        <f>G100</f>
        <v>24247.186000000002</v>
      </c>
      <c r="G108" s="713">
        <f>I100</f>
        <v>29423.7</v>
      </c>
      <c r="H108" s="713">
        <f>J100</f>
        <v>5648.0050000000001</v>
      </c>
    </row>
    <row r="109" spans="1:33" ht="15.75" customHeight="1" x14ac:dyDescent="0.25">
      <c r="C109" s="246"/>
      <c r="D109" s="714" t="s">
        <v>174</v>
      </c>
      <c r="E109" s="713">
        <f>P100</f>
        <v>22773.505040000004</v>
      </c>
      <c r="F109" s="713">
        <f>Q100</f>
        <v>8957.8457497799973</v>
      </c>
      <c r="G109" s="713">
        <f>S100</f>
        <v>12441.08834022</v>
      </c>
      <c r="H109" s="713">
        <f>T100</f>
        <v>1374.57095</v>
      </c>
    </row>
    <row r="110" spans="1:33" ht="15.75" customHeight="1" x14ac:dyDescent="0.25">
      <c r="C110" s="246"/>
      <c r="D110" s="714" t="s">
        <v>175</v>
      </c>
      <c r="E110" s="713">
        <f>Z100</f>
        <v>17681.607959999994</v>
      </c>
      <c r="F110" s="713">
        <f>AA100</f>
        <v>7122.3460382199992</v>
      </c>
      <c r="G110" s="713">
        <f>AC100</f>
        <v>9680.4378717800046</v>
      </c>
      <c r="H110" s="713">
        <f>AD100</f>
        <v>878.82404999999983</v>
      </c>
    </row>
    <row r="111" spans="1:33" ht="15.75" customHeight="1" x14ac:dyDescent="0.25">
      <c r="C111" s="246"/>
      <c r="D111" s="714" t="s">
        <v>176</v>
      </c>
      <c r="E111" s="713">
        <f>E108+E109+E110</f>
        <v>99774.003999999986</v>
      </c>
      <c r="F111" s="713">
        <f>F108+F109+F110</f>
        <v>40327.377787999998</v>
      </c>
      <c r="G111" s="713">
        <f>G108+G109+G110</f>
        <v>51545.226212000009</v>
      </c>
      <c r="H111" s="713">
        <f>H108+H109+H110</f>
        <v>7901.4000000000005</v>
      </c>
    </row>
    <row r="112" spans="1:33" ht="15" customHeight="1" x14ac:dyDescent="0.25">
      <c r="C112" s="246"/>
      <c r="D112" s="714" t="s">
        <v>96</v>
      </c>
      <c r="E112" s="713">
        <f>E107-E111</f>
        <v>-4.0000000008149073E-3</v>
      </c>
      <c r="F112" s="713">
        <f>F107-F111</f>
        <v>0.52221200000349199</v>
      </c>
      <c r="G112" s="713">
        <f>G107-G111</f>
        <v>-0.52621200001885882</v>
      </c>
      <c r="H112" s="713">
        <f>H107-H111</f>
        <v>0</v>
      </c>
    </row>
    <row r="113" spans="3:6" ht="15.75" customHeight="1" x14ac:dyDescent="0.25">
      <c r="C113" s="246"/>
      <c r="D113" s="246"/>
      <c r="E113" s="246"/>
      <c r="F113" s="578"/>
    </row>
  </sheetData>
  <mergeCells count="47">
    <mergeCell ref="A3:A7"/>
    <mergeCell ref="B3:B7"/>
    <mergeCell ref="C3:C7"/>
    <mergeCell ref="D3:M3"/>
    <mergeCell ref="N3:W3"/>
    <mergeCell ref="P4:W4"/>
    <mergeCell ref="D4:D7"/>
    <mergeCell ref="E4:E7"/>
    <mergeCell ref="F4:M4"/>
    <mergeCell ref="N4:N7"/>
    <mergeCell ref="O4:O7"/>
    <mergeCell ref="F5:F7"/>
    <mergeCell ref="H5:K5"/>
    <mergeCell ref="L5:L7"/>
    <mergeCell ref="M5:M7"/>
    <mergeCell ref="P5:P7"/>
    <mergeCell ref="T1:W1"/>
    <mergeCell ref="S2:W2"/>
    <mergeCell ref="X3:AG3"/>
    <mergeCell ref="AD6:AE6"/>
    <mergeCell ref="AG5:AG7"/>
    <mergeCell ref="V5:V7"/>
    <mergeCell ref="W5:W7"/>
    <mergeCell ref="Z5:Z7"/>
    <mergeCell ref="AA5:AA7"/>
    <mergeCell ref="AB5:AE5"/>
    <mergeCell ref="AF5:AF7"/>
    <mergeCell ref="H6:I6"/>
    <mergeCell ref="J6:K6"/>
    <mergeCell ref="R6:S6"/>
    <mergeCell ref="T6:U6"/>
    <mergeCell ref="AB6:AC6"/>
    <mergeCell ref="Q5:Q7"/>
    <mergeCell ref="R5:U5"/>
    <mergeCell ref="X4:X7"/>
    <mergeCell ref="Y4:Y7"/>
    <mergeCell ref="Z4:AG4"/>
    <mergeCell ref="C71:Q71"/>
    <mergeCell ref="A96:C96"/>
    <mergeCell ref="A97:C97"/>
    <mergeCell ref="A100:C100"/>
    <mergeCell ref="A9:C9"/>
    <mergeCell ref="A57:C57"/>
    <mergeCell ref="C59:Q59"/>
    <mergeCell ref="C62:Q62"/>
    <mergeCell ref="C64:Q64"/>
    <mergeCell ref="C67:Q67"/>
  </mergeCells>
  <printOptions horizontalCentered="1"/>
  <pageMargins left="0.15" right="0.17" top="0.44" bottom="0" header="0.17" footer="0"/>
  <pageSetup paperSize="9" scale="33" firstPageNumber="6" orientation="landscape" useFirstPageNumber="1" r:id="rId1"/>
  <headerFooter alignWithMargins="0">
    <oddFooter>&amp;L                  †  Year 1 is FY 2014-15, Year 2 is FY 2015-16 and Year 3 is FY 2016-17 &amp;C&amp;20 P - &amp;P</oddFooter>
  </headerFooter>
  <rowBreaks count="1" manualBreakCount="1">
    <brk id="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3" workbookViewId="0">
      <selection sqref="A1:E33"/>
    </sheetView>
  </sheetViews>
  <sheetFormatPr defaultRowHeight="15" x14ac:dyDescent="0.25"/>
  <sheetData>
    <row r="1" spans="1:5" x14ac:dyDescent="0.25">
      <c r="A1">
        <v>1.51</v>
      </c>
      <c r="B1">
        <v>1.51</v>
      </c>
      <c r="D1">
        <v>0</v>
      </c>
      <c r="E1">
        <v>0</v>
      </c>
    </row>
    <row r="2" spans="1:5" x14ac:dyDescent="0.25">
      <c r="A2">
        <v>0</v>
      </c>
      <c r="B2">
        <v>0</v>
      </c>
      <c r="D2">
        <v>0</v>
      </c>
      <c r="E2">
        <v>0</v>
      </c>
    </row>
    <row r="3" spans="1:5" x14ac:dyDescent="0.25">
      <c r="A3">
        <v>50.61</v>
      </c>
      <c r="B3">
        <v>50.61</v>
      </c>
      <c r="D3">
        <v>0</v>
      </c>
      <c r="E3">
        <v>0</v>
      </c>
    </row>
    <row r="5" spans="1:5" x14ac:dyDescent="0.25">
      <c r="A5">
        <v>73.53</v>
      </c>
      <c r="B5">
        <v>73.522999999999996</v>
      </c>
      <c r="D5">
        <v>0</v>
      </c>
      <c r="E5">
        <v>0</v>
      </c>
    </row>
    <row r="6" spans="1:5" x14ac:dyDescent="0.25">
      <c r="A6">
        <v>150.88</v>
      </c>
      <c r="B6">
        <v>150.88</v>
      </c>
      <c r="D6">
        <v>0</v>
      </c>
      <c r="E6">
        <v>0</v>
      </c>
    </row>
    <row r="7" spans="1:5" x14ac:dyDescent="0.25">
      <c r="A7">
        <v>1780.35</v>
      </c>
      <c r="B7">
        <v>1780.35</v>
      </c>
      <c r="D7">
        <v>0</v>
      </c>
      <c r="E7">
        <v>0</v>
      </c>
    </row>
    <row r="8" spans="1:5" x14ac:dyDescent="0.25">
      <c r="A8">
        <v>1.25</v>
      </c>
      <c r="B8">
        <v>1.25</v>
      </c>
      <c r="D8">
        <v>0</v>
      </c>
      <c r="E8">
        <v>0</v>
      </c>
    </row>
    <row r="9" spans="1:5" x14ac:dyDescent="0.25">
      <c r="A9">
        <v>1.04</v>
      </c>
      <c r="B9">
        <v>1.04</v>
      </c>
      <c r="D9">
        <v>0</v>
      </c>
      <c r="E9">
        <v>0</v>
      </c>
    </row>
    <row r="10" spans="1:5" x14ac:dyDescent="0.25">
      <c r="A10">
        <v>0.54100000000000004</v>
      </c>
      <c r="B10">
        <v>0.54100000000000004</v>
      </c>
      <c r="D10">
        <v>0</v>
      </c>
      <c r="E10">
        <v>0</v>
      </c>
    </row>
    <row r="11" spans="1:5" x14ac:dyDescent="0.25">
      <c r="A11">
        <v>12.09</v>
      </c>
      <c r="B11">
        <v>12.09</v>
      </c>
      <c r="D11">
        <v>0</v>
      </c>
      <c r="E11">
        <v>0</v>
      </c>
    </row>
    <row r="12" spans="1:5" x14ac:dyDescent="0.25">
      <c r="A12">
        <v>1.67</v>
      </c>
      <c r="B12">
        <v>1.67</v>
      </c>
      <c r="D12">
        <v>0</v>
      </c>
      <c r="E12">
        <v>0</v>
      </c>
    </row>
    <row r="13" spans="1:5" x14ac:dyDescent="0.25">
      <c r="A13">
        <v>11.62</v>
      </c>
      <c r="B13">
        <v>11.62</v>
      </c>
      <c r="D13">
        <v>0</v>
      </c>
      <c r="E13">
        <v>0</v>
      </c>
    </row>
    <row r="14" spans="1:5" x14ac:dyDescent="0.25">
      <c r="A14">
        <v>21.55</v>
      </c>
      <c r="B14">
        <v>21.55</v>
      </c>
      <c r="D14">
        <v>0</v>
      </c>
      <c r="E14">
        <v>0</v>
      </c>
    </row>
    <row r="15" spans="1:5" x14ac:dyDescent="0.25">
      <c r="A15">
        <v>88.76</v>
      </c>
      <c r="B15">
        <v>88.76</v>
      </c>
      <c r="D15">
        <v>0</v>
      </c>
      <c r="E15">
        <v>0</v>
      </c>
    </row>
    <row r="16" spans="1:5" x14ac:dyDescent="0.25">
      <c r="A16">
        <v>2.069</v>
      </c>
      <c r="B16">
        <v>2.0699999999999998</v>
      </c>
      <c r="D16">
        <v>0</v>
      </c>
      <c r="E16">
        <v>0</v>
      </c>
    </row>
    <row r="17" spans="1:5" x14ac:dyDescent="0.25">
      <c r="A17">
        <v>34.664000000000001</v>
      </c>
      <c r="B17">
        <v>34.664000000000001</v>
      </c>
      <c r="D17">
        <v>0</v>
      </c>
      <c r="E17">
        <v>0</v>
      </c>
    </row>
    <row r="18" spans="1:5" x14ac:dyDescent="0.25">
      <c r="A18">
        <v>69.861999999999995</v>
      </c>
      <c r="B18">
        <v>69.861999999999995</v>
      </c>
      <c r="D18">
        <v>0</v>
      </c>
      <c r="E18">
        <v>0</v>
      </c>
    </row>
    <row r="19" spans="1:5" x14ac:dyDescent="0.25">
      <c r="A19">
        <v>0.48</v>
      </c>
      <c r="B19">
        <v>0.48</v>
      </c>
      <c r="D19">
        <v>0</v>
      </c>
      <c r="E19">
        <v>0</v>
      </c>
    </row>
    <row r="21" spans="1:5" x14ac:dyDescent="0.25">
      <c r="A21">
        <v>0</v>
      </c>
      <c r="B21">
        <v>0</v>
      </c>
      <c r="D21">
        <v>0</v>
      </c>
      <c r="E21">
        <v>0</v>
      </c>
    </row>
    <row r="22" spans="1:5" x14ac:dyDescent="0.25">
      <c r="A22">
        <v>323.70999999999998</v>
      </c>
      <c r="B22">
        <v>25.25</v>
      </c>
      <c r="D22">
        <v>298.45999999999998</v>
      </c>
      <c r="E22">
        <v>0</v>
      </c>
    </row>
    <row r="23" spans="1:5" x14ac:dyDescent="0.25">
      <c r="A23">
        <v>1684.75</v>
      </c>
      <c r="B23">
        <v>114.81</v>
      </c>
      <c r="D23">
        <v>1569.94</v>
      </c>
      <c r="E23">
        <v>0</v>
      </c>
    </row>
    <row r="24" spans="1:5" x14ac:dyDescent="0.25">
      <c r="A24">
        <v>661.17</v>
      </c>
      <c r="B24">
        <v>42.58</v>
      </c>
      <c r="D24">
        <v>618.59</v>
      </c>
      <c r="E24">
        <v>0</v>
      </c>
    </row>
    <row r="25" spans="1:5" x14ac:dyDescent="0.25">
      <c r="A25">
        <v>14.45</v>
      </c>
      <c r="B25">
        <v>14.45</v>
      </c>
      <c r="D25">
        <v>0</v>
      </c>
      <c r="E25">
        <v>0</v>
      </c>
    </row>
    <row r="26" spans="1:5" x14ac:dyDescent="0.25">
      <c r="A26">
        <v>6.74</v>
      </c>
      <c r="B26">
        <v>6.74</v>
      </c>
      <c r="D26">
        <v>0</v>
      </c>
      <c r="E26">
        <v>0</v>
      </c>
    </row>
    <row r="27" spans="1:5" x14ac:dyDescent="0.25">
      <c r="A27">
        <v>5648.0050000000001</v>
      </c>
      <c r="B27">
        <v>0</v>
      </c>
      <c r="D27">
        <v>0</v>
      </c>
      <c r="E27">
        <v>5648.0050000000001</v>
      </c>
    </row>
    <row r="28" spans="1:5" x14ac:dyDescent="0.25">
      <c r="A28">
        <v>15.73</v>
      </c>
      <c r="B28">
        <v>15.73</v>
      </c>
      <c r="D28">
        <v>0</v>
      </c>
      <c r="E28">
        <v>0</v>
      </c>
    </row>
    <row r="29" spans="1:5" x14ac:dyDescent="0.25">
      <c r="A29">
        <v>1.7</v>
      </c>
      <c r="B29">
        <v>1.7</v>
      </c>
      <c r="D29">
        <v>0</v>
      </c>
      <c r="E29">
        <v>0</v>
      </c>
    </row>
    <row r="30" spans="1:5" x14ac:dyDescent="0.25">
      <c r="A30">
        <v>1.71</v>
      </c>
      <c r="B30">
        <v>1.71</v>
      </c>
      <c r="D30">
        <v>0</v>
      </c>
      <c r="E30">
        <v>0</v>
      </c>
    </row>
    <row r="31" spans="1:5" x14ac:dyDescent="0.25">
      <c r="A31">
        <v>115.02</v>
      </c>
      <c r="B31">
        <v>115.02</v>
      </c>
      <c r="D31">
        <v>0</v>
      </c>
      <c r="E31">
        <v>0</v>
      </c>
    </row>
    <row r="32" spans="1:5" x14ac:dyDescent="0.25">
      <c r="A32">
        <v>30.469000000000001</v>
      </c>
      <c r="B32">
        <v>30.469000000000001</v>
      </c>
      <c r="D32">
        <v>0</v>
      </c>
      <c r="E32">
        <v>0</v>
      </c>
    </row>
    <row r="33" spans="1:5" x14ac:dyDescent="0.25">
      <c r="A33">
        <v>1175.4100000000001</v>
      </c>
      <c r="B33">
        <v>1175.4100000000001</v>
      </c>
      <c r="D33">
        <v>0</v>
      </c>
      <c r="E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8"/>
  <sheetViews>
    <sheetView view="pageBreakPreview" topLeftCell="W94" zoomScale="130" zoomScaleNormal="100" zoomScaleSheetLayoutView="130" workbookViewId="0">
      <selection activeCell="X99" sqref="X99"/>
    </sheetView>
  </sheetViews>
  <sheetFormatPr defaultColWidth="9.140625" defaultRowHeight="12.75" x14ac:dyDescent="0.25"/>
  <cols>
    <col min="1" max="1" width="8" style="720" customWidth="1"/>
    <col min="2" max="2" width="9.7109375" style="720" customWidth="1"/>
    <col min="3" max="3" width="94.85546875" style="309" customWidth="1"/>
    <col min="4" max="4" width="7.42578125" style="731" customWidth="1"/>
    <col min="5" max="5" width="7.5703125" style="720" customWidth="1"/>
    <col min="6" max="6" width="8.42578125" style="720" customWidth="1"/>
    <col min="7" max="7" width="10.5703125" style="721" customWidth="1"/>
    <col min="8" max="8" width="9.85546875" style="738" customWidth="1"/>
    <col min="9" max="9" width="8.140625" style="684" customWidth="1"/>
    <col min="10" max="10" width="6.7109375" style="721" customWidth="1"/>
    <col min="11" max="11" width="6.85546875" style="738" customWidth="1"/>
    <col min="12" max="12" width="8.42578125" style="684" customWidth="1"/>
    <col min="13" max="13" width="6.7109375" style="721" customWidth="1"/>
    <col min="14" max="14" width="6.85546875" style="738" customWidth="1"/>
    <col min="15" max="15" width="8.42578125" style="691" customWidth="1"/>
    <col min="16" max="16" width="6.7109375" style="721" customWidth="1"/>
    <col min="17" max="17" width="7.28515625" style="738" customWidth="1"/>
    <col min="18" max="18" width="8.42578125" style="684" customWidth="1"/>
    <col min="19" max="19" width="6.7109375" style="721" customWidth="1"/>
    <col min="20" max="20" width="7.85546875" style="738" customWidth="1"/>
    <col min="21" max="21" width="8.42578125" style="684" customWidth="1"/>
    <col min="22" max="22" width="6.7109375" style="721" customWidth="1"/>
    <col min="23" max="23" width="8.140625" style="738" customWidth="1"/>
    <col min="24" max="24" width="8.42578125" style="695" customWidth="1"/>
    <col min="25" max="25" width="6.7109375" style="720" customWidth="1"/>
    <col min="26" max="26" width="8.42578125" style="720" customWidth="1"/>
    <col min="27" max="27" width="8.42578125" style="697" customWidth="1"/>
    <col min="28" max="28" width="6.7109375" style="720" customWidth="1"/>
    <col min="29" max="29" width="7.140625" style="720" customWidth="1"/>
    <col min="30" max="30" width="8.42578125" style="697" customWidth="1"/>
    <col min="31" max="31" width="6.7109375" style="720" customWidth="1"/>
    <col min="32" max="32" width="8.28515625" style="720" customWidth="1"/>
    <col min="33" max="34" width="9.140625" style="720" customWidth="1"/>
    <col min="35" max="35" width="8.140625" style="720" customWidth="1"/>
    <col min="36" max="36" width="10.28515625" style="720" customWidth="1"/>
    <col min="37" max="192" width="9.140625" style="720" customWidth="1"/>
    <col min="193" max="16384" width="9.140625" style="720"/>
  </cols>
  <sheetData>
    <row r="1" spans="1:40" ht="24.75" customHeight="1" x14ac:dyDescent="0.25">
      <c r="A1" s="248" t="s">
        <v>177</v>
      </c>
      <c r="B1" s="248"/>
      <c r="C1" s="248"/>
      <c r="D1" s="248"/>
      <c r="E1" s="248"/>
      <c r="F1" s="248"/>
      <c r="G1" s="248"/>
      <c r="H1" s="248"/>
      <c r="I1" s="677"/>
      <c r="J1" s="248"/>
      <c r="L1" s="677"/>
      <c r="M1" s="248"/>
      <c r="O1" s="685"/>
      <c r="P1" s="248"/>
      <c r="Q1" s="741"/>
      <c r="R1" s="874" t="s">
        <v>178</v>
      </c>
      <c r="S1" s="800"/>
      <c r="T1" s="875"/>
      <c r="Z1" s="741"/>
      <c r="AD1" s="874" t="s">
        <v>178</v>
      </c>
      <c r="AE1" s="797"/>
      <c r="AF1" s="797"/>
    </row>
    <row r="2" spans="1:40" s="742" customFormat="1" ht="16.5" customHeight="1" x14ac:dyDescent="0.2">
      <c r="A2" s="876" t="s">
        <v>179</v>
      </c>
      <c r="B2" s="877"/>
      <c r="C2" s="877"/>
      <c r="D2" s="877"/>
      <c r="E2" s="877"/>
      <c r="F2" s="877"/>
      <c r="G2" s="877"/>
      <c r="H2" s="877"/>
      <c r="I2" s="678"/>
      <c r="J2" s="249"/>
      <c r="K2" s="249"/>
      <c r="L2" s="678"/>
      <c r="M2" s="249"/>
      <c r="N2" s="249"/>
      <c r="O2" s="686"/>
      <c r="P2" s="250"/>
      <c r="Q2" s="250"/>
      <c r="R2" s="692"/>
      <c r="S2" s="250"/>
      <c r="T2" s="250"/>
      <c r="U2" s="692"/>
      <c r="V2" s="250"/>
      <c r="W2" s="250"/>
      <c r="X2" s="696"/>
      <c r="AA2" s="447"/>
      <c r="AD2" s="447"/>
    </row>
    <row r="3" spans="1:40" s="742" customFormat="1" ht="14.25" customHeight="1" x14ac:dyDescent="0.25">
      <c r="A3" s="878" t="s">
        <v>180</v>
      </c>
      <c r="B3" s="813"/>
      <c r="C3" s="813"/>
      <c r="D3" s="813"/>
      <c r="E3" s="813"/>
      <c r="F3" s="813"/>
      <c r="G3" s="813"/>
      <c r="H3" s="813"/>
      <c r="I3" s="448"/>
      <c r="J3" s="252"/>
      <c r="K3" s="423"/>
      <c r="L3" s="448"/>
      <c r="M3" s="252"/>
      <c r="N3" s="423"/>
      <c r="O3" s="687"/>
      <c r="P3" s="252"/>
      <c r="Q3" s="253"/>
      <c r="R3" s="693"/>
      <c r="S3" s="252"/>
      <c r="T3" s="253"/>
      <c r="U3" s="448"/>
      <c r="V3" s="251"/>
      <c r="W3" s="423"/>
      <c r="X3" s="696"/>
      <c r="Z3" s="253"/>
      <c r="AA3" s="447"/>
      <c r="AD3" s="447"/>
      <c r="AF3" s="253"/>
    </row>
    <row r="4" spans="1:40" s="742" customFormat="1" ht="16.5" customHeight="1" x14ac:dyDescent="0.25">
      <c r="A4" s="873" t="s">
        <v>2</v>
      </c>
      <c r="B4" s="873" t="s">
        <v>181</v>
      </c>
      <c r="C4" s="873" t="s">
        <v>182</v>
      </c>
      <c r="D4" s="879" t="s">
        <v>183</v>
      </c>
      <c r="E4" s="808"/>
      <c r="F4" s="808"/>
      <c r="G4" s="808"/>
      <c r="H4" s="820"/>
      <c r="I4" s="873" t="s">
        <v>184</v>
      </c>
      <c r="J4" s="808"/>
      <c r="K4" s="820"/>
      <c r="L4" s="873" t="s">
        <v>185</v>
      </c>
      <c r="M4" s="808"/>
      <c r="N4" s="820"/>
      <c r="O4" s="873" t="s">
        <v>186</v>
      </c>
      <c r="P4" s="808"/>
      <c r="Q4" s="820"/>
      <c r="R4" s="873" t="s">
        <v>187</v>
      </c>
      <c r="S4" s="808"/>
      <c r="T4" s="820"/>
      <c r="U4" s="873" t="s">
        <v>188</v>
      </c>
      <c r="V4" s="808"/>
      <c r="W4" s="820"/>
      <c r="X4" s="873" t="s">
        <v>189</v>
      </c>
      <c r="Y4" s="808"/>
      <c r="Z4" s="820"/>
      <c r="AA4" s="873" t="s">
        <v>137</v>
      </c>
      <c r="AB4" s="808"/>
      <c r="AC4" s="820"/>
      <c r="AD4" s="873" t="s">
        <v>170</v>
      </c>
      <c r="AE4" s="808"/>
      <c r="AF4" s="820"/>
    </row>
    <row r="5" spans="1:40" s="742" customFormat="1" ht="12.75" customHeight="1" x14ac:dyDescent="0.25">
      <c r="A5" s="804"/>
      <c r="B5" s="804"/>
      <c r="C5" s="804"/>
      <c r="D5" s="873" t="s">
        <v>8</v>
      </c>
      <c r="E5" s="873" t="s">
        <v>190</v>
      </c>
      <c r="F5" s="873" t="s">
        <v>191</v>
      </c>
      <c r="G5" s="881" t="s">
        <v>192</v>
      </c>
      <c r="H5" s="882" t="s">
        <v>193</v>
      </c>
      <c r="I5" s="880" t="s">
        <v>194</v>
      </c>
      <c r="J5" s="873" t="s">
        <v>195</v>
      </c>
      <c r="K5" s="820"/>
      <c r="L5" s="880" t="s">
        <v>194</v>
      </c>
      <c r="M5" s="873" t="s">
        <v>195</v>
      </c>
      <c r="N5" s="820"/>
      <c r="O5" s="880" t="s">
        <v>194</v>
      </c>
      <c r="P5" s="873" t="s">
        <v>195</v>
      </c>
      <c r="Q5" s="820"/>
      <c r="R5" s="880" t="s">
        <v>194</v>
      </c>
      <c r="S5" s="873" t="s">
        <v>195</v>
      </c>
      <c r="T5" s="820"/>
      <c r="U5" s="880" t="s">
        <v>194</v>
      </c>
      <c r="V5" s="873" t="s">
        <v>195</v>
      </c>
      <c r="W5" s="820"/>
      <c r="X5" s="880" t="s">
        <v>194</v>
      </c>
      <c r="Y5" s="873" t="s">
        <v>195</v>
      </c>
      <c r="Z5" s="820"/>
      <c r="AA5" s="880" t="s">
        <v>194</v>
      </c>
      <c r="AB5" s="873" t="s">
        <v>195</v>
      </c>
      <c r="AC5" s="820"/>
      <c r="AD5" s="880" t="s">
        <v>194</v>
      </c>
      <c r="AE5" s="873" t="s">
        <v>195</v>
      </c>
      <c r="AF5" s="820"/>
    </row>
    <row r="6" spans="1:40" s="742" customFormat="1" ht="42.75" customHeight="1" x14ac:dyDescent="0.25">
      <c r="A6" s="805"/>
      <c r="B6" s="805"/>
      <c r="C6" s="805"/>
      <c r="D6" s="805"/>
      <c r="E6" s="805"/>
      <c r="F6" s="805"/>
      <c r="G6" s="805"/>
      <c r="H6" s="805"/>
      <c r="I6" s="805"/>
      <c r="J6" s="254" t="s">
        <v>196</v>
      </c>
      <c r="K6" s="424" t="s">
        <v>197</v>
      </c>
      <c r="L6" s="805"/>
      <c r="M6" s="254" t="s">
        <v>196</v>
      </c>
      <c r="N6" s="424" t="s">
        <v>197</v>
      </c>
      <c r="O6" s="805"/>
      <c r="P6" s="254" t="s">
        <v>196</v>
      </c>
      <c r="Q6" s="424" t="s">
        <v>197</v>
      </c>
      <c r="R6" s="805"/>
      <c r="S6" s="254" t="s">
        <v>196</v>
      </c>
      <c r="T6" s="424" t="s">
        <v>197</v>
      </c>
      <c r="U6" s="805"/>
      <c r="V6" s="254" t="s">
        <v>196</v>
      </c>
      <c r="W6" s="424" t="s">
        <v>197</v>
      </c>
      <c r="X6" s="805"/>
      <c r="Y6" s="254" t="s">
        <v>196</v>
      </c>
      <c r="Z6" s="424" t="s">
        <v>197</v>
      </c>
      <c r="AA6" s="805"/>
      <c r="AB6" s="254" t="s">
        <v>196</v>
      </c>
      <c r="AC6" s="424" t="s">
        <v>197</v>
      </c>
      <c r="AD6" s="805"/>
      <c r="AE6" s="254" t="s">
        <v>196</v>
      </c>
      <c r="AF6" s="424" t="s">
        <v>197</v>
      </c>
    </row>
    <row r="7" spans="1:40" s="742" customFormat="1" ht="12.75" customHeight="1" x14ac:dyDescent="0.25">
      <c r="A7" s="255">
        <v>1</v>
      </c>
      <c r="B7" s="256">
        <v>2</v>
      </c>
      <c r="C7" s="257">
        <v>3</v>
      </c>
      <c r="D7" s="739">
        <v>4</v>
      </c>
      <c r="E7" s="739">
        <v>5</v>
      </c>
      <c r="F7" s="739">
        <v>6</v>
      </c>
      <c r="G7" s="258">
        <v>7</v>
      </c>
      <c r="H7" s="258">
        <v>8</v>
      </c>
      <c r="I7" s="679">
        <v>9</v>
      </c>
      <c r="J7" s="259">
        <v>10</v>
      </c>
      <c r="K7" s="259">
        <v>11</v>
      </c>
      <c r="L7" s="679">
        <v>12</v>
      </c>
      <c r="M7" s="259">
        <v>13</v>
      </c>
      <c r="N7" s="259">
        <v>14</v>
      </c>
      <c r="O7" s="679">
        <v>15</v>
      </c>
      <c r="P7" s="259">
        <v>16</v>
      </c>
      <c r="Q7" s="259">
        <v>17</v>
      </c>
      <c r="R7" s="679">
        <v>18</v>
      </c>
      <c r="S7" s="259">
        <v>19</v>
      </c>
      <c r="T7" s="259">
        <v>20</v>
      </c>
      <c r="U7" s="679">
        <v>21</v>
      </c>
      <c r="V7" s="259">
        <v>22</v>
      </c>
      <c r="W7" s="259">
        <v>23</v>
      </c>
      <c r="X7" s="679">
        <v>24</v>
      </c>
      <c r="Y7" s="259">
        <v>25</v>
      </c>
      <c r="Z7" s="259">
        <v>26</v>
      </c>
      <c r="AA7" s="679">
        <v>27</v>
      </c>
      <c r="AB7" s="259">
        <v>28</v>
      </c>
      <c r="AC7" s="259">
        <v>29</v>
      </c>
      <c r="AD7" s="679">
        <v>30</v>
      </c>
      <c r="AE7" s="259">
        <v>31</v>
      </c>
      <c r="AF7" s="259">
        <v>32</v>
      </c>
    </row>
    <row r="8" spans="1:40" s="742" customFormat="1" ht="10.5" customHeight="1" x14ac:dyDescent="0.25">
      <c r="A8" s="260" t="s">
        <v>20</v>
      </c>
      <c r="B8" s="261"/>
      <c r="C8" s="262"/>
      <c r="D8" s="98"/>
      <c r="E8" s="98"/>
      <c r="F8" s="98"/>
      <c r="G8" s="98"/>
      <c r="H8" s="98"/>
      <c r="I8" s="680"/>
      <c r="J8" s="98"/>
      <c r="K8" s="263"/>
      <c r="L8" s="680"/>
      <c r="M8" s="98"/>
      <c r="N8" s="263"/>
      <c r="O8" s="688"/>
      <c r="P8" s="98"/>
      <c r="Q8" s="263"/>
      <c r="R8" s="694"/>
      <c r="S8" s="98"/>
      <c r="T8" s="263"/>
      <c r="U8" s="694"/>
      <c r="V8" s="98"/>
      <c r="W8" s="263"/>
      <c r="X8" s="688"/>
      <c r="Y8" s="98"/>
      <c r="Z8" s="263"/>
      <c r="AA8" s="694"/>
      <c r="AB8" s="98"/>
      <c r="AC8" s="263"/>
      <c r="AD8" s="694"/>
      <c r="AE8" s="98"/>
      <c r="AF8" s="263"/>
    </row>
    <row r="9" spans="1:40" s="742" customFormat="1" ht="14.25" customHeight="1" x14ac:dyDescent="0.25">
      <c r="A9" s="264"/>
      <c r="B9" s="265"/>
      <c r="C9" s="266" t="s">
        <v>21</v>
      </c>
      <c r="D9" s="267"/>
      <c r="E9" s="175"/>
      <c r="F9" s="268"/>
      <c r="G9" s="233"/>
      <c r="H9" s="425"/>
      <c r="I9" s="681"/>
      <c r="J9" s="233"/>
      <c r="K9" s="425"/>
      <c r="L9" s="681"/>
      <c r="M9" s="233"/>
      <c r="N9" s="425"/>
      <c r="O9" s="689"/>
      <c r="P9" s="269"/>
      <c r="Q9" s="425"/>
      <c r="R9" s="681"/>
      <c r="S9" s="269"/>
      <c r="T9" s="425"/>
      <c r="U9" s="681"/>
      <c r="V9" s="269"/>
      <c r="W9" s="425"/>
      <c r="X9" s="689"/>
      <c r="Y9" s="269"/>
      <c r="Z9" s="425"/>
      <c r="AA9" s="681"/>
      <c r="AB9" s="269"/>
      <c r="AC9" s="425"/>
      <c r="AD9" s="681"/>
      <c r="AE9" s="269"/>
      <c r="AF9" s="425"/>
      <c r="AG9" s="251"/>
    </row>
    <row r="10" spans="1:40" s="742" customFormat="1" ht="14.25" customHeight="1" x14ac:dyDescent="0.25">
      <c r="A10" s="264"/>
      <c r="B10" s="270">
        <v>3111302</v>
      </c>
      <c r="C10" s="271" t="s">
        <v>22</v>
      </c>
      <c r="D10" s="169" t="s">
        <v>122</v>
      </c>
      <c r="E10" s="272">
        <v>5</v>
      </c>
      <c r="F10" s="273" t="s">
        <v>23</v>
      </c>
      <c r="G10" s="626">
        <v>5</v>
      </c>
      <c r="H10" s="425">
        <v>5.0000000000000002E-5</v>
      </c>
      <c r="I10" s="681">
        <v>0</v>
      </c>
      <c r="J10" s="233">
        <f>I10/G10*100</f>
        <v>0</v>
      </c>
      <c r="K10" s="425">
        <f>J10*$H10</f>
        <v>0</v>
      </c>
      <c r="L10" s="681">
        <v>0.3</v>
      </c>
      <c r="M10" s="233">
        <f>L10/G10*100</f>
        <v>6</v>
      </c>
      <c r="N10" s="425">
        <f>M10*$H10</f>
        <v>3.0000000000000003E-4</v>
      </c>
      <c r="O10" s="689">
        <v>0.13</v>
      </c>
      <c r="P10" s="269">
        <f>O10/G10*100</f>
        <v>2.6</v>
      </c>
      <c r="Q10" s="425">
        <f>P10*$H10</f>
        <v>1.3000000000000002E-4</v>
      </c>
      <c r="R10" s="681">
        <v>0.28000000000000003</v>
      </c>
      <c r="S10" s="269">
        <f>R10/G10*100</f>
        <v>5.6000000000000005</v>
      </c>
      <c r="T10" s="425">
        <f>S10*$H10</f>
        <v>2.8000000000000003E-4</v>
      </c>
      <c r="U10" s="681">
        <v>0.3</v>
      </c>
      <c r="V10" s="269">
        <f>U10/G10*100</f>
        <v>6</v>
      </c>
      <c r="W10" s="425">
        <f>V10*$H10</f>
        <v>3.0000000000000003E-4</v>
      </c>
      <c r="X10" s="689">
        <v>0.5</v>
      </c>
      <c r="Y10" s="269">
        <f>X10/G10*100</f>
        <v>10</v>
      </c>
      <c r="Z10" s="425">
        <f>Y10*$H10</f>
        <v>5.0000000000000001E-4</v>
      </c>
      <c r="AA10" s="681">
        <v>2.0242</v>
      </c>
      <c r="AB10" s="269">
        <f>AA10/G10*100</f>
        <v>40.483999999999995</v>
      </c>
      <c r="AC10" s="425">
        <f>AB10*$H10</f>
        <v>2.0241999999999999E-3</v>
      </c>
      <c r="AD10" s="681">
        <v>1.4658</v>
      </c>
      <c r="AE10" s="269">
        <f>AD10/G10*100</f>
        <v>29.315999999999999</v>
      </c>
      <c r="AF10" s="425">
        <f>AE10*$H10</f>
        <v>1.4658E-3</v>
      </c>
      <c r="AG10" s="251">
        <f>SUM(AE10+AB10+Y10+V10+S10+P10+M10+J10)</f>
        <v>99.999999999999986</v>
      </c>
      <c r="AH10" s="423">
        <f>N10+Q10+T10+W10+Z10+AC10+AF10</f>
        <v>5.0000000000000001E-3</v>
      </c>
      <c r="AI10" s="742">
        <f>ROW(AH10)</f>
        <v>10</v>
      </c>
      <c r="AM10" s="251">
        <f t="shared" ref="AM10:AM41" si="0">SUM(I10,L10,O10,R10,U10,X10,AA10,AD10)</f>
        <v>5</v>
      </c>
      <c r="AN10" s="251">
        <f t="shared" ref="AN10:AN41" si="1">AM10-G10</f>
        <v>0</v>
      </c>
    </row>
    <row r="11" spans="1:40" s="742" customFormat="1" ht="14.25" customHeight="1" x14ac:dyDescent="0.25">
      <c r="A11" s="264"/>
      <c r="B11" s="270">
        <v>3111327</v>
      </c>
      <c r="C11" s="271" t="s">
        <v>24</v>
      </c>
      <c r="D11" s="169" t="s">
        <v>122</v>
      </c>
      <c r="E11" s="272">
        <v>10</v>
      </c>
      <c r="F11" s="273" t="s">
        <v>23</v>
      </c>
      <c r="G11" s="626">
        <v>10</v>
      </c>
      <c r="H11" s="425">
        <v>1E-4</v>
      </c>
      <c r="I11" s="681">
        <v>0</v>
      </c>
      <c r="J11" s="233">
        <f>I11/E11</f>
        <v>0</v>
      </c>
      <c r="K11" s="425">
        <f>J11*$H11</f>
        <v>0</v>
      </c>
      <c r="L11" s="681">
        <v>0</v>
      </c>
      <c r="M11" s="233">
        <f>L11/G11*100</f>
        <v>0</v>
      </c>
      <c r="N11" s="425">
        <f>M11*$H11</f>
        <v>0</v>
      </c>
      <c r="O11" s="689">
        <v>0</v>
      </c>
      <c r="P11" s="269">
        <f>O11/G11*100</f>
        <v>0</v>
      </c>
      <c r="Q11" s="425">
        <f>P11*$H11</f>
        <v>0</v>
      </c>
      <c r="R11" s="681">
        <v>0</v>
      </c>
      <c r="S11" s="269">
        <f>R11/G11*100</f>
        <v>0</v>
      </c>
      <c r="T11" s="425">
        <f>S11*$H11</f>
        <v>0</v>
      </c>
      <c r="U11" s="681">
        <v>0</v>
      </c>
      <c r="V11" s="269">
        <f>U11/G11*100</f>
        <v>0</v>
      </c>
      <c r="W11" s="425">
        <f>V11*$H11</f>
        <v>0</v>
      </c>
      <c r="X11" s="689">
        <v>0</v>
      </c>
      <c r="Y11" s="269">
        <f>X11/G11*100</f>
        <v>0</v>
      </c>
      <c r="Z11" s="425">
        <f>Y11*$H11</f>
        <v>0</v>
      </c>
      <c r="AA11" s="681">
        <v>6.3</v>
      </c>
      <c r="AB11" s="269">
        <f>AA11/G11*100</f>
        <v>63</v>
      </c>
      <c r="AC11" s="425">
        <f>AB11*$H11</f>
        <v>6.3E-3</v>
      </c>
      <c r="AD11" s="681">
        <v>3.7</v>
      </c>
      <c r="AE11" s="269">
        <f>AD11/G11*100</f>
        <v>37</v>
      </c>
      <c r="AF11" s="425">
        <f>AE11*$H11</f>
        <v>3.7000000000000002E-3</v>
      </c>
      <c r="AG11" s="251">
        <f>SUM(AE11+AB11+Y11+V11+S11+P11+M11+J11)</f>
        <v>100</v>
      </c>
      <c r="AH11" s="423">
        <f>N11+Q11+T11+W11+Z11+AC11+AF11</f>
        <v>0.01</v>
      </c>
      <c r="AI11" s="742">
        <f>ROW(AH11)</f>
        <v>11</v>
      </c>
      <c r="AM11" s="251">
        <f t="shared" si="0"/>
        <v>10</v>
      </c>
      <c r="AN11" s="251">
        <f t="shared" si="1"/>
        <v>0</v>
      </c>
    </row>
    <row r="12" spans="1:40" s="742" customFormat="1" ht="14.25" customHeight="1" x14ac:dyDescent="0.25">
      <c r="A12" s="264"/>
      <c r="B12" s="270">
        <v>3111338</v>
      </c>
      <c r="C12" s="271" t="s">
        <v>25</v>
      </c>
      <c r="D12" s="169" t="s">
        <v>122</v>
      </c>
      <c r="E12" s="272">
        <v>140</v>
      </c>
      <c r="F12" s="273" t="s">
        <v>23</v>
      </c>
      <c r="G12" s="626">
        <v>140</v>
      </c>
      <c r="H12" s="425">
        <v>1.4E-3</v>
      </c>
      <c r="I12" s="681">
        <v>0</v>
      </c>
      <c r="J12" s="233">
        <f>I12/G12*100</f>
        <v>0</v>
      </c>
      <c r="K12" s="425">
        <f>J12*$H12</f>
        <v>0</v>
      </c>
      <c r="L12" s="681">
        <v>0</v>
      </c>
      <c r="M12" s="233">
        <f>L12/G12*100</f>
        <v>0</v>
      </c>
      <c r="N12" s="425">
        <f>M12*$H12</f>
        <v>0</v>
      </c>
      <c r="O12" s="689">
        <v>0</v>
      </c>
      <c r="P12" s="269">
        <f>O12/G12*100</f>
        <v>0</v>
      </c>
      <c r="Q12" s="425">
        <f>P12*$H12</f>
        <v>0</v>
      </c>
      <c r="R12" s="681">
        <v>25</v>
      </c>
      <c r="S12" s="269">
        <f>R12/G12*100</f>
        <v>17.857142857142858</v>
      </c>
      <c r="T12" s="425">
        <f>S12*$H12</f>
        <v>2.5000000000000001E-2</v>
      </c>
      <c r="U12" s="681">
        <v>11.61</v>
      </c>
      <c r="V12" s="269">
        <f>U12/G12*100</f>
        <v>8.2928571428571427</v>
      </c>
      <c r="W12" s="425">
        <f>V12*$H12</f>
        <v>1.1610000000000001E-2</v>
      </c>
      <c r="X12" s="689">
        <v>14</v>
      </c>
      <c r="Y12" s="269">
        <f>X12/G12*100</f>
        <v>10</v>
      </c>
      <c r="Z12" s="425">
        <f>Y12*$H12</f>
        <v>1.4E-2</v>
      </c>
      <c r="AA12" s="681">
        <v>53.634</v>
      </c>
      <c r="AB12" s="269">
        <f>AA12/G12*100</f>
        <v>38.31</v>
      </c>
      <c r="AC12" s="425">
        <f>AB12*$H12</f>
        <v>5.3634000000000001E-2</v>
      </c>
      <c r="AD12" s="681">
        <v>35.756</v>
      </c>
      <c r="AE12" s="269">
        <f>AD12/G12*100</f>
        <v>25.540000000000003</v>
      </c>
      <c r="AF12" s="425">
        <f>AE12*$H12</f>
        <v>3.5756000000000003E-2</v>
      </c>
      <c r="AG12" s="251">
        <f>SUM(AE12+AB12+Y12+V12+S12+P12+M12+J12)</f>
        <v>100.00000000000001</v>
      </c>
      <c r="AH12" s="423">
        <f>N12+Q12+T12+W12+Z12+AC12+AF12</f>
        <v>0.14000000000000001</v>
      </c>
      <c r="AI12" s="742">
        <f>ROW(AH12)</f>
        <v>12</v>
      </c>
      <c r="AM12" s="251">
        <f t="shared" si="0"/>
        <v>140</v>
      </c>
      <c r="AN12" s="251">
        <f t="shared" si="1"/>
        <v>0</v>
      </c>
    </row>
    <row r="13" spans="1:40" s="742" customFormat="1" ht="14.25" customHeight="1" x14ac:dyDescent="0.25">
      <c r="A13" s="264"/>
      <c r="B13" s="265"/>
      <c r="C13" s="266" t="s">
        <v>144</v>
      </c>
      <c r="D13" s="169"/>
      <c r="E13" s="272"/>
      <c r="F13" s="273"/>
      <c r="G13" s="626"/>
      <c r="H13" s="425"/>
      <c r="I13" s="681"/>
      <c r="J13" s="233"/>
      <c r="K13" s="425"/>
      <c r="L13" s="681"/>
      <c r="M13" s="233"/>
      <c r="N13" s="425"/>
      <c r="O13" s="689"/>
      <c r="P13" s="269"/>
      <c r="Q13" s="425"/>
      <c r="R13" s="681"/>
      <c r="S13" s="269"/>
      <c r="T13" s="425"/>
      <c r="U13" s="681"/>
      <c r="V13" s="269"/>
      <c r="W13" s="425"/>
      <c r="X13" s="689"/>
      <c r="Y13" s="269"/>
      <c r="Z13" s="425"/>
      <c r="AA13" s="681"/>
      <c r="AB13" s="269"/>
      <c r="AC13" s="425"/>
      <c r="AD13" s="681"/>
      <c r="AE13" s="269"/>
      <c r="AF13" s="425"/>
      <c r="AG13" s="251"/>
      <c r="AM13" s="251">
        <f t="shared" si="0"/>
        <v>0</v>
      </c>
      <c r="AN13" s="251">
        <f t="shared" si="1"/>
        <v>0</v>
      </c>
    </row>
    <row r="14" spans="1:40" s="742" customFormat="1" ht="17.25" customHeight="1" x14ac:dyDescent="0.25">
      <c r="A14" s="264"/>
      <c r="B14" s="270">
        <v>3241101</v>
      </c>
      <c r="C14" s="271" t="s">
        <v>27</v>
      </c>
      <c r="D14" s="169" t="s">
        <v>122</v>
      </c>
      <c r="E14" s="272">
        <v>120</v>
      </c>
      <c r="F14" s="273" t="s">
        <v>23</v>
      </c>
      <c r="G14" s="626">
        <v>120</v>
      </c>
      <c r="H14" s="425">
        <v>1.1999999999999999E-3</v>
      </c>
      <c r="I14" s="681">
        <v>0.99</v>
      </c>
      <c r="J14" s="233">
        <f t="shared" ref="J14:J28" si="2">I14/G14*100</f>
        <v>0.82500000000000007</v>
      </c>
      <c r="K14" s="425">
        <f t="shared" ref="K14:K28" si="3">J14*$H14</f>
        <v>9.8999999999999999E-4</v>
      </c>
      <c r="L14" s="681">
        <v>11.92</v>
      </c>
      <c r="M14" s="233">
        <f t="shared" ref="M14:M28" si="4">L14/G14*100</f>
        <v>9.9333333333333336</v>
      </c>
      <c r="N14" s="425">
        <f t="shared" ref="N14:N28" si="5">M14*$H14</f>
        <v>1.192E-2</v>
      </c>
      <c r="O14" s="689">
        <v>14.98</v>
      </c>
      <c r="P14" s="269">
        <f t="shared" ref="P14:P28" si="6">O14/G14*100</f>
        <v>12.483333333333334</v>
      </c>
      <c r="Q14" s="425">
        <f t="shared" ref="Q14:Q28" si="7">P14*$H14</f>
        <v>1.498E-2</v>
      </c>
      <c r="R14" s="681">
        <v>17.96</v>
      </c>
      <c r="S14" s="269">
        <f t="shared" ref="S14:S28" si="8">R14/G14*100</f>
        <v>14.966666666666667</v>
      </c>
      <c r="T14" s="425">
        <f t="shared" ref="T14:T28" si="9">S14*$H14</f>
        <v>1.796E-2</v>
      </c>
      <c r="U14" s="681">
        <v>12.7</v>
      </c>
      <c r="V14" s="269">
        <f t="shared" ref="V14:V28" si="10">U14/G14*100</f>
        <v>10.583333333333332</v>
      </c>
      <c r="W14" s="425">
        <f t="shared" ref="W14:W28" si="11">V14*$H14</f>
        <v>1.2699999999999998E-2</v>
      </c>
      <c r="X14" s="689">
        <v>14.97</v>
      </c>
      <c r="Y14" s="269">
        <f t="shared" ref="Y14:Y28" si="12">X14/G14*100</f>
        <v>12.475</v>
      </c>
      <c r="Z14" s="425">
        <f t="shared" ref="Z14:Z28" si="13">Y14*$H14</f>
        <v>1.4969999999999999E-2</v>
      </c>
      <c r="AA14" s="681">
        <v>28.817599999999999</v>
      </c>
      <c r="AB14" s="269">
        <f t="shared" ref="AB14:AB28" si="14">AA14/G14*100</f>
        <v>24.014666666666663</v>
      </c>
      <c r="AC14" s="425">
        <f t="shared" ref="AC14:AC28" si="15">AB14*$H14</f>
        <v>2.8817599999999992E-2</v>
      </c>
      <c r="AD14" s="681">
        <v>17.662400000000002</v>
      </c>
      <c r="AE14" s="269">
        <f t="shared" ref="AE14:AE28" si="16">AD14/G14*100</f>
        <v>14.718666666666669</v>
      </c>
      <c r="AF14" s="425">
        <f t="shared" ref="AF14:AF28" si="17">AE14*$H14</f>
        <v>1.7662400000000002E-2</v>
      </c>
      <c r="AG14" s="251">
        <f t="shared" ref="AG14:AG28" si="18">SUM(AE14+AB14+Y14+V14+S14+P14+M14+J14)</f>
        <v>100.00000000000001</v>
      </c>
      <c r="AH14" s="423">
        <f t="shared" ref="AH14:AH28" si="19">N14+Q14+T14+W14+Z14+AC14+AF14</f>
        <v>0.11900999999999998</v>
      </c>
      <c r="AI14" s="742">
        <f t="shared" ref="AI14:AI28" si="20">ROW(AH14)</f>
        <v>14</v>
      </c>
      <c r="AM14" s="251">
        <f t="shared" si="0"/>
        <v>120</v>
      </c>
      <c r="AN14" s="251">
        <f t="shared" si="1"/>
        <v>0</v>
      </c>
    </row>
    <row r="15" spans="1:40" s="742" customFormat="1" ht="15.75" customHeight="1" x14ac:dyDescent="0.25">
      <c r="A15" s="264"/>
      <c r="B15" s="270">
        <v>3211129</v>
      </c>
      <c r="C15" s="271" t="s">
        <v>28</v>
      </c>
      <c r="D15" s="169" t="s">
        <v>198</v>
      </c>
      <c r="E15" s="272">
        <v>245</v>
      </c>
      <c r="F15" s="273" t="s">
        <v>23</v>
      </c>
      <c r="G15" s="626">
        <v>245</v>
      </c>
      <c r="H15" s="425">
        <v>2.4599999999999999E-3</v>
      </c>
      <c r="I15" s="681">
        <v>0</v>
      </c>
      <c r="J15" s="233">
        <f t="shared" si="2"/>
        <v>0</v>
      </c>
      <c r="K15" s="425">
        <f t="shared" si="3"/>
        <v>0</v>
      </c>
      <c r="L15" s="681">
        <v>16.25</v>
      </c>
      <c r="M15" s="233">
        <f t="shared" si="4"/>
        <v>6.6326530612244898</v>
      </c>
      <c r="N15" s="425">
        <f t="shared" si="5"/>
        <v>1.6316326530612244E-2</v>
      </c>
      <c r="O15" s="689">
        <v>31.35</v>
      </c>
      <c r="P15" s="269">
        <f t="shared" si="6"/>
        <v>12.795918367346939</v>
      </c>
      <c r="Q15" s="425">
        <f t="shared" si="7"/>
        <v>3.1477959183673472E-2</v>
      </c>
      <c r="R15" s="681">
        <v>34.86</v>
      </c>
      <c r="S15" s="269">
        <f t="shared" si="8"/>
        <v>14.22857142857143</v>
      </c>
      <c r="T15" s="425">
        <f t="shared" si="9"/>
        <v>3.5002285714285715E-2</v>
      </c>
      <c r="U15" s="681">
        <v>34.21</v>
      </c>
      <c r="V15" s="269">
        <f t="shared" si="10"/>
        <v>13.96326530612245</v>
      </c>
      <c r="W15" s="425">
        <f t="shared" si="11"/>
        <v>3.4349632653061228E-2</v>
      </c>
      <c r="X15" s="689">
        <v>34.21</v>
      </c>
      <c r="Y15" s="269">
        <f t="shared" si="12"/>
        <v>13.96326530612245</v>
      </c>
      <c r="Z15" s="425">
        <f t="shared" si="13"/>
        <v>3.4349632653061228E-2</v>
      </c>
      <c r="AA15" s="681">
        <v>58.354399999999977</v>
      </c>
      <c r="AB15" s="269">
        <f t="shared" si="14"/>
        <v>23.81812244897958</v>
      </c>
      <c r="AC15" s="425">
        <f t="shared" si="15"/>
        <v>5.8592581224489765E-2</v>
      </c>
      <c r="AD15" s="681">
        <v>35.765599999999992</v>
      </c>
      <c r="AE15" s="269">
        <f t="shared" si="16"/>
        <v>14.598204081632648</v>
      </c>
      <c r="AF15" s="425">
        <f t="shared" si="17"/>
        <v>3.5911582040816313E-2</v>
      </c>
      <c r="AG15" s="251">
        <f t="shared" si="18"/>
        <v>99.999999999999986</v>
      </c>
      <c r="AH15" s="423">
        <f t="shared" si="19"/>
        <v>0.246</v>
      </c>
      <c r="AI15" s="742">
        <f t="shared" si="20"/>
        <v>15</v>
      </c>
      <c r="AJ15" s="251">
        <f>I15+L15+O15+R15+U15+X15+AA15+AD15</f>
        <v>245</v>
      </c>
      <c r="AK15" s="251">
        <f>J15+M15+P15+S15+V15+Y15+AB15+AE15</f>
        <v>99.999999999999986</v>
      </c>
      <c r="AM15" s="251">
        <f t="shared" si="0"/>
        <v>245</v>
      </c>
      <c r="AN15" s="251">
        <f t="shared" si="1"/>
        <v>0</v>
      </c>
    </row>
    <row r="16" spans="1:40" s="742" customFormat="1" ht="16.5" customHeight="1" x14ac:dyDescent="0.25">
      <c r="A16" s="264"/>
      <c r="B16" s="270">
        <v>3821103</v>
      </c>
      <c r="C16" s="271" t="s">
        <v>29</v>
      </c>
      <c r="D16" s="169" t="s">
        <v>122</v>
      </c>
      <c r="E16" s="272">
        <v>2874.35</v>
      </c>
      <c r="F16" s="273" t="s">
        <v>23</v>
      </c>
      <c r="G16" s="626">
        <v>2874.35</v>
      </c>
      <c r="H16" s="425">
        <v>2.8809999999999999E-2</v>
      </c>
      <c r="I16" s="681">
        <v>223.75</v>
      </c>
      <c r="J16" s="233">
        <f t="shared" si="2"/>
        <v>7.784368639866404</v>
      </c>
      <c r="K16" s="425">
        <f t="shared" si="3"/>
        <v>0.2242676605145511</v>
      </c>
      <c r="L16" s="681">
        <v>464.64</v>
      </c>
      <c r="M16" s="233">
        <f t="shared" si="4"/>
        <v>16.165046010402349</v>
      </c>
      <c r="N16" s="425">
        <f t="shared" si="5"/>
        <v>0.46571497555969166</v>
      </c>
      <c r="O16" s="689">
        <v>327.7</v>
      </c>
      <c r="P16" s="269">
        <f t="shared" si="6"/>
        <v>11.400838450432271</v>
      </c>
      <c r="Q16" s="425">
        <f t="shared" si="7"/>
        <v>0.3284581557569537</v>
      </c>
      <c r="R16" s="681">
        <v>337.33</v>
      </c>
      <c r="S16" s="269">
        <f t="shared" si="8"/>
        <v>11.735870718597248</v>
      </c>
      <c r="T16" s="425">
        <f t="shared" si="9"/>
        <v>0.33811043540278668</v>
      </c>
      <c r="U16" s="681">
        <v>249.75</v>
      </c>
      <c r="V16" s="269">
        <f t="shared" si="10"/>
        <v>8.6889209734374742</v>
      </c>
      <c r="W16" s="425">
        <f t="shared" si="11"/>
        <v>0.25032781324473363</v>
      </c>
      <c r="X16" s="689">
        <v>177.18</v>
      </c>
      <c r="Y16" s="269">
        <f t="shared" si="12"/>
        <v>6.1641762485431499</v>
      </c>
      <c r="Z16" s="425">
        <f t="shared" si="13"/>
        <v>0.17758991772052815</v>
      </c>
      <c r="AA16" s="681">
        <v>634.52</v>
      </c>
      <c r="AB16" s="269">
        <f t="shared" si="14"/>
        <v>22.07525179605824</v>
      </c>
      <c r="AC16" s="425">
        <f t="shared" si="15"/>
        <v>0.6359880042444378</v>
      </c>
      <c r="AD16" s="681">
        <v>459.48</v>
      </c>
      <c r="AE16" s="269">
        <f t="shared" si="16"/>
        <v>15.985527162662864</v>
      </c>
      <c r="AF16" s="425">
        <f t="shared" si="17"/>
        <v>0.46054303755631709</v>
      </c>
      <c r="AG16" s="251">
        <f t="shared" si="18"/>
        <v>100</v>
      </c>
      <c r="AH16" s="423">
        <f t="shared" si="19"/>
        <v>2.656732339485449</v>
      </c>
      <c r="AI16" s="742">
        <f t="shared" si="20"/>
        <v>16</v>
      </c>
      <c r="AM16" s="251">
        <f t="shared" si="0"/>
        <v>2874.35</v>
      </c>
      <c r="AN16" s="251">
        <f t="shared" si="1"/>
        <v>0</v>
      </c>
    </row>
    <row r="17" spans="1:40" s="742" customFormat="1" ht="15.75" customHeight="1" x14ac:dyDescent="0.25">
      <c r="A17" s="264"/>
      <c r="B17" s="270">
        <v>3211119</v>
      </c>
      <c r="C17" s="271" t="s">
        <v>30</v>
      </c>
      <c r="D17" s="169" t="s">
        <v>122</v>
      </c>
      <c r="E17" s="272">
        <v>5</v>
      </c>
      <c r="F17" s="273" t="s">
        <v>23</v>
      </c>
      <c r="G17" s="233">
        <v>5</v>
      </c>
      <c r="H17" s="425">
        <v>5.0000000000000002E-5</v>
      </c>
      <c r="I17" s="681">
        <v>0</v>
      </c>
      <c r="J17" s="233">
        <f t="shared" si="2"/>
        <v>0</v>
      </c>
      <c r="K17" s="425">
        <f t="shared" si="3"/>
        <v>0</v>
      </c>
      <c r="L17" s="681">
        <v>0.05</v>
      </c>
      <c r="M17" s="233">
        <f t="shared" si="4"/>
        <v>1</v>
      </c>
      <c r="N17" s="425">
        <f t="shared" si="5"/>
        <v>5.0000000000000002E-5</v>
      </c>
      <c r="O17" s="689">
        <v>0.13</v>
      </c>
      <c r="P17" s="269">
        <f t="shared" si="6"/>
        <v>2.6</v>
      </c>
      <c r="Q17" s="425">
        <f t="shared" si="7"/>
        <v>1.3000000000000002E-4</v>
      </c>
      <c r="R17" s="681">
        <v>0.22</v>
      </c>
      <c r="S17" s="269">
        <f t="shared" si="8"/>
        <v>4.3999999999999995</v>
      </c>
      <c r="T17" s="425">
        <f t="shared" si="9"/>
        <v>2.1999999999999998E-4</v>
      </c>
      <c r="U17" s="681">
        <v>0.37</v>
      </c>
      <c r="V17" s="269">
        <f t="shared" si="10"/>
        <v>7.3999999999999995</v>
      </c>
      <c r="W17" s="425">
        <f t="shared" si="11"/>
        <v>3.6999999999999999E-4</v>
      </c>
      <c r="X17" s="689">
        <v>0.48</v>
      </c>
      <c r="Y17" s="269">
        <f t="shared" si="12"/>
        <v>9.6</v>
      </c>
      <c r="Z17" s="425">
        <f t="shared" si="13"/>
        <v>4.8000000000000001E-4</v>
      </c>
      <c r="AA17" s="681">
        <v>2.1749999999999998</v>
      </c>
      <c r="AB17" s="269">
        <f t="shared" si="14"/>
        <v>43.499999999999993</v>
      </c>
      <c r="AC17" s="425">
        <f t="shared" si="15"/>
        <v>2.1749999999999999E-3</v>
      </c>
      <c r="AD17" s="681">
        <v>1.575</v>
      </c>
      <c r="AE17" s="269">
        <f t="shared" si="16"/>
        <v>31.5</v>
      </c>
      <c r="AF17" s="425">
        <f t="shared" si="17"/>
        <v>1.575E-3</v>
      </c>
      <c r="AG17" s="251">
        <f t="shared" si="18"/>
        <v>100</v>
      </c>
      <c r="AH17" s="423">
        <f t="shared" si="19"/>
        <v>5.0000000000000001E-3</v>
      </c>
      <c r="AI17" s="742">
        <f t="shared" si="20"/>
        <v>17</v>
      </c>
      <c r="AM17" s="251">
        <f t="shared" si="0"/>
        <v>5</v>
      </c>
      <c r="AN17" s="251">
        <f t="shared" si="1"/>
        <v>0</v>
      </c>
    </row>
    <row r="18" spans="1:40" s="742" customFormat="1" ht="15.75" customHeight="1" x14ac:dyDescent="0.25">
      <c r="A18" s="264"/>
      <c r="B18" s="270">
        <v>3211120</v>
      </c>
      <c r="C18" s="271" t="s">
        <v>31</v>
      </c>
      <c r="D18" s="169" t="s">
        <v>122</v>
      </c>
      <c r="E18" s="272">
        <v>5</v>
      </c>
      <c r="F18" s="273" t="s">
        <v>23</v>
      </c>
      <c r="G18" s="233">
        <v>5</v>
      </c>
      <c r="H18" s="425">
        <v>5.0000000000000002E-5</v>
      </c>
      <c r="I18" s="681">
        <v>0.21</v>
      </c>
      <c r="J18" s="233">
        <f t="shared" si="2"/>
        <v>4.1999999999999993</v>
      </c>
      <c r="K18" s="425">
        <f t="shared" si="3"/>
        <v>2.0999999999999998E-4</v>
      </c>
      <c r="L18" s="681">
        <v>0.24</v>
      </c>
      <c r="M18" s="233">
        <f t="shared" si="4"/>
        <v>4.8</v>
      </c>
      <c r="N18" s="425">
        <f t="shared" si="5"/>
        <v>2.4000000000000001E-4</v>
      </c>
      <c r="O18" s="689">
        <v>0.28999999999999998</v>
      </c>
      <c r="P18" s="269">
        <f t="shared" si="6"/>
        <v>5.8</v>
      </c>
      <c r="Q18" s="425">
        <f t="shared" si="7"/>
        <v>2.9E-4</v>
      </c>
      <c r="R18" s="681">
        <v>0.15</v>
      </c>
      <c r="S18" s="269">
        <f t="shared" si="8"/>
        <v>3</v>
      </c>
      <c r="T18" s="425">
        <f t="shared" si="9"/>
        <v>1.5000000000000001E-4</v>
      </c>
      <c r="U18" s="681">
        <v>0.08</v>
      </c>
      <c r="V18" s="269">
        <f t="shared" si="10"/>
        <v>1.6</v>
      </c>
      <c r="W18" s="425">
        <f t="shared" si="11"/>
        <v>8.0000000000000007E-5</v>
      </c>
      <c r="X18" s="689">
        <v>7.0000000000000007E-2</v>
      </c>
      <c r="Y18" s="269">
        <f t="shared" si="12"/>
        <v>1.4000000000000001</v>
      </c>
      <c r="Z18" s="425">
        <f t="shared" si="13"/>
        <v>7.0000000000000007E-5</v>
      </c>
      <c r="AA18" s="681">
        <v>2.4156</v>
      </c>
      <c r="AB18" s="269">
        <f t="shared" si="14"/>
        <v>48.311999999999998</v>
      </c>
      <c r="AC18" s="425">
        <f t="shared" si="15"/>
        <v>2.4156E-3</v>
      </c>
      <c r="AD18" s="681">
        <v>1.5444</v>
      </c>
      <c r="AE18" s="269">
        <f t="shared" si="16"/>
        <v>30.887999999999998</v>
      </c>
      <c r="AF18" s="425">
        <f t="shared" si="17"/>
        <v>1.5444E-3</v>
      </c>
      <c r="AG18" s="251">
        <f t="shared" si="18"/>
        <v>99.999999999999986</v>
      </c>
      <c r="AH18" s="423">
        <f t="shared" si="19"/>
        <v>4.79E-3</v>
      </c>
      <c r="AI18" s="742">
        <f t="shared" si="20"/>
        <v>18</v>
      </c>
      <c r="AM18" s="251">
        <f t="shared" si="0"/>
        <v>5</v>
      </c>
      <c r="AN18" s="251">
        <f t="shared" si="1"/>
        <v>0</v>
      </c>
    </row>
    <row r="19" spans="1:40" s="742" customFormat="1" ht="15.75" customHeight="1" x14ac:dyDescent="0.25">
      <c r="A19" s="264"/>
      <c r="B19" s="270">
        <v>3211117</v>
      </c>
      <c r="C19" s="271" t="s">
        <v>32</v>
      </c>
      <c r="D19" s="169" t="s">
        <v>122</v>
      </c>
      <c r="E19" s="272">
        <v>5</v>
      </c>
      <c r="F19" s="273" t="s">
        <v>23</v>
      </c>
      <c r="G19" s="233">
        <v>5</v>
      </c>
      <c r="H19" s="425">
        <v>5.0000000000000002E-5</v>
      </c>
      <c r="I19" s="681">
        <v>0.25</v>
      </c>
      <c r="J19" s="233">
        <f t="shared" si="2"/>
        <v>5</v>
      </c>
      <c r="K19" s="425">
        <f t="shared" si="3"/>
        <v>2.5000000000000001E-4</v>
      </c>
      <c r="L19" s="681">
        <v>1.0000000000000011E-3</v>
      </c>
      <c r="M19" s="233">
        <f t="shared" si="4"/>
        <v>2.0000000000000021E-2</v>
      </c>
      <c r="N19" s="425">
        <f t="shared" si="5"/>
        <v>1.000000000000001E-6</v>
      </c>
      <c r="O19" s="689">
        <v>0.09</v>
      </c>
      <c r="P19" s="269">
        <f t="shared" si="6"/>
        <v>1.7999999999999998</v>
      </c>
      <c r="Q19" s="425">
        <f t="shared" si="7"/>
        <v>8.9999999999999992E-5</v>
      </c>
      <c r="R19" s="681">
        <v>0.05</v>
      </c>
      <c r="S19" s="269">
        <f t="shared" si="8"/>
        <v>1</v>
      </c>
      <c r="T19" s="425">
        <f t="shared" si="9"/>
        <v>5.0000000000000002E-5</v>
      </c>
      <c r="U19" s="681">
        <v>0.05</v>
      </c>
      <c r="V19" s="269">
        <f t="shared" si="10"/>
        <v>1</v>
      </c>
      <c r="W19" s="425">
        <f t="shared" si="11"/>
        <v>5.0000000000000002E-5</v>
      </c>
      <c r="X19" s="689">
        <v>0.1</v>
      </c>
      <c r="Y19" s="269">
        <f t="shared" si="12"/>
        <v>2</v>
      </c>
      <c r="Z19" s="425">
        <f t="shared" si="13"/>
        <v>1E-4</v>
      </c>
      <c r="AA19" s="681">
        <v>2.4970400000000001</v>
      </c>
      <c r="AB19" s="269">
        <f t="shared" si="14"/>
        <v>49.940800000000003</v>
      </c>
      <c r="AC19" s="425">
        <f t="shared" si="15"/>
        <v>2.4970400000000003E-3</v>
      </c>
      <c r="AD19" s="681">
        <v>1.9619599999999999</v>
      </c>
      <c r="AE19" s="269">
        <f t="shared" si="16"/>
        <v>39.239199999999997</v>
      </c>
      <c r="AF19" s="425">
        <f t="shared" si="17"/>
        <v>1.96196E-3</v>
      </c>
      <c r="AG19" s="251">
        <f t="shared" si="18"/>
        <v>100</v>
      </c>
      <c r="AH19" s="423">
        <f t="shared" si="19"/>
        <v>4.7500000000000007E-3</v>
      </c>
      <c r="AI19" s="742">
        <f t="shared" si="20"/>
        <v>19</v>
      </c>
      <c r="AM19" s="251">
        <f t="shared" si="0"/>
        <v>5</v>
      </c>
      <c r="AN19" s="251">
        <f t="shared" si="1"/>
        <v>0</v>
      </c>
    </row>
    <row r="20" spans="1:40" s="742" customFormat="1" ht="15.75" customHeight="1" x14ac:dyDescent="0.25">
      <c r="A20" s="264"/>
      <c r="B20" s="270">
        <v>3221104</v>
      </c>
      <c r="C20" s="271" t="s">
        <v>33</v>
      </c>
      <c r="D20" s="169" t="s">
        <v>122</v>
      </c>
      <c r="E20" s="272">
        <v>20</v>
      </c>
      <c r="F20" s="273" t="s">
        <v>23</v>
      </c>
      <c r="G20" s="233">
        <v>20</v>
      </c>
      <c r="H20" s="425">
        <v>2.0000000000000001E-4</v>
      </c>
      <c r="I20" s="681">
        <v>1.1000000000000001</v>
      </c>
      <c r="J20" s="233">
        <f t="shared" si="2"/>
        <v>5.5000000000000009</v>
      </c>
      <c r="K20" s="425">
        <f t="shared" si="3"/>
        <v>1.1000000000000003E-3</v>
      </c>
      <c r="L20" s="681">
        <v>8.370000000000001</v>
      </c>
      <c r="M20" s="233">
        <f t="shared" si="4"/>
        <v>41.85</v>
      </c>
      <c r="N20" s="425">
        <f t="shared" si="5"/>
        <v>8.3700000000000007E-3</v>
      </c>
      <c r="O20" s="689">
        <v>0.08</v>
      </c>
      <c r="P20" s="269">
        <f t="shared" si="6"/>
        <v>0.4</v>
      </c>
      <c r="Q20" s="425">
        <f t="shared" si="7"/>
        <v>8.0000000000000007E-5</v>
      </c>
      <c r="R20" s="681">
        <v>0</v>
      </c>
      <c r="S20" s="269">
        <f t="shared" si="8"/>
        <v>0</v>
      </c>
      <c r="T20" s="425">
        <f t="shared" si="9"/>
        <v>0</v>
      </c>
      <c r="U20" s="681">
        <v>2.37</v>
      </c>
      <c r="V20" s="269">
        <f t="shared" si="10"/>
        <v>11.850000000000001</v>
      </c>
      <c r="W20" s="425">
        <f t="shared" si="11"/>
        <v>2.3700000000000006E-3</v>
      </c>
      <c r="X20" s="689">
        <v>0.17</v>
      </c>
      <c r="Y20" s="269">
        <f t="shared" si="12"/>
        <v>0.85000000000000009</v>
      </c>
      <c r="Z20" s="425">
        <f t="shared" si="13"/>
        <v>1.7000000000000004E-4</v>
      </c>
      <c r="AA20" s="681">
        <v>4.983299999999999</v>
      </c>
      <c r="AB20" s="269">
        <f t="shared" si="14"/>
        <v>24.916499999999996</v>
      </c>
      <c r="AC20" s="425">
        <f t="shared" si="15"/>
        <v>4.9832999999999995E-3</v>
      </c>
      <c r="AD20" s="681">
        <v>2.926699999999999</v>
      </c>
      <c r="AE20" s="269">
        <f t="shared" si="16"/>
        <v>14.633499999999994</v>
      </c>
      <c r="AF20" s="425">
        <f t="shared" si="17"/>
        <v>2.9266999999999991E-3</v>
      </c>
      <c r="AG20" s="251">
        <f t="shared" si="18"/>
        <v>100</v>
      </c>
      <c r="AH20" s="423">
        <f t="shared" si="19"/>
        <v>1.89E-2</v>
      </c>
      <c r="AI20" s="742">
        <f t="shared" si="20"/>
        <v>20</v>
      </c>
      <c r="AM20" s="251">
        <f t="shared" si="0"/>
        <v>20</v>
      </c>
      <c r="AN20" s="251">
        <f t="shared" si="1"/>
        <v>0</v>
      </c>
    </row>
    <row r="21" spans="1:40" s="742" customFormat="1" ht="15.75" customHeight="1" x14ac:dyDescent="0.25">
      <c r="A21" s="264"/>
      <c r="B21" s="270">
        <v>3211115</v>
      </c>
      <c r="C21" s="271" t="s">
        <v>34</v>
      </c>
      <c r="D21" s="169" t="s">
        <v>122</v>
      </c>
      <c r="E21" s="272">
        <v>5</v>
      </c>
      <c r="F21" s="273" t="s">
        <v>23</v>
      </c>
      <c r="G21" s="233">
        <v>5</v>
      </c>
      <c r="H21" s="425">
        <v>5.0000000000000002E-5</v>
      </c>
      <c r="I21" s="681">
        <v>0</v>
      </c>
      <c r="J21" s="233">
        <f t="shared" si="2"/>
        <v>0</v>
      </c>
      <c r="K21" s="425">
        <f t="shared" si="3"/>
        <v>0</v>
      </c>
      <c r="L21" s="681">
        <v>0.12</v>
      </c>
      <c r="M21" s="233">
        <f t="shared" si="4"/>
        <v>2.4</v>
      </c>
      <c r="N21" s="425">
        <f t="shared" si="5"/>
        <v>1.2E-4</v>
      </c>
      <c r="O21" s="689">
        <v>0.23</v>
      </c>
      <c r="P21" s="269">
        <f t="shared" si="6"/>
        <v>4.5999999999999996</v>
      </c>
      <c r="Q21" s="425">
        <f t="shared" si="7"/>
        <v>2.2999999999999998E-4</v>
      </c>
      <c r="R21" s="681">
        <v>0.37</v>
      </c>
      <c r="S21" s="269">
        <f t="shared" si="8"/>
        <v>7.3999999999999995</v>
      </c>
      <c r="T21" s="425">
        <f t="shared" si="9"/>
        <v>3.6999999999999999E-4</v>
      </c>
      <c r="U21" s="681">
        <v>0.4</v>
      </c>
      <c r="V21" s="269">
        <f t="shared" si="10"/>
        <v>8</v>
      </c>
      <c r="W21" s="425">
        <f t="shared" si="11"/>
        <v>4.0000000000000002E-4</v>
      </c>
      <c r="X21" s="689">
        <v>0.55000000000000004</v>
      </c>
      <c r="Y21" s="269">
        <f t="shared" si="12"/>
        <v>11.000000000000002</v>
      </c>
      <c r="Z21" s="425">
        <f t="shared" si="13"/>
        <v>5.5000000000000014E-4</v>
      </c>
      <c r="AA21" s="681">
        <v>2.0312999999999999</v>
      </c>
      <c r="AB21" s="269">
        <f t="shared" si="14"/>
        <v>40.625999999999998</v>
      </c>
      <c r="AC21" s="425">
        <f t="shared" si="15"/>
        <v>2.0312999999999998E-3</v>
      </c>
      <c r="AD21" s="681">
        <v>1.2987</v>
      </c>
      <c r="AE21" s="269">
        <f t="shared" si="16"/>
        <v>25.973999999999997</v>
      </c>
      <c r="AF21" s="425">
        <f t="shared" si="17"/>
        <v>1.2986999999999999E-3</v>
      </c>
      <c r="AG21" s="251">
        <f t="shared" si="18"/>
        <v>100</v>
      </c>
      <c r="AH21" s="423">
        <f t="shared" si="19"/>
        <v>4.9999999999999992E-3</v>
      </c>
      <c r="AI21" s="742">
        <f t="shared" si="20"/>
        <v>21</v>
      </c>
      <c r="AM21" s="251">
        <f t="shared" si="0"/>
        <v>5</v>
      </c>
      <c r="AN21" s="251">
        <f t="shared" si="1"/>
        <v>0</v>
      </c>
    </row>
    <row r="22" spans="1:40" s="742" customFormat="1" ht="15.75" customHeight="1" x14ac:dyDescent="0.25">
      <c r="A22" s="264"/>
      <c r="B22" s="270">
        <v>3211113</v>
      </c>
      <c r="C22" s="271" t="s">
        <v>35</v>
      </c>
      <c r="D22" s="169" t="s">
        <v>122</v>
      </c>
      <c r="E22" s="272">
        <v>20</v>
      </c>
      <c r="F22" s="273" t="s">
        <v>23</v>
      </c>
      <c r="G22" s="233">
        <v>20</v>
      </c>
      <c r="H22" s="425">
        <v>2.0000000000000001E-4</v>
      </c>
      <c r="I22" s="681">
        <v>0.19</v>
      </c>
      <c r="J22" s="233">
        <f t="shared" si="2"/>
        <v>0.95</v>
      </c>
      <c r="K22" s="425">
        <f t="shared" si="3"/>
        <v>1.9000000000000001E-4</v>
      </c>
      <c r="L22" s="681">
        <v>1.67</v>
      </c>
      <c r="M22" s="233">
        <f t="shared" si="4"/>
        <v>8.35</v>
      </c>
      <c r="N22" s="425">
        <f t="shared" si="5"/>
        <v>1.67E-3</v>
      </c>
      <c r="O22" s="689">
        <v>1.78</v>
      </c>
      <c r="P22" s="269">
        <f t="shared" si="6"/>
        <v>8.9</v>
      </c>
      <c r="Q22" s="425">
        <f t="shared" si="7"/>
        <v>1.7800000000000001E-3</v>
      </c>
      <c r="R22" s="681">
        <v>2.31</v>
      </c>
      <c r="S22" s="269">
        <f t="shared" si="8"/>
        <v>11.55</v>
      </c>
      <c r="T22" s="425">
        <f t="shared" si="9"/>
        <v>2.3100000000000004E-3</v>
      </c>
      <c r="U22" s="681">
        <v>2.78</v>
      </c>
      <c r="V22" s="269">
        <f t="shared" si="10"/>
        <v>13.899999999999999</v>
      </c>
      <c r="W22" s="425">
        <f t="shared" si="11"/>
        <v>2.7799999999999999E-3</v>
      </c>
      <c r="X22" s="689">
        <v>2.89</v>
      </c>
      <c r="Y22" s="269">
        <f t="shared" si="12"/>
        <v>14.450000000000001</v>
      </c>
      <c r="Z22" s="425">
        <f t="shared" si="13"/>
        <v>2.8900000000000002E-3</v>
      </c>
      <c r="AA22" s="681">
        <v>4.6090000000000009</v>
      </c>
      <c r="AB22" s="269">
        <f t="shared" si="14"/>
        <v>23.045000000000005</v>
      </c>
      <c r="AC22" s="425">
        <f t="shared" si="15"/>
        <v>4.6090000000000011E-3</v>
      </c>
      <c r="AD22" s="681">
        <v>3.7709999999999999</v>
      </c>
      <c r="AE22" s="269">
        <f t="shared" si="16"/>
        <v>18.855</v>
      </c>
      <c r="AF22" s="425">
        <f t="shared" si="17"/>
        <v>3.7710000000000005E-3</v>
      </c>
      <c r="AG22" s="251">
        <f t="shared" si="18"/>
        <v>100</v>
      </c>
      <c r="AH22" s="423">
        <f t="shared" si="19"/>
        <v>1.9810000000000001E-2</v>
      </c>
      <c r="AI22" s="742">
        <f t="shared" si="20"/>
        <v>22</v>
      </c>
      <c r="AM22" s="251">
        <f t="shared" si="0"/>
        <v>20</v>
      </c>
      <c r="AN22" s="251">
        <f t="shared" si="1"/>
        <v>0</v>
      </c>
    </row>
    <row r="23" spans="1:40" s="742" customFormat="1" ht="15.75" customHeight="1" x14ac:dyDescent="0.25">
      <c r="A23" s="264"/>
      <c r="B23" s="270">
        <v>3243102</v>
      </c>
      <c r="C23" s="271" t="s">
        <v>36</v>
      </c>
      <c r="D23" s="169" t="s">
        <v>122</v>
      </c>
      <c r="E23" s="272">
        <v>40</v>
      </c>
      <c r="F23" s="273" t="s">
        <v>23</v>
      </c>
      <c r="G23" s="233">
        <v>40</v>
      </c>
      <c r="H23" s="425">
        <v>4.0000000000000002E-4</v>
      </c>
      <c r="I23" s="681">
        <v>0.94</v>
      </c>
      <c r="J23" s="233">
        <f t="shared" si="2"/>
        <v>2.35</v>
      </c>
      <c r="K23" s="425">
        <f t="shared" si="3"/>
        <v>9.4000000000000008E-4</v>
      </c>
      <c r="L23" s="681">
        <v>3.7</v>
      </c>
      <c r="M23" s="233">
        <f t="shared" si="4"/>
        <v>9.25</v>
      </c>
      <c r="N23" s="425">
        <f t="shared" si="5"/>
        <v>3.7000000000000002E-3</v>
      </c>
      <c r="O23" s="689">
        <v>3</v>
      </c>
      <c r="P23" s="269">
        <f t="shared" si="6"/>
        <v>7.5</v>
      </c>
      <c r="Q23" s="425">
        <f t="shared" si="7"/>
        <v>3.0000000000000001E-3</v>
      </c>
      <c r="R23" s="681">
        <v>4</v>
      </c>
      <c r="S23" s="269">
        <f t="shared" si="8"/>
        <v>10</v>
      </c>
      <c r="T23" s="425">
        <f t="shared" si="9"/>
        <v>4.0000000000000001E-3</v>
      </c>
      <c r="U23" s="681">
        <v>5.89</v>
      </c>
      <c r="V23" s="269">
        <f t="shared" si="10"/>
        <v>14.725</v>
      </c>
      <c r="W23" s="425">
        <f t="shared" si="11"/>
        <v>5.8900000000000003E-3</v>
      </c>
      <c r="X23" s="689">
        <v>4.0199999999999996</v>
      </c>
      <c r="Y23" s="269">
        <f t="shared" si="12"/>
        <v>10.049999999999999</v>
      </c>
      <c r="Z23" s="425">
        <f t="shared" si="13"/>
        <v>4.0200000000000001E-3</v>
      </c>
      <c r="AA23" s="681">
        <v>11.2545</v>
      </c>
      <c r="AB23" s="269">
        <f t="shared" si="14"/>
        <v>28.13625</v>
      </c>
      <c r="AC23" s="425">
        <f t="shared" si="15"/>
        <v>1.1254500000000001E-2</v>
      </c>
      <c r="AD23" s="681">
        <v>7.1955</v>
      </c>
      <c r="AE23" s="269">
        <f t="shared" si="16"/>
        <v>17.98875</v>
      </c>
      <c r="AF23" s="425">
        <f t="shared" si="17"/>
        <v>7.1955000000000005E-3</v>
      </c>
      <c r="AG23" s="251">
        <f t="shared" si="18"/>
        <v>99.999999999999986</v>
      </c>
      <c r="AH23" s="423">
        <f t="shared" si="19"/>
        <v>3.9060000000000004E-2</v>
      </c>
      <c r="AI23" s="742">
        <f t="shared" si="20"/>
        <v>23</v>
      </c>
      <c r="AM23" s="251">
        <f t="shared" si="0"/>
        <v>40.000000000000007</v>
      </c>
      <c r="AN23" s="251">
        <f t="shared" si="1"/>
        <v>0</v>
      </c>
    </row>
    <row r="24" spans="1:40" s="742" customFormat="1" ht="17.25" customHeight="1" x14ac:dyDescent="0.25">
      <c r="A24" s="264"/>
      <c r="B24" s="270">
        <v>3243101</v>
      </c>
      <c r="C24" s="271" t="s">
        <v>37</v>
      </c>
      <c r="D24" s="169" t="s">
        <v>122</v>
      </c>
      <c r="E24" s="272">
        <v>170</v>
      </c>
      <c r="F24" s="273" t="s">
        <v>23</v>
      </c>
      <c r="G24" s="233">
        <v>170</v>
      </c>
      <c r="H24" s="425">
        <v>1.6999999999999999E-3</v>
      </c>
      <c r="I24" s="681">
        <v>0.62</v>
      </c>
      <c r="J24" s="233">
        <f t="shared" si="2"/>
        <v>0.36470588235294116</v>
      </c>
      <c r="K24" s="425">
        <f t="shared" si="3"/>
        <v>6.1999999999999989E-4</v>
      </c>
      <c r="L24" s="681">
        <v>6.99</v>
      </c>
      <c r="M24" s="233">
        <f t="shared" si="4"/>
        <v>4.1117647058823525</v>
      </c>
      <c r="N24" s="425">
        <f t="shared" si="5"/>
        <v>6.9899999999999988E-3</v>
      </c>
      <c r="O24" s="689">
        <v>18.97</v>
      </c>
      <c r="P24" s="269">
        <f t="shared" si="6"/>
        <v>11.158823529411764</v>
      </c>
      <c r="Q24" s="425">
        <f t="shared" si="7"/>
        <v>1.8969999999999997E-2</v>
      </c>
      <c r="R24" s="681">
        <v>18</v>
      </c>
      <c r="S24" s="269">
        <f t="shared" si="8"/>
        <v>10.588235294117647</v>
      </c>
      <c r="T24" s="425">
        <f t="shared" si="9"/>
        <v>1.7999999999999999E-2</v>
      </c>
      <c r="U24" s="681">
        <v>20</v>
      </c>
      <c r="V24" s="269">
        <f t="shared" si="10"/>
        <v>11.76470588235294</v>
      </c>
      <c r="W24" s="425">
        <f t="shared" si="11"/>
        <v>1.9999999999999997E-2</v>
      </c>
      <c r="X24" s="689">
        <v>24.18</v>
      </c>
      <c r="Y24" s="269">
        <f t="shared" si="12"/>
        <v>14.223529411764707</v>
      </c>
      <c r="Z24" s="425">
        <f t="shared" si="13"/>
        <v>2.418E-2</v>
      </c>
      <c r="AA24" s="681">
        <v>46.306800000000003</v>
      </c>
      <c r="AB24" s="269">
        <f t="shared" si="14"/>
        <v>27.239294117647063</v>
      </c>
      <c r="AC24" s="425">
        <f t="shared" si="15"/>
        <v>4.6306800000000002E-2</v>
      </c>
      <c r="AD24" s="681">
        <v>34.933200000000006</v>
      </c>
      <c r="AE24" s="269">
        <f t="shared" si="16"/>
        <v>20.548941176470592</v>
      </c>
      <c r="AF24" s="425">
        <f t="shared" si="17"/>
        <v>3.4933200000000005E-2</v>
      </c>
      <c r="AG24" s="251">
        <f t="shared" si="18"/>
        <v>100</v>
      </c>
      <c r="AH24" s="423">
        <f t="shared" si="19"/>
        <v>0.16938</v>
      </c>
      <c r="AI24" s="742">
        <f t="shared" si="20"/>
        <v>24</v>
      </c>
      <c r="AM24" s="251">
        <f t="shared" si="0"/>
        <v>170</v>
      </c>
      <c r="AN24" s="251">
        <f t="shared" si="1"/>
        <v>0</v>
      </c>
    </row>
    <row r="25" spans="1:40" s="742" customFormat="1" ht="18.75" customHeight="1" x14ac:dyDescent="0.25">
      <c r="A25" s="264"/>
      <c r="B25" s="270">
        <v>3221108</v>
      </c>
      <c r="C25" s="271" t="s">
        <v>38</v>
      </c>
      <c r="D25" s="169" t="s">
        <v>122</v>
      </c>
      <c r="E25" s="272">
        <v>3</v>
      </c>
      <c r="F25" s="273" t="s">
        <v>23</v>
      </c>
      <c r="G25" s="233">
        <v>3</v>
      </c>
      <c r="H25" s="425">
        <v>3.0000000000000001E-5</v>
      </c>
      <c r="I25" s="681">
        <v>0.08</v>
      </c>
      <c r="J25" s="233">
        <f t="shared" si="2"/>
        <v>2.666666666666667</v>
      </c>
      <c r="K25" s="425">
        <f t="shared" si="3"/>
        <v>8.0000000000000007E-5</v>
      </c>
      <c r="L25" s="681">
        <v>0.749</v>
      </c>
      <c r="M25" s="233">
        <f t="shared" si="4"/>
        <v>24.966666666666669</v>
      </c>
      <c r="N25" s="425">
        <f t="shared" si="5"/>
        <v>7.490000000000001E-4</v>
      </c>
      <c r="O25" s="689">
        <v>0.01</v>
      </c>
      <c r="P25" s="269">
        <f t="shared" si="6"/>
        <v>0.33333333333333337</v>
      </c>
      <c r="Q25" s="425">
        <f t="shared" si="7"/>
        <v>1.0000000000000001E-5</v>
      </c>
      <c r="R25" s="681">
        <v>0.22</v>
      </c>
      <c r="S25" s="269">
        <f t="shared" si="8"/>
        <v>7.333333333333333</v>
      </c>
      <c r="T25" s="425">
        <f t="shared" si="9"/>
        <v>2.2000000000000001E-4</v>
      </c>
      <c r="U25" s="681">
        <v>0.1</v>
      </c>
      <c r="V25" s="269">
        <f t="shared" si="10"/>
        <v>3.3333333333333335</v>
      </c>
      <c r="W25" s="425">
        <f t="shared" si="11"/>
        <v>1E-4</v>
      </c>
      <c r="X25" s="689">
        <v>0.91</v>
      </c>
      <c r="Y25" s="269">
        <f t="shared" si="12"/>
        <v>30.333333333333336</v>
      </c>
      <c r="Z25" s="425">
        <f t="shared" si="13"/>
        <v>9.1000000000000011E-4</v>
      </c>
      <c r="AA25" s="681">
        <v>0.51205000000000012</v>
      </c>
      <c r="AB25" s="269">
        <f t="shared" si="14"/>
        <v>17.068333333333339</v>
      </c>
      <c r="AC25" s="425">
        <f t="shared" si="15"/>
        <v>5.1205000000000022E-4</v>
      </c>
      <c r="AD25" s="681">
        <v>0.41894999999999999</v>
      </c>
      <c r="AE25" s="269">
        <f t="shared" si="16"/>
        <v>13.965</v>
      </c>
      <c r="AF25" s="425">
        <f t="shared" si="17"/>
        <v>4.1895000000000002E-4</v>
      </c>
      <c r="AG25" s="251">
        <f t="shared" si="18"/>
        <v>100</v>
      </c>
      <c r="AH25" s="423">
        <f t="shared" si="19"/>
        <v>2.9200000000000003E-3</v>
      </c>
      <c r="AI25" s="742">
        <f t="shared" si="20"/>
        <v>25</v>
      </c>
      <c r="AM25" s="251">
        <f t="shared" si="0"/>
        <v>3.0000000000000004</v>
      </c>
      <c r="AN25" s="251">
        <f t="shared" si="1"/>
        <v>0</v>
      </c>
    </row>
    <row r="26" spans="1:40" s="742" customFormat="1" ht="17.25" customHeight="1" x14ac:dyDescent="0.25">
      <c r="A26" s="264"/>
      <c r="B26" s="270">
        <v>3255102</v>
      </c>
      <c r="C26" s="271" t="s">
        <v>39</v>
      </c>
      <c r="D26" s="169" t="s">
        <v>122</v>
      </c>
      <c r="E26" s="272">
        <v>50</v>
      </c>
      <c r="F26" s="273" t="s">
        <v>23</v>
      </c>
      <c r="G26" s="233">
        <v>50</v>
      </c>
      <c r="H26" s="425">
        <v>5.0000000000000001E-4</v>
      </c>
      <c r="I26" s="681">
        <v>0.2</v>
      </c>
      <c r="J26" s="233">
        <f t="shared" si="2"/>
        <v>0.4</v>
      </c>
      <c r="K26" s="425">
        <f t="shared" si="3"/>
        <v>2.0000000000000001E-4</v>
      </c>
      <c r="L26" s="681">
        <v>6.9940000000000007</v>
      </c>
      <c r="M26" s="233">
        <f t="shared" si="4"/>
        <v>13.988</v>
      </c>
      <c r="N26" s="425">
        <f t="shared" si="5"/>
        <v>6.9940000000000002E-3</v>
      </c>
      <c r="O26" s="689">
        <v>16.989999999999998</v>
      </c>
      <c r="P26" s="269">
        <f t="shared" si="6"/>
        <v>33.979999999999997</v>
      </c>
      <c r="Q26" s="425">
        <f t="shared" si="7"/>
        <v>1.6989999999999998E-2</v>
      </c>
      <c r="R26" s="681">
        <v>6</v>
      </c>
      <c r="S26" s="269">
        <f t="shared" si="8"/>
        <v>12</v>
      </c>
      <c r="T26" s="425">
        <f t="shared" si="9"/>
        <v>6.0000000000000001E-3</v>
      </c>
      <c r="U26" s="681">
        <v>3.98</v>
      </c>
      <c r="V26" s="269">
        <f t="shared" si="10"/>
        <v>7.9600000000000009</v>
      </c>
      <c r="W26" s="425">
        <f t="shared" si="11"/>
        <v>3.9800000000000009E-3</v>
      </c>
      <c r="X26" s="689">
        <v>0.5</v>
      </c>
      <c r="Y26" s="269">
        <f t="shared" si="12"/>
        <v>1</v>
      </c>
      <c r="Z26" s="425">
        <f t="shared" si="13"/>
        <v>5.0000000000000001E-4</v>
      </c>
      <c r="AA26" s="681">
        <v>9.3549600000000037</v>
      </c>
      <c r="AB26" s="269">
        <f t="shared" si="14"/>
        <v>18.709920000000007</v>
      </c>
      <c r="AC26" s="425">
        <f t="shared" si="15"/>
        <v>9.3549600000000042E-3</v>
      </c>
      <c r="AD26" s="681">
        <v>5.9810400000000028</v>
      </c>
      <c r="AE26" s="269">
        <f t="shared" si="16"/>
        <v>11.962080000000006</v>
      </c>
      <c r="AF26" s="425">
        <f t="shared" si="17"/>
        <v>5.9810400000000026E-3</v>
      </c>
      <c r="AG26" s="251">
        <f t="shared" si="18"/>
        <v>100.00000000000001</v>
      </c>
      <c r="AH26" s="423">
        <f t="shared" si="19"/>
        <v>4.9799999999999997E-2</v>
      </c>
      <c r="AI26" s="742">
        <f t="shared" si="20"/>
        <v>26</v>
      </c>
      <c r="AM26" s="251">
        <f t="shared" si="0"/>
        <v>50</v>
      </c>
      <c r="AN26" s="251">
        <f t="shared" si="1"/>
        <v>0</v>
      </c>
    </row>
    <row r="27" spans="1:40" s="742" customFormat="1" ht="18" customHeight="1" x14ac:dyDescent="0.25">
      <c r="A27" s="264"/>
      <c r="B27" s="270">
        <v>3255104</v>
      </c>
      <c r="C27" s="271" t="s">
        <v>40</v>
      </c>
      <c r="D27" s="169" t="s">
        <v>122</v>
      </c>
      <c r="E27" s="272">
        <v>120</v>
      </c>
      <c r="F27" s="273" t="s">
        <v>23</v>
      </c>
      <c r="G27" s="233">
        <v>120</v>
      </c>
      <c r="H27" s="425">
        <v>1.1999999999999999E-3</v>
      </c>
      <c r="I27" s="681">
        <v>0.97</v>
      </c>
      <c r="J27" s="233">
        <f t="shared" si="2"/>
        <v>0.80833333333333335</v>
      </c>
      <c r="K27" s="425">
        <f t="shared" si="3"/>
        <v>9.6999999999999994E-4</v>
      </c>
      <c r="L27" s="681">
        <v>6.9720000000000004</v>
      </c>
      <c r="M27" s="233">
        <f t="shared" si="4"/>
        <v>5.8100000000000005</v>
      </c>
      <c r="N27" s="425">
        <f t="shared" si="5"/>
        <v>6.9719999999999999E-3</v>
      </c>
      <c r="O27" s="689">
        <v>11.2</v>
      </c>
      <c r="P27" s="269">
        <f t="shared" si="6"/>
        <v>9.3333333333333321</v>
      </c>
      <c r="Q27" s="425">
        <f t="shared" si="7"/>
        <v>1.1199999999999998E-2</v>
      </c>
      <c r="R27" s="681">
        <v>12.79</v>
      </c>
      <c r="S27" s="269">
        <f t="shared" si="8"/>
        <v>10.658333333333331</v>
      </c>
      <c r="T27" s="425">
        <f t="shared" si="9"/>
        <v>1.2789999999999996E-2</v>
      </c>
      <c r="U27" s="681">
        <v>17.98</v>
      </c>
      <c r="V27" s="269">
        <f t="shared" si="10"/>
        <v>14.983333333333334</v>
      </c>
      <c r="W27" s="425">
        <f t="shared" si="11"/>
        <v>1.7979999999999999E-2</v>
      </c>
      <c r="X27" s="689">
        <v>19.95</v>
      </c>
      <c r="Y27" s="269">
        <f t="shared" si="12"/>
        <v>16.624999999999996</v>
      </c>
      <c r="Z27" s="425">
        <f t="shared" si="13"/>
        <v>1.9949999999999996E-2</v>
      </c>
      <c r="AA27" s="681">
        <v>31.586939999999998</v>
      </c>
      <c r="AB27" s="269">
        <f t="shared" si="14"/>
        <v>26.322449999999996</v>
      </c>
      <c r="AC27" s="425">
        <f t="shared" si="15"/>
        <v>3.1586939999999994E-2</v>
      </c>
      <c r="AD27" s="681">
        <v>18.55106</v>
      </c>
      <c r="AE27" s="269">
        <f t="shared" si="16"/>
        <v>15.459216666666666</v>
      </c>
      <c r="AF27" s="425">
        <f t="shared" si="17"/>
        <v>1.8551059999999998E-2</v>
      </c>
      <c r="AG27" s="251">
        <f t="shared" si="18"/>
        <v>100</v>
      </c>
      <c r="AH27" s="423">
        <f t="shared" si="19"/>
        <v>0.11902999999999997</v>
      </c>
      <c r="AI27" s="742">
        <f t="shared" si="20"/>
        <v>27</v>
      </c>
      <c r="AM27" s="251">
        <f t="shared" si="0"/>
        <v>120</v>
      </c>
      <c r="AN27" s="251">
        <f t="shared" si="1"/>
        <v>0</v>
      </c>
    </row>
    <row r="28" spans="1:40" s="742" customFormat="1" ht="18" customHeight="1" x14ac:dyDescent="0.25">
      <c r="A28" s="264"/>
      <c r="B28" s="270">
        <v>3211127</v>
      </c>
      <c r="C28" s="271" t="s">
        <v>41</v>
      </c>
      <c r="D28" s="169" t="s">
        <v>122</v>
      </c>
      <c r="E28" s="272">
        <v>2</v>
      </c>
      <c r="F28" s="273" t="s">
        <v>23</v>
      </c>
      <c r="G28" s="233">
        <v>2</v>
      </c>
      <c r="H28" s="425">
        <v>2.0000000000000002E-5</v>
      </c>
      <c r="I28" s="681">
        <v>0</v>
      </c>
      <c r="J28" s="233">
        <f t="shared" si="2"/>
        <v>0</v>
      </c>
      <c r="K28" s="425">
        <f t="shared" si="3"/>
        <v>0</v>
      </c>
      <c r="L28" s="681">
        <v>0.1</v>
      </c>
      <c r="M28" s="233">
        <f t="shared" si="4"/>
        <v>5</v>
      </c>
      <c r="N28" s="425">
        <f t="shared" si="5"/>
        <v>1E-4</v>
      </c>
      <c r="O28" s="689">
        <v>0.03</v>
      </c>
      <c r="P28" s="269">
        <f t="shared" si="6"/>
        <v>1.5</v>
      </c>
      <c r="Q28" s="425">
        <f t="shared" si="7"/>
        <v>3.0000000000000004E-5</v>
      </c>
      <c r="R28" s="681">
        <v>0.05</v>
      </c>
      <c r="S28" s="269">
        <f t="shared" si="8"/>
        <v>2.5</v>
      </c>
      <c r="T28" s="425">
        <f t="shared" si="9"/>
        <v>5.0000000000000002E-5</v>
      </c>
      <c r="U28" s="681">
        <v>0.1</v>
      </c>
      <c r="V28" s="269">
        <f t="shared" si="10"/>
        <v>5</v>
      </c>
      <c r="W28" s="425">
        <f t="shared" si="11"/>
        <v>1E-4</v>
      </c>
      <c r="X28" s="689">
        <v>0.2</v>
      </c>
      <c r="Y28" s="269">
        <f t="shared" si="12"/>
        <v>10</v>
      </c>
      <c r="Z28" s="425">
        <f t="shared" si="13"/>
        <v>2.0000000000000001E-4</v>
      </c>
      <c r="AA28" s="681">
        <v>0.88159999999999994</v>
      </c>
      <c r="AB28" s="269">
        <f t="shared" si="14"/>
        <v>44.08</v>
      </c>
      <c r="AC28" s="425">
        <f t="shared" si="15"/>
        <v>8.8160000000000007E-4</v>
      </c>
      <c r="AD28" s="681">
        <v>0.63839999999999997</v>
      </c>
      <c r="AE28" s="269">
        <f t="shared" si="16"/>
        <v>31.919999999999998</v>
      </c>
      <c r="AF28" s="425">
        <f t="shared" si="17"/>
        <v>6.3840000000000001E-4</v>
      </c>
      <c r="AG28" s="251">
        <f t="shared" si="18"/>
        <v>100</v>
      </c>
      <c r="AH28" s="423">
        <f t="shared" si="19"/>
        <v>2E-3</v>
      </c>
      <c r="AI28" s="742">
        <f t="shared" si="20"/>
        <v>28</v>
      </c>
      <c r="AM28" s="251">
        <f t="shared" si="0"/>
        <v>2</v>
      </c>
      <c r="AN28" s="251">
        <f t="shared" si="1"/>
        <v>0</v>
      </c>
    </row>
    <row r="29" spans="1:40" s="742" customFormat="1" ht="15" customHeight="1" x14ac:dyDescent="0.25">
      <c r="A29" s="264"/>
      <c r="B29" s="274"/>
      <c r="C29" s="275" t="s">
        <v>42</v>
      </c>
      <c r="D29" s="169"/>
      <c r="E29" s="272"/>
      <c r="F29" s="276"/>
      <c r="G29" s="233"/>
      <c r="H29" s="425"/>
      <c r="I29" s="681"/>
      <c r="J29" s="233"/>
      <c r="K29" s="425"/>
      <c r="L29" s="681"/>
      <c r="M29" s="233"/>
      <c r="N29" s="425"/>
      <c r="O29" s="689"/>
      <c r="P29" s="269"/>
      <c r="Q29" s="425"/>
      <c r="R29" s="681"/>
      <c r="S29" s="269"/>
      <c r="T29" s="425"/>
      <c r="U29" s="681"/>
      <c r="V29" s="269"/>
      <c r="W29" s="425"/>
      <c r="X29" s="689"/>
      <c r="Y29" s="269"/>
      <c r="Z29" s="425"/>
      <c r="AA29" s="681"/>
      <c r="AB29" s="269"/>
      <c r="AC29" s="425"/>
      <c r="AD29" s="681"/>
      <c r="AE29" s="269"/>
      <c r="AF29" s="425"/>
      <c r="AG29" s="251"/>
      <c r="AM29" s="251">
        <f t="shared" si="0"/>
        <v>0</v>
      </c>
      <c r="AN29" s="251">
        <f t="shared" si="1"/>
        <v>0</v>
      </c>
    </row>
    <row r="30" spans="1:40" s="742" customFormat="1" ht="14.25" customHeight="1" x14ac:dyDescent="0.25">
      <c r="A30" s="264"/>
      <c r="B30" s="293">
        <v>3231201</v>
      </c>
      <c r="C30" s="126" t="s">
        <v>43</v>
      </c>
      <c r="D30" s="169" t="s">
        <v>122</v>
      </c>
      <c r="E30" s="272">
        <v>119</v>
      </c>
      <c r="F30" s="273" t="s">
        <v>23</v>
      </c>
      <c r="G30" s="233">
        <v>119</v>
      </c>
      <c r="H30" s="425">
        <v>1.1900000000000001E-3</v>
      </c>
      <c r="I30" s="681">
        <v>0</v>
      </c>
      <c r="J30" s="233">
        <f t="shared" ref="J30:J42" si="21">I30/G30*100</f>
        <v>0</v>
      </c>
      <c r="K30" s="425">
        <f t="shared" ref="K30:K42" si="22">J30*$H30</f>
        <v>0</v>
      </c>
      <c r="L30" s="681">
        <v>0</v>
      </c>
      <c r="M30" s="233">
        <f t="shared" ref="M30:M42" si="23">L30/G30*100</f>
        <v>0</v>
      </c>
      <c r="N30" s="425">
        <f t="shared" ref="N30:N42" si="24">M30*$H30</f>
        <v>0</v>
      </c>
      <c r="O30" s="689">
        <v>0</v>
      </c>
      <c r="P30" s="269">
        <f t="shared" ref="P30:P42" si="25">O30/G30*100</f>
        <v>0</v>
      </c>
      <c r="Q30" s="425">
        <f t="shared" ref="Q30:Q42" si="26">P30*$H30</f>
        <v>0</v>
      </c>
      <c r="R30" s="681">
        <v>0</v>
      </c>
      <c r="S30" s="269">
        <f t="shared" ref="S30:S42" si="27">R30/G30*100</f>
        <v>0</v>
      </c>
      <c r="T30" s="425">
        <f t="shared" ref="T30:T42" si="28">S30*$H30</f>
        <v>0</v>
      </c>
      <c r="U30" s="681">
        <v>0</v>
      </c>
      <c r="V30" s="269">
        <f t="shared" ref="V30:V42" si="29">U30/G30*100</f>
        <v>0</v>
      </c>
      <c r="W30" s="425">
        <f t="shared" ref="W30:W42" si="30">V30*$H30</f>
        <v>0</v>
      </c>
      <c r="X30" s="689">
        <v>0</v>
      </c>
      <c r="Y30" s="269">
        <f t="shared" ref="Y30:Y42" si="31">X30/G30*100</f>
        <v>0</v>
      </c>
      <c r="Z30" s="425">
        <f t="shared" ref="Z30:Z42" si="32">Y30*$H30</f>
        <v>0</v>
      </c>
      <c r="AA30" s="681">
        <v>119</v>
      </c>
      <c r="AB30" s="269">
        <f t="shared" ref="AB30:AB42" si="33">AA30/G30*100</f>
        <v>100</v>
      </c>
      <c r="AC30" s="425">
        <f t="shared" ref="AC30:AC42" si="34">AB30*$H30</f>
        <v>0.11900000000000001</v>
      </c>
      <c r="AD30" s="681">
        <v>0</v>
      </c>
      <c r="AE30" s="269">
        <f t="shared" ref="AE30:AE42" si="35">AD30/G30*100</f>
        <v>0</v>
      </c>
      <c r="AF30" s="425">
        <f t="shared" ref="AF30:AF42" si="36">AE30*$H30</f>
        <v>0</v>
      </c>
      <c r="AG30" s="251">
        <f t="shared" ref="AG30:AG42" si="37">SUM(AE30+AB30+Y30+V30+S30+P30+M30+J30)</f>
        <v>100</v>
      </c>
      <c r="AH30" s="423">
        <f t="shared" ref="AH30:AH42" si="38">N30+Q30+T30+W30+Z30+AC30+AF30</f>
        <v>0.11900000000000001</v>
      </c>
      <c r="AI30" s="742">
        <f t="shared" ref="AI30:AI42" si="39">ROW(AH30)</f>
        <v>30</v>
      </c>
      <c r="AM30" s="251">
        <f t="shared" si="0"/>
        <v>119</v>
      </c>
      <c r="AN30" s="251">
        <f t="shared" si="1"/>
        <v>0</v>
      </c>
    </row>
    <row r="31" spans="1:40" s="742" customFormat="1" ht="16.5" customHeight="1" x14ac:dyDescent="0.25">
      <c r="A31" s="264"/>
      <c r="B31" s="293">
        <v>3231201</v>
      </c>
      <c r="C31" s="271" t="s">
        <v>44</v>
      </c>
      <c r="D31" s="175"/>
      <c r="E31" s="272">
        <v>536.70000000000005</v>
      </c>
      <c r="F31" s="273" t="s">
        <v>23</v>
      </c>
      <c r="G31" s="233">
        <v>536.70000000000005</v>
      </c>
      <c r="H31" s="425">
        <v>5.3800000000000002E-3</v>
      </c>
      <c r="I31" s="681">
        <v>0</v>
      </c>
      <c r="J31" s="233">
        <f t="shared" si="21"/>
        <v>0</v>
      </c>
      <c r="K31" s="425">
        <f t="shared" si="22"/>
        <v>0</v>
      </c>
      <c r="L31" s="681">
        <v>9.2200000000000006</v>
      </c>
      <c r="M31" s="233">
        <f t="shared" si="23"/>
        <v>1.7179057201416061</v>
      </c>
      <c r="N31" s="425">
        <f t="shared" si="24"/>
        <v>9.2423327743618409E-3</v>
      </c>
      <c r="O31" s="689">
        <v>29.86</v>
      </c>
      <c r="P31" s="269">
        <f t="shared" si="25"/>
        <v>5.5636295882243338</v>
      </c>
      <c r="Q31" s="425">
        <f t="shared" si="26"/>
        <v>2.9932327184646917E-2</v>
      </c>
      <c r="R31" s="681">
        <v>86.55</v>
      </c>
      <c r="S31" s="269">
        <f t="shared" si="27"/>
        <v>16.126327557294577</v>
      </c>
      <c r="T31" s="425">
        <f t="shared" si="28"/>
        <v>8.6759642258244826E-2</v>
      </c>
      <c r="U31" s="681">
        <v>175.87</v>
      </c>
      <c r="V31" s="269">
        <f t="shared" si="29"/>
        <v>32.768772125954911</v>
      </c>
      <c r="W31" s="425">
        <f t="shared" si="30"/>
        <v>0.17629599403763743</v>
      </c>
      <c r="X31" s="689">
        <v>22.21</v>
      </c>
      <c r="Y31" s="269">
        <f t="shared" si="31"/>
        <v>4.1382522824669277</v>
      </c>
      <c r="Z31" s="425">
        <f t="shared" si="32"/>
        <v>2.2263797279672072E-2</v>
      </c>
      <c r="AA31" s="681">
        <v>127.794</v>
      </c>
      <c r="AB31" s="269">
        <f t="shared" si="33"/>
        <v>23.811067635550582</v>
      </c>
      <c r="AC31" s="425">
        <f t="shared" si="34"/>
        <v>0.12810354387926215</v>
      </c>
      <c r="AD31" s="681">
        <v>85.196000000000026</v>
      </c>
      <c r="AE31" s="269">
        <f t="shared" si="35"/>
        <v>15.874045090367062</v>
      </c>
      <c r="AF31" s="425">
        <f t="shared" si="36"/>
        <v>8.5402362586174799E-2</v>
      </c>
      <c r="AG31" s="251">
        <f t="shared" si="37"/>
        <v>99.999999999999986</v>
      </c>
      <c r="AH31" s="423">
        <f t="shared" si="38"/>
        <v>0.53800000000000014</v>
      </c>
      <c r="AI31" s="742">
        <f t="shared" si="39"/>
        <v>31</v>
      </c>
      <c r="AM31" s="251">
        <f t="shared" si="0"/>
        <v>536.70000000000005</v>
      </c>
      <c r="AN31" s="251">
        <f t="shared" si="1"/>
        <v>0</v>
      </c>
    </row>
    <row r="32" spans="1:40" s="742" customFormat="1" ht="24" customHeight="1" x14ac:dyDescent="0.25">
      <c r="A32" s="264"/>
      <c r="B32" s="293">
        <v>3231201</v>
      </c>
      <c r="C32" s="277" t="s">
        <v>45</v>
      </c>
      <c r="D32" s="175"/>
      <c r="E32" s="272">
        <v>2957.63</v>
      </c>
      <c r="F32" s="273" t="s">
        <v>23</v>
      </c>
      <c r="G32" s="233">
        <v>2957.63</v>
      </c>
      <c r="H32" s="425">
        <v>2.964E-2</v>
      </c>
      <c r="I32" s="681">
        <v>0</v>
      </c>
      <c r="J32" s="233">
        <f t="shared" si="21"/>
        <v>0</v>
      </c>
      <c r="K32" s="425">
        <f t="shared" si="22"/>
        <v>0</v>
      </c>
      <c r="L32" s="681">
        <v>0</v>
      </c>
      <c r="M32" s="233">
        <f t="shared" si="23"/>
        <v>0</v>
      </c>
      <c r="N32" s="425">
        <f t="shared" si="24"/>
        <v>0</v>
      </c>
      <c r="O32" s="689">
        <v>199.49</v>
      </c>
      <c r="P32" s="269">
        <f t="shared" si="25"/>
        <v>6.7449275264316366</v>
      </c>
      <c r="Q32" s="425">
        <f t="shared" si="26"/>
        <v>0.19991965188343372</v>
      </c>
      <c r="R32" s="681">
        <v>524.89</v>
      </c>
      <c r="S32" s="269">
        <f t="shared" si="27"/>
        <v>17.746979845349149</v>
      </c>
      <c r="T32" s="425">
        <f t="shared" si="28"/>
        <v>0.52602048261614875</v>
      </c>
      <c r="U32" s="681">
        <v>622.25</v>
      </c>
      <c r="V32" s="269">
        <f t="shared" si="29"/>
        <v>21.038804718642968</v>
      </c>
      <c r="W32" s="425">
        <f t="shared" si="30"/>
        <v>0.62359017186057752</v>
      </c>
      <c r="X32" s="689">
        <v>338.12</v>
      </c>
      <c r="Y32" s="269">
        <f t="shared" si="31"/>
        <v>11.432126398501502</v>
      </c>
      <c r="Z32" s="425">
        <f t="shared" si="32"/>
        <v>0.33884822645158452</v>
      </c>
      <c r="AA32" s="681">
        <v>801.91440000000011</v>
      </c>
      <c r="AB32" s="269">
        <f t="shared" si="33"/>
        <v>27.11341175197709</v>
      </c>
      <c r="AC32" s="425">
        <f t="shared" si="34"/>
        <v>0.80364152432860092</v>
      </c>
      <c r="AD32" s="681">
        <v>470.96560000000011</v>
      </c>
      <c r="AE32" s="269">
        <f t="shared" si="35"/>
        <v>15.923749759097658</v>
      </c>
      <c r="AF32" s="425">
        <f t="shared" si="36"/>
        <v>0.47197994285965461</v>
      </c>
      <c r="AG32" s="251">
        <f t="shared" si="37"/>
        <v>100</v>
      </c>
      <c r="AH32" s="423">
        <f t="shared" si="38"/>
        <v>2.964</v>
      </c>
      <c r="AI32" s="742">
        <f t="shared" si="39"/>
        <v>32</v>
      </c>
      <c r="AM32" s="251">
        <f t="shared" si="0"/>
        <v>2957.63</v>
      </c>
      <c r="AN32" s="251">
        <f t="shared" si="1"/>
        <v>0</v>
      </c>
    </row>
    <row r="33" spans="1:40" s="742" customFormat="1" ht="27" customHeight="1" x14ac:dyDescent="0.25">
      <c r="A33" s="264"/>
      <c r="B33" s="293">
        <v>3231201</v>
      </c>
      <c r="C33" s="277" t="s">
        <v>46</v>
      </c>
      <c r="D33" s="175"/>
      <c r="E33" s="272">
        <v>1043.6099999999999</v>
      </c>
      <c r="F33" s="273" t="s">
        <v>23</v>
      </c>
      <c r="G33" s="233">
        <v>1043.6099999999999</v>
      </c>
      <c r="H33" s="425">
        <v>1.0460000000000001E-2</v>
      </c>
      <c r="I33" s="681">
        <v>0</v>
      </c>
      <c r="J33" s="233">
        <f t="shared" si="21"/>
        <v>0</v>
      </c>
      <c r="K33" s="425">
        <f t="shared" si="22"/>
        <v>0</v>
      </c>
      <c r="L33" s="681">
        <v>0</v>
      </c>
      <c r="M33" s="233">
        <f t="shared" si="23"/>
        <v>0</v>
      </c>
      <c r="N33" s="425">
        <f t="shared" si="24"/>
        <v>0</v>
      </c>
      <c r="O33" s="689">
        <v>119.7</v>
      </c>
      <c r="P33" s="269">
        <f t="shared" si="25"/>
        <v>11.469801937505391</v>
      </c>
      <c r="Q33" s="425">
        <f t="shared" si="26"/>
        <v>0.11997412826630639</v>
      </c>
      <c r="R33" s="681">
        <v>224.29</v>
      </c>
      <c r="S33" s="269">
        <f t="shared" si="27"/>
        <v>21.491745000527018</v>
      </c>
      <c r="T33" s="425">
        <f t="shared" si="28"/>
        <v>0.22480365270551261</v>
      </c>
      <c r="U33" s="681">
        <v>234.21</v>
      </c>
      <c r="V33" s="269">
        <f t="shared" si="29"/>
        <v>22.442291660677842</v>
      </c>
      <c r="W33" s="425">
        <f t="shared" si="30"/>
        <v>0.23474637077069024</v>
      </c>
      <c r="X33" s="689">
        <v>82.97</v>
      </c>
      <c r="Y33" s="269">
        <f t="shared" si="31"/>
        <v>7.9502879428138868</v>
      </c>
      <c r="Z33" s="425">
        <f t="shared" si="32"/>
        <v>8.3160011881833265E-2</v>
      </c>
      <c r="AA33" s="681">
        <v>210.3419999999999</v>
      </c>
      <c r="AB33" s="269">
        <f t="shared" si="33"/>
        <v>20.15523040216172</v>
      </c>
      <c r="AC33" s="425">
        <f t="shared" si="34"/>
        <v>0.2108237100066116</v>
      </c>
      <c r="AD33" s="681">
        <v>172.0979999999999</v>
      </c>
      <c r="AE33" s="269">
        <f t="shared" si="35"/>
        <v>16.490643056314134</v>
      </c>
      <c r="AF33" s="425">
        <f t="shared" si="36"/>
        <v>0.17249212636904585</v>
      </c>
      <c r="AG33" s="251">
        <f t="shared" si="37"/>
        <v>100</v>
      </c>
      <c r="AH33" s="423">
        <f t="shared" si="38"/>
        <v>1.046</v>
      </c>
      <c r="AI33" s="742">
        <f t="shared" si="39"/>
        <v>33</v>
      </c>
      <c r="AM33" s="251">
        <f t="shared" si="0"/>
        <v>1043.6099999999999</v>
      </c>
      <c r="AN33" s="251">
        <f t="shared" si="1"/>
        <v>0</v>
      </c>
    </row>
    <row r="34" spans="1:40" s="742" customFormat="1" ht="18" customHeight="1" x14ac:dyDescent="0.25">
      <c r="A34" s="264"/>
      <c r="B34" s="270">
        <v>3211109</v>
      </c>
      <c r="C34" s="271" t="s">
        <v>47</v>
      </c>
      <c r="D34" s="169" t="s">
        <v>50</v>
      </c>
      <c r="E34" s="272">
        <v>22</v>
      </c>
      <c r="F34" s="273" t="s">
        <v>23</v>
      </c>
      <c r="G34" s="233">
        <v>22</v>
      </c>
      <c r="H34" s="425">
        <v>2.2000000000000001E-4</v>
      </c>
      <c r="I34" s="681">
        <v>0.25</v>
      </c>
      <c r="J34" s="233">
        <f t="shared" si="21"/>
        <v>1.1363636363636365</v>
      </c>
      <c r="K34" s="425">
        <f t="shared" si="22"/>
        <v>2.5000000000000001E-4</v>
      </c>
      <c r="L34" s="681">
        <v>2.11</v>
      </c>
      <c r="M34" s="233">
        <f t="shared" si="23"/>
        <v>9.5909090909090899</v>
      </c>
      <c r="N34" s="425">
        <f t="shared" si="24"/>
        <v>2.1099999999999999E-3</v>
      </c>
      <c r="O34" s="689">
        <v>2.35</v>
      </c>
      <c r="P34" s="269">
        <f t="shared" si="25"/>
        <v>10.681818181818183</v>
      </c>
      <c r="Q34" s="425">
        <f t="shared" si="26"/>
        <v>2.3500000000000005E-3</v>
      </c>
      <c r="R34" s="681">
        <v>2</v>
      </c>
      <c r="S34" s="269">
        <f t="shared" si="27"/>
        <v>9.0909090909090917</v>
      </c>
      <c r="T34" s="425">
        <f t="shared" si="28"/>
        <v>2E-3</v>
      </c>
      <c r="U34" s="681">
        <v>4.25</v>
      </c>
      <c r="V34" s="269">
        <f t="shared" si="29"/>
        <v>19.318181818181817</v>
      </c>
      <c r="W34" s="425">
        <f t="shared" si="30"/>
        <v>4.2499999999999994E-3</v>
      </c>
      <c r="X34" s="689">
        <v>3.49</v>
      </c>
      <c r="Y34" s="269">
        <f t="shared" si="31"/>
        <v>15.863636363636365</v>
      </c>
      <c r="Z34" s="425">
        <f t="shared" si="32"/>
        <v>3.4900000000000005E-3</v>
      </c>
      <c r="AA34" s="681">
        <v>4.6809999999999992</v>
      </c>
      <c r="AB34" s="269">
        <f t="shared" si="33"/>
        <v>21.277272727272724</v>
      </c>
      <c r="AC34" s="425">
        <f t="shared" si="34"/>
        <v>4.6809999999999994E-3</v>
      </c>
      <c r="AD34" s="681">
        <v>2.8690000000000002</v>
      </c>
      <c r="AE34" s="269">
        <f t="shared" si="35"/>
        <v>13.040909090909093</v>
      </c>
      <c r="AF34" s="425">
        <f t="shared" si="36"/>
        <v>2.8690000000000005E-3</v>
      </c>
      <c r="AG34" s="251">
        <f t="shared" si="37"/>
        <v>100.00000000000001</v>
      </c>
      <c r="AH34" s="423">
        <f t="shared" si="38"/>
        <v>2.1750000000000002E-2</v>
      </c>
      <c r="AI34" s="742">
        <f t="shared" si="39"/>
        <v>34</v>
      </c>
      <c r="AM34" s="251">
        <f t="shared" si="0"/>
        <v>22</v>
      </c>
      <c r="AN34" s="251">
        <f t="shared" si="1"/>
        <v>0</v>
      </c>
    </row>
    <row r="35" spans="1:40" s="742" customFormat="1" ht="18.75" customHeight="1" x14ac:dyDescent="0.25">
      <c r="A35" s="264"/>
      <c r="B35" s="270">
        <v>3256103</v>
      </c>
      <c r="C35" s="271" t="s">
        <v>48</v>
      </c>
      <c r="D35" s="169"/>
      <c r="E35" s="272">
        <v>15</v>
      </c>
      <c r="F35" s="273" t="s">
        <v>23</v>
      </c>
      <c r="G35" s="233">
        <v>15</v>
      </c>
      <c r="H35" s="425">
        <v>1.4999999999999999E-4</v>
      </c>
      <c r="I35" s="681">
        <v>0</v>
      </c>
      <c r="J35" s="233">
        <f t="shared" si="21"/>
        <v>0</v>
      </c>
      <c r="K35" s="425">
        <f t="shared" si="22"/>
        <v>0</v>
      </c>
      <c r="L35" s="681">
        <v>0.99</v>
      </c>
      <c r="M35" s="233">
        <f t="shared" si="23"/>
        <v>6.6000000000000005</v>
      </c>
      <c r="N35" s="425">
        <f t="shared" si="24"/>
        <v>9.8999999999999999E-4</v>
      </c>
      <c r="O35" s="689">
        <v>0.75</v>
      </c>
      <c r="P35" s="269">
        <f t="shared" si="25"/>
        <v>5</v>
      </c>
      <c r="Q35" s="425">
        <f t="shared" si="26"/>
        <v>7.4999999999999991E-4</v>
      </c>
      <c r="R35" s="681">
        <v>1</v>
      </c>
      <c r="S35" s="269">
        <f t="shared" si="27"/>
        <v>6.666666666666667</v>
      </c>
      <c r="T35" s="425">
        <f t="shared" si="28"/>
        <v>1E-3</v>
      </c>
      <c r="U35" s="681">
        <v>1</v>
      </c>
      <c r="V35" s="269">
        <f t="shared" si="29"/>
        <v>6.666666666666667</v>
      </c>
      <c r="W35" s="425">
        <f t="shared" si="30"/>
        <v>1E-3</v>
      </c>
      <c r="X35" s="689">
        <v>3</v>
      </c>
      <c r="Y35" s="269">
        <f t="shared" si="31"/>
        <v>20</v>
      </c>
      <c r="Z35" s="425">
        <f t="shared" si="32"/>
        <v>2.9999999999999996E-3</v>
      </c>
      <c r="AA35" s="681">
        <v>4.7907999999999999</v>
      </c>
      <c r="AB35" s="269">
        <f t="shared" si="33"/>
        <v>31.938666666666666</v>
      </c>
      <c r="AC35" s="425">
        <f t="shared" si="34"/>
        <v>4.7907999999999996E-3</v>
      </c>
      <c r="AD35" s="681">
        <v>3.4691999999999998</v>
      </c>
      <c r="AE35" s="269">
        <f t="shared" si="35"/>
        <v>23.128</v>
      </c>
      <c r="AF35" s="425">
        <f t="shared" si="36"/>
        <v>3.4691999999999995E-3</v>
      </c>
      <c r="AG35" s="251">
        <f t="shared" si="37"/>
        <v>100</v>
      </c>
      <c r="AH35" s="423">
        <f t="shared" si="38"/>
        <v>1.4999999999999999E-2</v>
      </c>
      <c r="AI35" s="742">
        <f t="shared" si="39"/>
        <v>35</v>
      </c>
      <c r="AM35" s="251">
        <f t="shared" si="0"/>
        <v>15</v>
      </c>
      <c r="AN35" s="251">
        <f t="shared" si="1"/>
        <v>0</v>
      </c>
    </row>
    <row r="36" spans="1:40" s="742" customFormat="1" ht="26.25" customHeight="1" x14ac:dyDescent="0.25">
      <c r="A36" s="264"/>
      <c r="B36" s="613">
        <v>3257101</v>
      </c>
      <c r="C36" s="612" t="s">
        <v>49</v>
      </c>
      <c r="D36" s="278" t="s">
        <v>50</v>
      </c>
      <c r="E36" s="272">
        <v>0</v>
      </c>
      <c r="F36" s="279" t="s">
        <v>52</v>
      </c>
      <c r="G36" s="233">
        <v>7901.4</v>
      </c>
      <c r="H36" s="425">
        <v>7.9189999999999997E-2</v>
      </c>
      <c r="I36" s="681">
        <v>849.67</v>
      </c>
      <c r="J36" s="233">
        <f t="shared" si="21"/>
        <v>10.753410787961627</v>
      </c>
      <c r="K36" s="425">
        <f t="shared" si="22"/>
        <v>0.85156260029868125</v>
      </c>
      <c r="L36" s="681">
        <v>1849.425</v>
      </c>
      <c r="M36" s="233">
        <f t="shared" si="23"/>
        <v>23.406295086946617</v>
      </c>
      <c r="N36" s="425">
        <f t="shared" si="24"/>
        <v>1.8535445079353026</v>
      </c>
      <c r="O36" s="689">
        <v>1123.1500000000001</v>
      </c>
      <c r="P36" s="269">
        <f t="shared" si="25"/>
        <v>14.214569569949632</v>
      </c>
      <c r="Q36" s="425">
        <f t="shared" si="26"/>
        <v>1.1256517642443113</v>
      </c>
      <c r="R36" s="681">
        <v>689.33</v>
      </c>
      <c r="S36" s="269">
        <f t="shared" si="27"/>
        <v>8.7241501506062225</v>
      </c>
      <c r="T36" s="425">
        <f t="shared" si="28"/>
        <v>0.69086545042650671</v>
      </c>
      <c r="U36" s="681">
        <v>686.43</v>
      </c>
      <c r="V36" s="269">
        <f t="shared" si="29"/>
        <v>8.6874477940618124</v>
      </c>
      <c r="W36" s="425">
        <f t="shared" si="30"/>
        <v>0.68795899081175493</v>
      </c>
      <c r="X36" s="689">
        <v>450</v>
      </c>
      <c r="Y36" s="269">
        <f t="shared" si="31"/>
        <v>5.6951932568911836</v>
      </c>
      <c r="Z36" s="425">
        <f t="shared" si="32"/>
        <v>0.45100235401321281</v>
      </c>
      <c r="AA36" s="681">
        <v>1374.57095</v>
      </c>
      <c r="AB36" s="269">
        <f t="shared" si="33"/>
        <v>17.396549345685575</v>
      </c>
      <c r="AC36" s="425">
        <f t="shared" si="34"/>
        <v>1.3776327426848407</v>
      </c>
      <c r="AD36" s="681">
        <v>878.82404999999983</v>
      </c>
      <c r="AE36" s="269">
        <f t="shared" si="35"/>
        <v>11.122384007897333</v>
      </c>
      <c r="AF36" s="425">
        <f t="shared" si="36"/>
        <v>0.88078158958538977</v>
      </c>
      <c r="AG36" s="251">
        <f t="shared" si="37"/>
        <v>100</v>
      </c>
      <c r="AH36" s="423">
        <f t="shared" si="38"/>
        <v>7.0674373997013191</v>
      </c>
      <c r="AI36" s="742">
        <f t="shared" si="39"/>
        <v>36</v>
      </c>
      <c r="AM36" s="251">
        <f t="shared" si="0"/>
        <v>7901.4000000000005</v>
      </c>
      <c r="AN36" s="251">
        <f t="shared" si="1"/>
        <v>0</v>
      </c>
    </row>
    <row r="37" spans="1:40" s="742" customFormat="1" ht="17.25" customHeight="1" x14ac:dyDescent="0.25">
      <c r="A37" s="264"/>
      <c r="B37" s="614">
        <v>3111332</v>
      </c>
      <c r="C37" s="271" t="s">
        <v>53</v>
      </c>
      <c r="D37" s="169" t="s">
        <v>199</v>
      </c>
      <c r="E37" s="272">
        <v>30</v>
      </c>
      <c r="F37" s="273" t="s">
        <v>23</v>
      </c>
      <c r="G37" s="233">
        <v>30</v>
      </c>
      <c r="H37" s="425">
        <v>2.9999999999999997E-4</v>
      </c>
      <c r="I37" s="681">
        <v>0.4</v>
      </c>
      <c r="J37" s="233">
        <f t="shared" si="21"/>
        <v>1.3333333333333335</v>
      </c>
      <c r="K37" s="425">
        <f t="shared" si="22"/>
        <v>4.0000000000000002E-4</v>
      </c>
      <c r="L37" s="681">
        <v>1.33</v>
      </c>
      <c r="M37" s="233">
        <f t="shared" si="23"/>
        <v>4.4333333333333336</v>
      </c>
      <c r="N37" s="425">
        <f t="shared" si="24"/>
        <v>1.33E-3</v>
      </c>
      <c r="O37" s="689">
        <v>1.5</v>
      </c>
      <c r="P37" s="269">
        <f t="shared" si="25"/>
        <v>5</v>
      </c>
      <c r="Q37" s="425">
        <f t="shared" si="26"/>
        <v>1.4999999999999998E-3</v>
      </c>
      <c r="R37" s="681">
        <v>4.5</v>
      </c>
      <c r="S37" s="269">
        <f t="shared" si="27"/>
        <v>15</v>
      </c>
      <c r="T37" s="425">
        <f t="shared" si="28"/>
        <v>4.4999999999999997E-3</v>
      </c>
      <c r="U37" s="681">
        <v>5</v>
      </c>
      <c r="V37" s="269">
        <f t="shared" si="29"/>
        <v>16.666666666666664</v>
      </c>
      <c r="W37" s="425">
        <f t="shared" si="30"/>
        <v>4.9999999999999992E-3</v>
      </c>
      <c r="X37" s="689">
        <v>3</v>
      </c>
      <c r="Y37" s="269">
        <f t="shared" si="31"/>
        <v>10</v>
      </c>
      <c r="Z37" s="425">
        <f t="shared" si="32"/>
        <v>2.9999999999999996E-3</v>
      </c>
      <c r="AA37" s="681">
        <v>8.2765999999999984</v>
      </c>
      <c r="AB37" s="269">
        <f t="shared" si="33"/>
        <v>27.588666666666661</v>
      </c>
      <c r="AC37" s="425">
        <f t="shared" si="34"/>
        <v>8.2765999999999985E-3</v>
      </c>
      <c r="AD37" s="681">
        <v>5.9933999999999994</v>
      </c>
      <c r="AE37" s="269">
        <f t="shared" si="35"/>
        <v>19.977999999999998</v>
      </c>
      <c r="AF37" s="425">
        <f t="shared" si="36"/>
        <v>5.9933999999999986E-3</v>
      </c>
      <c r="AG37" s="251">
        <f t="shared" si="37"/>
        <v>99.999999999999986</v>
      </c>
      <c r="AH37" s="423">
        <f t="shared" si="38"/>
        <v>2.9599999999999998E-2</v>
      </c>
      <c r="AI37" s="742">
        <f t="shared" si="39"/>
        <v>37</v>
      </c>
      <c r="AM37" s="251">
        <f t="shared" si="0"/>
        <v>30</v>
      </c>
      <c r="AN37" s="251">
        <f t="shared" si="1"/>
        <v>0</v>
      </c>
    </row>
    <row r="38" spans="1:40" s="742" customFormat="1" ht="15.75" customHeight="1" x14ac:dyDescent="0.25">
      <c r="A38" s="264"/>
      <c r="B38" s="613">
        <v>3111332</v>
      </c>
      <c r="C38" s="271" t="s">
        <v>54</v>
      </c>
      <c r="D38" s="169" t="s">
        <v>199</v>
      </c>
      <c r="E38" s="272">
        <v>10</v>
      </c>
      <c r="F38" s="273" t="s">
        <v>23</v>
      </c>
      <c r="G38" s="233">
        <v>10</v>
      </c>
      <c r="H38" s="425">
        <v>1E-4</v>
      </c>
      <c r="I38" s="681">
        <v>0</v>
      </c>
      <c r="J38" s="233">
        <f t="shared" si="21"/>
        <v>0</v>
      </c>
      <c r="K38" s="425">
        <f t="shared" si="22"/>
        <v>0</v>
      </c>
      <c r="L38" s="681">
        <v>0</v>
      </c>
      <c r="M38" s="233">
        <f t="shared" si="23"/>
        <v>0</v>
      </c>
      <c r="N38" s="425">
        <f t="shared" si="24"/>
        <v>0</v>
      </c>
      <c r="O38" s="689">
        <v>0.27</v>
      </c>
      <c r="P38" s="269">
        <f t="shared" si="25"/>
        <v>2.7</v>
      </c>
      <c r="Q38" s="425">
        <f t="shared" si="26"/>
        <v>2.7000000000000006E-4</v>
      </c>
      <c r="R38" s="681">
        <v>0.25</v>
      </c>
      <c r="S38" s="269">
        <f t="shared" si="27"/>
        <v>2.5</v>
      </c>
      <c r="T38" s="425">
        <f t="shared" si="28"/>
        <v>2.5000000000000001E-4</v>
      </c>
      <c r="U38" s="681">
        <v>0.77</v>
      </c>
      <c r="V38" s="269">
        <f t="shared" si="29"/>
        <v>7.7</v>
      </c>
      <c r="W38" s="425">
        <f t="shared" si="30"/>
        <v>7.7000000000000007E-4</v>
      </c>
      <c r="X38" s="689">
        <v>0.41</v>
      </c>
      <c r="Y38" s="269">
        <f t="shared" si="31"/>
        <v>4.0999999999999996</v>
      </c>
      <c r="Z38" s="425">
        <f t="shared" si="32"/>
        <v>4.0999999999999999E-4</v>
      </c>
      <c r="AA38" s="681">
        <v>8.3000000000000007</v>
      </c>
      <c r="AB38" s="269">
        <f t="shared" si="33"/>
        <v>83</v>
      </c>
      <c r="AC38" s="425">
        <f t="shared" si="34"/>
        <v>8.3000000000000001E-3</v>
      </c>
      <c r="AD38" s="681">
        <v>0</v>
      </c>
      <c r="AE38" s="269">
        <f t="shared" si="35"/>
        <v>0</v>
      </c>
      <c r="AF38" s="425">
        <f t="shared" si="36"/>
        <v>0</v>
      </c>
      <c r="AG38" s="251">
        <f t="shared" si="37"/>
        <v>100</v>
      </c>
      <c r="AH38" s="423">
        <f t="shared" si="38"/>
        <v>0.01</v>
      </c>
      <c r="AI38" s="742">
        <f t="shared" si="39"/>
        <v>38</v>
      </c>
      <c r="AM38" s="251">
        <f t="shared" si="0"/>
        <v>10</v>
      </c>
      <c r="AN38" s="251">
        <f t="shared" si="1"/>
        <v>0</v>
      </c>
    </row>
    <row r="39" spans="1:40" s="742" customFormat="1" ht="13.5" customHeight="1" x14ac:dyDescent="0.25">
      <c r="A39" s="264"/>
      <c r="B39" s="613">
        <v>3111332</v>
      </c>
      <c r="C39" s="271" t="s">
        <v>55</v>
      </c>
      <c r="D39" s="169" t="s">
        <v>199</v>
      </c>
      <c r="E39" s="272">
        <v>10</v>
      </c>
      <c r="F39" s="273" t="s">
        <v>23</v>
      </c>
      <c r="G39" s="233">
        <v>10</v>
      </c>
      <c r="H39" s="425">
        <v>1E-4</v>
      </c>
      <c r="I39" s="681">
        <v>0</v>
      </c>
      <c r="J39" s="233">
        <f t="shared" si="21"/>
        <v>0</v>
      </c>
      <c r="K39" s="425">
        <f t="shared" si="22"/>
        <v>0</v>
      </c>
      <c r="L39" s="681">
        <v>0</v>
      </c>
      <c r="M39" s="233">
        <f t="shared" si="23"/>
        <v>0</v>
      </c>
      <c r="N39" s="425">
        <f t="shared" si="24"/>
        <v>0</v>
      </c>
      <c r="O39" s="689">
        <v>0.3</v>
      </c>
      <c r="P39" s="269">
        <f t="shared" si="25"/>
        <v>3</v>
      </c>
      <c r="Q39" s="425">
        <f t="shared" si="26"/>
        <v>3.0000000000000003E-4</v>
      </c>
      <c r="R39" s="681">
        <v>0.25</v>
      </c>
      <c r="S39" s="269">
        <f t="shared" si="27"/>
        <v>2.5</v>
      </c>
      <c r="T39" s="425">
        <f t="shared" si="28"/>
        <v>2.5000000000000001E-4</v>
      </c>
      <c r="U39" s="681">
        <v>0.75</v>
      </c>
      <c r="V39" s="269">
        <f t="shared" si="29"/>
        <v>7.5</v>
      </c>
      <c r="W39" s="425">
        <f t="shared" si="30"/>
        <v>7.5000000000000002E-4</v>
      </c>
      <c r="X39" s="689">
        <v>0.41</v>
      </c>
      <c r="Y39" s="269">
        <f t="shared" si="31"/>
        <v>4.0999999999999996</v>
      </c>
      <c r="Z39" s="425">
        <f t="shared" si="32"/>
        <v>4.0999999999999999E-4</v>
      </c>
      <c r="AA39" s="681">
        <v>4.1449999999999996</v>
      </c>
      <c r="AB39" s="269">
        <f t="shared" si="33"/>
        <v>41.449999999999996</v>
      </c>
      <c r="AC39" s="425">
        <f t="shared" si="34"/>
        <v>4.1449999999999994E-3</v>
      </c>
      <c r="AD39" s="681">
        <v>4.1449999999999996</v>
      </c>
      <c r="AE39" s="269">
        <f t="shared" si="35"/>
        <v>41.449999999999996</v>
      </c>
      <c r="AF39" s="425">
        <f t="shared" si="36"/>
        <v>4.1449999999999994E-3</v>
      </c>
      <c r="AG39" s="251">
        <f t="shared" si="37"/>
        <v>99.999999999999986</v>
      </c>
      <c r="AH39" s="423">
        <f t="shared" si="38"/>
        <v>9.9999999999999985E-3</v>
      </c>
      <c r="AI39" s="742">
        <f t="shared" si="39"/>
        <v>39</v>
      </c>
      <c r="AM39" s="251">
        <f t="shared" si="0"/>
        <v>10</v>
      </c>
      <c r="AN39" s="251">
        <f t="shared" si="1"/>
        <v>0</v>
      </c>
    </row>
    <row r="40" spans="1:40" s="742" customFormat="1" ht="18" customHeight="1" x14ac:dyDescent="0.25">
      <c r="A40" s="264"/>
      <c r="B40" s="613">
        <v>3257104</v>
      </c>
      <c r="C40" s="271" t="s">
        <v>56</v>
      </c>
      <c r="D40" s="169" t="s">
        <v>199</v>
      </c>
      <c r="E40" s="272">
        <v>162</v>
      </c>
      <c r="F40" s="273" t="s">
        <v>23</v>
      </c>
      <c r="G40" s="233">
        <v>162</v>
      </c>
      <c r="H40" s="425">
        <v>1.6199999999999999E-3</v>
      </c>
      <c r="I40" s="681">
        <v>0</v>
      </c>
      <c r="J40" s="233">
        <f t="shared" si="21"/>
        <v>0</v>
      </c>
      <c r="K40" s="425">
        <f t="shared" si="22"/>
        <v>0</v>
      </c>
      <c r="L40" s="681">
        <v>7.62</v>
      </c>
      <c r="M40" s="233">
        <f t="shared" si="23"/>
        <v>4.7037037037037033</v>
      </c>
      <c r="N40" s="425">
        <f t="shared" si="24"/>
        <v>7.6199999999999992E-3</v>
      </c>
      <c r="O40" s="689">
        <v>17.47</v>
      </c>
      <c r="P40" s="269">
        <f t="shared" si="25"/>
        <v>10.783950617283949</v>
      </c>
      <c r="Q40" s="425">
        <f t="shared" si="26"/>
        <v>1.7469999999999996E-2</v>
      </c>
      <c r="R40" s="681">
        <v>30</v>
      </c>
      <c r="S40" s="269">
        <f t="shared" si="27"/>
        <v>18.518518518518519</v>
      </c>
      <c r="T40" s="425">
        <f t="shared" si="28"/>
        <v>0.03</v>
      </c>
      <c r="U40" s="681">
        <v>29.93</v>
      </c>
      <c r="V40" s="269">
        <f t="shared" si="29"/>
        <v>18.475308641975307</v>
      </c>
      <c r="W40" s="425">
        <f t="shared" si="30"/>
        <v>2.9929999999999995E-2</v>
      </c>
      <c r="X40" s="689">
        <v>30</v>
      </c>
      <c r="Y40" s="269">
        <f t="shared" si="31"/>
        <v>18.518518518518519</v>
      </c>
      <c r="Z40" s="425">
        <f t="shared" si="32"/>
        <v>0.03</v>
      </c>
      <c r="AA40" s="681">
        <v>26.77859999999999</v>
      </c>
      <c r="AB40" s="269">
        <f t="shared" si="33"/>
        <v>16.529999999999994</v>
      </c>
      <c r="AC40" s="425">
        <f t="shared" si="34"/>
        <v>2.6778599999999989E-2</v>
      </c>
      <c r="AD40" s="681">
        <v>20.2014</v>
      </c>
      <c r="AE40" s="269">
        <f t="shared" si="35"/>
        <v>12.469999999999999</v>
      </c>
      <c r="AF40" s="425">
        <f t="shared" si="36"/>
        <v>2.0201399999999998E-2</v>
      </c>
      <c r="AG40" s="251">
        <f t="shared" si="37"/>
        <v>100</v>
      </c>
      <c r="AH40" s="423">
        <f t="shared" si="38"/>
        <v>0.16199999999999998</v>
      </c>
      <c r="AI40" s="742">
        <f t="shared" si="39"/>
        <v>40</v>
      </c>
      <c r="AM40" s="251">
        <f t="shared" si="0"/>
        <v>162</v>
      </c>
      <c r="AN40" s="251">
        <f t="shared" si="1"/>
        <v>0</v>
      </c>
    </row>
    <row r="41" spans="1:40" s="742" customFormat="1" ht="20.25" customHeight="1" x14ac:dyDescent="0.25">
      <c r="A41" s="264"/>
      <c r="B41" s="613">
        <v>3255101</v>
      </c>
      <c r="C41" s="271" t="s">
        <v>57</v>
      </c>
      <c r="D41" s="169" t="s">
        <v>199</v>
      </c>
      <c r="E41" s="272">
        <v>60</v>
      </c>
      <c r="F41" s="273" t="s">
        <v>23</v>
      </c>
      <c r="G41" s="233">
        <v>60</v>
      </c>
      <c r="H41" s="425">
        <v>5.9999999999999995E-4</v>
      </c>
      <c r="I41" s="681">
        <v>0.49</v>
      </c>
      <c r="J41" s="233">
        <f t="shared" si="21"/>
        <v>0.81666666666666654</v>
      </c>
      <c r="K41" s="425">
        <f t="shared" si="22"/>
        <v>4.8999999999999988E-4</v>
      </c>
      <c r="L41" s="681">
        <v>1.4990000000000001</v>
      </c>
      <c r="M41" s="233">
        <f t="shared" si="23"/>
        <v>2.4983333333333335</v>
      </c>
      <c r="N41" s="425">
        <f t="shared" si="24"/>
        <v>1.4989999999999999E-3</v>
      </c>
      <c r="O41" s="689">
        <v>4.5</v>
      </c>
      <c r="P41" s="269">
        <f t="shared" si="25"/>
        <v>7.5</v>
      </c>
      <c r="Q41" s="425">
        <f t="shared" si="26"/>
        <v>4.4999999999999997E-3</v>
      </c>
      <c r="R41" s="681">
        <v>6.48</v>
      </c>
      <c r="S41" s="269">
        <f t="shared" si="27"/>
        <v>10.8</v>
      </c>
      <c r="T41" s="425">
        <f t="shared" si="28"/>
        <v>6.4799999999999996E-3</v>
      </c>
      <c r="U41" s="681">
        <v>7.5</v>
      </c>
      <c r="V41" s="269">
        <f t="shared" si="29"/>
        <v>12.5</v>
      </c>
      <c r="W41" s="425">
        <f t="shared" si="30"/>
        <v>7.4999999999999997E-3</v>
      </c>
      <c r="X41" s="689">
        <v>10</v>
      </c>
      <c r="Y41" s="269">
        <f t="shared" si="31"/>
        <v>16.666666666666664</v>
      </c>
      <c r="Z41" s="425">
        <f t="shared" si="32"/>
        <v>9.9999999999999985E-3</v>
      </c>
      <c r="AA41" s="681">
        <v>16.242049999999999</v>
      </c>
      <c r="AB41" s="269">
        <f t="shared" si="33"/>
        <v>27.070083333333333</v>
      </c>
      <c r="AC41" s="425">
        <f t="shared" si="34"/>
        <v>1.6242049999999997E-2</v>
      </c>
      <c r="AD41" s="681">
        <v>13.28895</v>
      </c>
      <c r="AE41" s="269">
        <f t="shared" si="35"/>
        <v>22.148250000000001</v>
      </c>
      <c r="AF41" s="425">
        <f t="shared" si="36"/>
        <v>1.3288949999999999E-2</v>
      </c>
      <c r="AG41" s="251">
        <f t="shared" si="37"/>
        <v>99.999999999999986</v>
      </c>
      <c r="AH41" s="423">
        <f t="shared" si="38"/>
        <v>5.9509999999999993E-2</v>
      </c>
      <c r="AI41" s="742">
        <f t="shared" si="39"/>
        <v>41</v>
      </c>
      <c r="AM41" s="251">
        <f t="shared" si="0"/>
        <v>60</v>
      </c>
      <c r="AN41" s="251">
        <f t="shared" si="1"/>
        <v>0</v>
      </c>
    </row>
    <row r="42" spans="1:40" s="742" customFormat="1" ht="17.25" customHeight="1" x14ac:dyDescent="0.25">
      <c r="A42" s="264"/>
      <c r="B42" s="613">
        <v>3256101</v>
      </c>
      <c r="C42" s="271" t="s">
        <v>58</v>
      </c>
      <c r="D42" s="169" t="s">
        <v>199</v>
      </c>
      <c r="E42" s="272">
        <v>1700</v>
      </c>
      <c r="F42" s="273" t="s">
        <v>23</v>
      </c>
      <c r="G42" s="233">
        <v>1700</v>
      </c>
      <c r="H42" s="425">
        <v>1.704E-2</v>
      </c>
      <c r="I42" s="681">
        <v>0</v>
      </c>
      <c r="J42" s="233">
        <f t="shared" si="21"/>
        <v>0</v>
      </c>
      <c r="K42" s="425">
        <f t="shared" si="22"/>
        <v>0</v>
      </c>
      <c r="L42" s="681">
        <v>84.31</v>
      </c>
      <c r="M42" s="233">
        <f t="shared" si="23"/>
        <v>4.959411764705882</v>
      </c>
      <c r="N42" s="425">
        <f t="shared" si="24"/>
        <v>8.4508376470588231E-2</v>
      </c>
      <c r="O42" s="689">
        <v>227.97</v>
      </c>
      <c r="P42" s="269">
        <f t="shared" si="25"/>
        <v>13.41</v>
      </c>
      <c r="Q42" s="425">
        <f t="shared" si="26"/>
        <v>0.2285064</v>
      </c>
      <c r="R42" s="681">
        <v>263.24</v>
      </c>
      <c r="S42" s="269">
        <f t="shared" si="27"/>
        <v>15.484705882352943</v>
      </c>
      <c r="T42" s="425">
        <f t="shared" si="28"/>
        <v>0.26385938823529415</v>
      </c>
      <c r="U42" s="681">
        <v>299.93</v>
      </c>
      <c r="V42" s="269">
        <f t="shared" si="29"/>
        <v>17.64294117647059</v>
      </c>
      <c r="W42" s="425">
        <f t="shared" si="30"/>
        <v>0.30063571764705882</v>
      </c>
      <c r="X42" s="689">
        <v>299.95999999999998</v>
      </c>
      <c r="Y42" s="269">
        <f t="shared" si="31"/>
        <v>17.644705882352941</v>
      </c>
      <c r="Z42" s="425">
        <f t="shared" si="32"/>
        <v>0.30066578823529411</v>
      </c>
      <c r="AA42" s="681">
        <v>299.01629999999989</v>
      </c>
      <c r="AB42" s="269">
        <f t="shared" si="33"/>
        <v>17.589194117647054</v>
      </c>
      <c r="AC42" s="425">
        <f t="shared" si="34"/>
        <v>0.29971986776470577</v>
      </c>
      <c r="AD42" s="681">
        <v>225.5737</v>
      </c>
      <c r="AE42" s="269">
        <f t="shared" si="35"/>
        <v>13.269041176470589</v>
      </c>
      <c r="AF42" s="425">
        <f t="shared" si="36"/>
        <v>0.22610446164705883</v>
      </c>
      <c r="AG42" s="251">
        <f t="shared" si="37"/>
        <v>99.999999999999986</v>
      </c>
      <c r="AH42" s="423">
        <f t="shared" si="38"/>
        <v>1.704</v>
      </c>
      <c r="AI42" s="742">
        <f t="shared" si="39"/>
        <v>42</v>
      </c>
      <c r="AM42" s="251">
        <f t="shared" ref="AM42:AM73" si="40">SUM(I42,L42,O42,R42,U42,X42,AA42,AD42)</f>
        <v>1700</v>
      </c>
      <c r="AN42" s="251">
        <f t="shared" ref="AN42:AN73" si="41">AM42-G42</f>
        <v>0</v>
      </c>
    </row>
    <row r="43" spans="1:40" s="742" customFormat="1" ht="15.75" customHeight="1" x14ac:dyDescent="0.25">
      <c r="A43" s="264"/>
      <c r="B43" s="265"/>
      <c r="C43" s="266" t="s">
        <v>145</v>
      </c>
      <c r="D43" s="175"/>
      <c r="E43" s="280"/>
      <c r="F43" s="268"/>
      <c r="G43" s="233"/>
      <c r="H43" s="425"/>
      <c r="I43" s="681"/>
      <c r="J43" s="233"/>
      <c r="K43" s="425"/>
      <c r="L43" s="681"/>
      <c r="M43" s="233"/>
      <c r="N43" s="425"/>
      <c r="O43" s="689"/>
      <c r="P43" s="269"/>
      <c r="Q43" s="425"/>
      <c r="R43" s="681"/>
      <c r="S43" s="269"/>
      <c r="T43" s="425"/>
      <c r="U43" s="681"/>
      <c r="V43" s="269"/>
      <c r="W43" s="425"/>
      <c r="X43" s="689"/>
      <c r="Y43" s="269"/>
      <c r="Z43" s="425"/>
      <c r="AA43" s="681"/>
      <c r="AB43" s="269"/>
      <c r="AC43" s="425"/>
      <c r="AD43" s="681"/>
      <c r="AE43" s="269"/>
      <c r="AF43" s="425"/>
      <c r="AG43" s="251"/>
      <c r="AM43" s="251">
        <f t="shared" si="40"/>
        <v>0</v>
      </c>
      <c r="AN43" s="251">
        <f t="shared" si="41"/>
        <v>0</v>
      </c>
    </row>
    <row r="44" spans="1:40" s="742" customFormat="1" ht="15.75" customHeight="1" x14ac:dyDescent="0.25">
      <c r="A44" s="264"/>
      <c r="B44" s="270">
        <v>3258101</v>
      </c>
      <c r="C44" s="271" t="s">
        <v>60</v>
      </c>
      <c r="D44" s="175"/>
      <c r="E44" s="272">
        <v>125</v>
      </c>
      <c r="F44" s="281" t="s">
        <v>61</v>
      </c>
      <c r="G44" s="233">
        <v>125</v>
      </c>
      <c r="H44" s="425">
        <v>1.25E-3</v>
      </c>
      <c r="I44" s="681">
        <v>0.98</v>
      </c>
      <c r="J44" s="233">
        <f t="shared" ref="J44:J50" si="42">I44/G44*100</f>
        <v>0.78400000000000003</v>
      </c>
      <c r="K44" s="425">
        <f t="shared" ref="K44:K50" si="43">J44*$H44</f>
        <v>9.7999999999999997E-4</v>
      </c>
      <c r="L44" s="681">
        <v>5.9670000000000014</v>
      </c>
      <c r="M44" s="233">
        <f t="shared" ref="M44:M50" si="44">L44/G44*100</f>
        <v>4.7736000000000018</v>
      </c>
      <c r="N44" s="425">
        <f t="shared" ref="N44:N50" si="45">M44*$H44</f>
        <v>5.9670000000000027E-3</v>
      </c>
      <c r="O44" s="689">
        <v>12</v>
      </c>
      <c r="P44" s="269">
        <f t="shared" ref="P44:P50" si="46">O44/G44*100</f>
        <v>9.6</v>
      </c>
      <c r="Q44" s="425">
        <f t="shared" ref="Q44:Q50" si="47">P44*$H44</f>
        <v>1.2E-2</v>
      </c>
      <c r="R44" s="681">
        <v>21.99</v>
      </c>
      <c r="S44" s="269">
        <f t="shared" ref="S44:S50" si="48">R44/G44*100</f>
        <v>17.591999999999999</v>
      </c>
      <c r="T44" s="425">
        <f t="shared" ref="T44:T50" si="49">S44*$H44</f>
        <v>2.1989999999999999E-2</v>
      </c>
      <c r="U44" s="681">
        <v>20.46</v>
      </c>
      <c r="V44" s="269">
        <f t="shared" ref="V44:V50" si="50">U44/G44*100</f>
        <v>16.368000000000002</v>
      </c>
      <c r="W44" s="425">
        <f t="shared" ref="W44:W50" si="51">V44*$H44</f>
        <v>2.0460000000000002E-2</v>
      </c>
      <c r="X44" s="689">
        <v>14.97</v>
      </c>
      <c r="Y44" s="269">
        <f t="shared" ref="Y44:Y50" si="52">X44/G44*100</f>
        <v>11.976000000000001</v>
      </c>
      <c r="Z44" s="425">
        <f t="shared" ref="Z44:Z50" si="53">Y44*$H44</f>
        <v>1.4970000000000001E-2</v>
      </c>
      <c r="AA44" s="681">
        <v>26.748149999999999</v>
      </c>
      <c r="AB44" s="269">
        <f t="shared" ref="AB44:AB50" si="54">AA44/G44*100</f>
        <v>21.398519999999998</v>
      </c>
      <c r="AC44" s="425">
        <f t="shared" ref="AC44:AC50" si="55">AB44*$H44</f>
        <v>2.6748149999999998E-2</v>
      </c>
      <c r="AD44" s="681">
        <v>21.88485</v>
      </c>
      <c r="AE44" s="269">
        <f t="shared" ref="AE44:AE50" si="56">AD44/G44*100</f>
        <v>17.50788</v>
      </c>
      <c r="AF44" s="425">
        <f t="shared" ref="AF44:AF50" si="57">AE44*$H44</f>
        <v>2.1884850000000001E-2</v>
      </c>
      <c r="AG44" s="251">
        <f t="shared" ref="AG44:AG50" si="58">SUM(AE44+AB44+Y44+V44+S44+P44+M44+J44)</f>
        <v>100</v>
      </c>
      <c r="AH44" s="423">
        <f t="shared" ref="AH44:AH50" si="59">N44+Q44+T44+W44+Z44+AC44+AF44</f>
        <v>0.12402000000000001</v>
      </c>
      <c r="AI44" s="742">
        <f t="shared" ref="AI44:AI55" si="60">ROW(AH44)</f>
        <v>44</v>
      </c>
      <c r="AM44" s="251">
        <f t="shared" si="40"/>
        <v>125</v>
      </c>
      <c r="AN44" s="251">
        <f t="shared" si="41"/>
        <v>0</v>
      </c>
    </row>
    <row r="45" spans="1:40" s="742" customFormat="1" ht="15.75" customHeight="1" x14ac:dyDescent="0.25">
      <c r="A45" s="264"/>
      <c r="B45" s="270">
        <v>3258102</v>
      </c>
      <c r="C45" s="271" t="s">
        <v>62</v>
      </c>
      <c r="D45" s="175"/>
      <c r="E45" s="272">
        <v>10</v>
      </c>
      <c r="F45" s="281" t="s">
        <v>61</v>
      </c>
      <c r="G45" s="233">
        <v>10</v>
      </c>
      <c r="H45" s="425">
        <v>1E-4</v>
      </c>
      <c r="I45" s="681">
        <v>0</v>
      </c>
      <c r="J45" s="233">
        <f t="shared" si="42"/>
        <v>0</v>
      </c>
      <c r="K45" s="425">
        <f t="shared" si="43"/>
        <v>0</v>
      </c>
      <c r="L45" s="681">
        <v>0.49</v>
      </c>
      <c r="M45" s="233">
        <f t="shared" si="44"/>
        <v>4.9000000000000004</v>
      </c>
      <c r="N45" s="425">
        <f t="shared" si="45"/>
        <v>4.9000000000000009E-4</v>
      </c>
      <c r="O45" s="689">
        <v>0.74</v>
      </c>
      <c r="P45" s="269">
        <f t="shared" si="46"/>
        <v>7.3999999999999995</v>
      </c>
      <c r="Q45" s="425">
        <f t="shared" si="47"/>
        <v>7.3999999999999999E-4</v>
      </c>
      <c r="R45" s="681">
        <v>0.98</v>
      </c>
      <c r="S45" s="269">
        <f t="shared" si="48"/>
        <v>9.8000000000000007</v>
      </c>
      <c r="T45" s="425">
        <f t="shared" si="49"/>
        <v>9.8000000000000019E-4</v>
      </c>
      <c r="U45" s="681">
        <v>0.99</v>
      </c>
      <c r="V45" s="269">
        <f t="shared" si="50"/>
        <v>9.9</v>
      </c>
      <c r="W45" s="425">
        <f t="shared" si="51"/>
        <v>9.8999999999999999E-4</v>
      </c>
      <c r="X45" s="689">
        <v>1.1100000000000001</v>
      </c>
      <c r="Y45" s="269">
        <f t="shared" si="52"/>
        <v>11.100000000000001</v>
      </c>
      <c r="Z45" s="425">
        <f t="shared" si="53"/>
        <v>1.1100000000000001E-3</v>
      </c>
      <c r="AA45" s="681">
        <v>3.4140000000000001</v>
      </c>
      <c r="AB45" s="269">
        <f t="shared" si="54"/>
        <v>34.14</v>
      </c>
      <c r="AC45" s="425">
        <f t="shared" si="55"/>
        <v>3.4140000000000004E-3</v>
      </c>
      <c r="AD45" s="681">
        <v>2.2759999999999998</v>
      </c>
      <c r="AE45" s="269">
        <f t="shared" si="56"/>
        <v>22.759999999999998</v>
      </c>
      <c r="AF45" s="425">
        <f t="shared" si="57"/>
        <v>2.2759999999999998E-3</v>
      </c>
      <c r="AG45" s="251">
        <f t="shared" si="58"/>
        <v>100.00000000000001</v>
      </c>
      <c r="AH45" s="423">
        <f t="shared" si="59"/>
        <v>0.01</v>
      </c>
      <c r="AI45" s="742">
        <f t="shared" si="60"/>
        <v>45</v>
      </c>
      <c r="AM45" s="251">
        <f t="shared" si="40"/>
        <v>10</v>
      </c>
      <c r="AN45" s="251">
        <f t="shared" si="41"/>
        <v>0</v>
      </c>
    </row>
    <row r="46" spans="1:40" s="742" customFormat="1" ht="15.75" customHeight="1" x14ac:dyDescent="0.25">
      <c r="A46" s="264"/>
      <c r="B46" s="270">
        <v>3258103</v>
      </c>
      <c r="C46" s="271" t="s">
        <v>63</v>
      </c>
      <c r="D46" s="175"/>
      <c r="E46" s="272">
        <v>15</v>
      </c>
      <c r="F46" s="281" t="s">
        <v>61</v>
      </c>
      <c r="G46" s="233">
        <v>15</v>
      </c>
      <c r="H46" s="425">
        <v>1.4999999999999999E-4</v>
      </c>
      <c r="I46" s="681">
        <v>0</v>
      </c>
      <c r="J46" s="233">
        <f t="shared" si="42"/>
        <v>0</v>
      </c>
      <c r="K46" s="425">
        <f t="shared" si="43"/>
        <v>0</v>
      </c>
      <c r="L46" s="681">
        <v>0.5</v>
      </c>
      <c r="M46" s="233">
        <f t="shared" si="44"/>
        <v>3.3333333333333335</v>
      </c>
      <c r="N46" s="425">
        <f t="shared" si="45"/>
        <v>5.0000000000000001E-4</v>
      </c>
      <c r="O46" s="689">
        <v>0.85</v>
      </c>
      <c r="P46" s="269">
        <f t="shared" si="46"/>
        <v>5.6666666666666661</v>
      </c>
      <c r="Q46" s="425">
        <f t="shared" si="47"/>
        <v>8.4999999999999984E-4</v>
      </c>
      <c r="R46" s="681">
        <v>2</v>
      </c>
      <c r="S46" s="269">
        <f t="shared" si="48"/>
        <v>13.333333333333334</v>
      </c>
      <c r="T46" s="425">
        <f t="shared" si="49"/>
        <v>2E-3</v>
      </c>
      <c r="U46" s="681">
        <v>1.99</v>
      </c>
      <c r="V46" s="269">
        <f t="shared" si="50"/>
        <v>13.266666666666666</v>
      </c>
      <c r="W46" s="425">
        <f t="shared" si="51"/>
        <v>1.9899999999999996E-3</v>
      </c>
      <c r="X46" s="689">
        <v>3</v>
      </c>
      <c r="Y46" s="269">
        <f t="shared" si="52"/>
        <v>20</v>
      </c>
      <c r="Z46" s="425">
        <f t="shared" si="53"/>
        <v>2.9999999999999996E-3</v>
      </c>
      <c r="AA46" s="681">
        <v>3.9293999999999998</v>
      </c>
      <c r="AB46" s="269">
        <f t="shared" si="54"/>
        <v>26.195999999999998</v>
      </c>
      <c r="AC46" s="425">
        <f t="shared" si="55"/>
        <v>3.9293999999999996E-3</v>
      </c>
      <c r="AD46" s="681">
        <v>2.7305999999999999</v>
      </c>
      <c r="AE46" s="269">
        <f t="shared" si="56"/>
        <v>18.204000000000001</v>
      </c>
      <c r="AF46" s="425">
        <f t="shared" si="57"/>
        <v>2.7305999999999997E-3</v>
      </c>
      <c r="AG46" s="251">
        <f t="shared" si="58"/>
        <v>100</v>
      </c>
      <c r="AH46" s="423">
        <f t="shared" si="59"/>
        <v>1.4999999999999998E-2</v>
      </c>
      <c r="AI46" s="742">
        <f t="shared" si="60"/>
        <v>46</v>
      </c>
      <c r="AM46" s="251">
        <f t="shared" si="40"/>
        <v>15</v>
      </c>
      <c r="AN46" s="251">
        <f t="shared" si="41"/>
        <v>0</v>
      </c>
    </row>
    <row r="47" spans="1:40" s="742" customFormat="1" ht="15.75" customHeight="1" x14ac:dyDescent="0.25">
      <c r="A47" s="264"/>
      <c r="B47" s="270">
        <v>3258105</v>
      </c>
      <c r="C47" s="271" t="s">
        <v>64</v>
      </c>
      <c r="D47" s="175"/>
      <c r="E47" s="272">
        <v>10</v>
      </c>
      <c r="F47" s="281" t="s">
        <v>61</v>
      </c>
      <c r="G47" s="233">
        <v>10</v>
      </c>
      <c r="H47" s="425">
        <v>1E-4</v>
      </c>
      <c r="I47" s="681">
        <v>0</v>
      </c>
      <c r="J47" s="233">
        <f t="shared" si="42"/>
        <v>0</v>
      </c>
      <c r="K47" s="425">
        <f t="shared" si="43"/>
        <v>0</v>
      </c>
      <c r="L47" s="681">
        <v>0.22</v>
      </c>
      <c r="M47" s="233">
        <f t="shared" si="44"/>
        <v>2.1999999999999997</v>
      </c>
      <c r="N47" s="425">
        <f t="shared" si="45"/>
        <v>2.1999999999999998E-4</v>
      </c>
      <c r="O47" s="689">
        <v>0.01</v>
      </c>
      <c r="P47" s="269">
        <f t="shared" si="46"/>
        <v>0.1</v>
      </c>
      <c r="Q47" s="425">
        <f t="shared" si="47"/>
        <v>1.0000000000000001E-5</v>
      </c>
      <c r="R47" s="681">
        <v>0.5</v>
      </c>
      <c r="S47" s="269">
        <f t="shared" si="48"/>
        <v>5</v>
      </c>
      <c r="T47" s="425">
        <f t="shared" si="49"/>
        <v>5.0000000000000001E-4</v>
      </c>
      <c r="U47" s="681">
        <v>0.5</v>
      </c>
      <c r="V47" s="269">
        <f t="shared" si="50"/>
        <v>5</v>
      </c>
      <c r="W47" s="425">
        <f t="shared" si="51"/>
        <v>5.0000000000000001E-4</v>
      </c>
      <c r="X47" s="689">
        <v>1.99</v>
      </c>
      <c r="Y47" s="269">
        <f t="shared" si="52"/>
        <v>19.900000000000002</v>
      </c>
      <c r="Z47" s="425">
        <f t="shared" si="53"/>
        <v>1.9900000000000004E-3</v>
      </c>
      <c r="AA47" s="681">
        <v>4.1357999999999997</v>
      </c>
      <c r="AB47" s="269">
        <f t="shared" si="54"/>
        <v>41.357999999999997</v>
      </c>
      <c r="AC47" s="425">
        <f t="shared" si="55"/>
        <v>4.1358000000000002E-3</v>
      </c>
      <c r="AD47" s="681">
        <v>2.6442000000000001</v>
      </c>
      <c r="AE47" s="269">
        <f t="shared" si="56"/>
        <v>26.442</v>
      </c>
      <c r="AF47" s="425">
        <f t="shared" si="57"/>
        <v>2.6442000000000002E-3</v>
      </c>
      <c r="AG47" s="251">
        <f t="shared" si="58"/>
        <v>100</v>
      </c>
      <c r="AH47" s="423">
        <f t="shared" si="59"/>
        <v>1.0000000000000002E-2</v>
      </c>
      <c r="AI47" s="742">
        <f t="shared" si="60"/>
        <v>47</v>
      </c>
      <c r="AM47" s="251">
        <f t="shared" si="40"/>
        <v>10</v>
      </c>
      <c r="AN47" s="251">
        <f t="shared" si="41"/>
        <v>0</v>
      </c>
    </row>
    <row r="48" spans="1:40" s="742" customFormat="1" ht="15.75" customHeight="1" x14ac:dyDescent="0.25">
      <c r="A48" s="264"/>
      <c r="B48" s="282">
        <v>3258107</v>
      </c>
      <c r="C48" s="283" t="s">
        <v>65</v>
      </c>
      <c r="D48" s="175"/>
      <c r="E48" s="272">
        <v>25</v>
      </c>
      <c r="F48" s="281" t="s">
        <v>61</v>
      </c>
      <c r="G48" s="233">
        <v>25</v>
      </c>
      <c r="H48" s="425">
        <v>2.5000000000000001E-4</v>
      </c>
      <c r="I48" s="681">
        <v>0</v>
      </c>
      <c r="J48" s="233">
        <f t="shared" si="42"/>
        <v>0</v>
      </c>
      <c r="K48" s="425">
        <f t="shared" si="43"/>
        <v>0</v>
      </c>
      <c r="L48" s="681">
        <v>0</v>
      </c>
      <c r="M48" s="233">
        <f t="shared" si="44"/>
        <v>0</v>
      </c>
      <c r="N48" s="425">
        <f t="shared" si="45"/>
        <v>0</v>
      </c>
      <c r="O48" s="689">
        <v>0</v>
      </c>
      <c r="P48" s="269">
        <f t="shared" si="46"/>
        <v>0</v>
      </c>
      <c r="Q48" s="425">
        <f t="shared" si="47"/>
        <v>0</v>
      </c>
      <c r="R48" s="681">
        <v>9.98</v>
      </c>
      <c r="S48" s="269">
        <f t="shared" si="48"/>
        <v>39.92</v>
      </c>
      <c r="T48" s="425">
        <f t="shared" si="49"/>
        <v>9.980000000000001E-3</v>
      </c>
      <c r="U48" s="681">
        <v>10</v>
      </c>
      <c r="V48" s="269">
        <f t="shared" si="50"/>
        <v>40</v>
      </c>
      <c r="W48" s="425">
        <f t="shared" si="51"/>
        <v>0.01</v>
      </c>
      <c r="X48" s="689">
        <v>0</v>
      </c>
      <c r="Y48" s="269">
        <f t="shared" si="52"/>
        <v>0</v>
      </c>
      <c r="Z48" s="425">
        <f t="shared" si="53"/>
        <v>0</v>
      </c>
      <c r="AA48" s="681">
        <v>2.9618000000000002</v>
      </c>
      <c r="AB48" s="269">
        <f t="shared" si="54"/>
        <v>11.847200000000001</v>
      </c>
      <c r="AC48" s="425">
        <f t="shared" si="55"/>
        <v>2.9618000000000001E-3</v>
      </c>
      <c r="AD48" s="681">
        <v>2.0581999999999998</v>
      </c>
      <c r="AE48" s="269">
        <f t="shared" si="56"/>
        <v>8.2327999999999992</v>
      </c>
      <c r="AF48" s="425">
        <f t="shared" si="57"/>
        <v>2.0582E-3</v>
      </c>
      <c r="AG48" s="251">
        <f t="shared" si="58"/>
        <v>100</v>
      </c>
      <c r="AH48" s="423">
        <f t="shared" si="59"/>
        <v>2.5000000000000001E-2</v>
      </c>
      <c r="AI48" s="742">
        <f t="shared" si="60"/>
        <v>48</v>
      </c>
      <c r="AM48" s="251">
        <f t="shared" si="40"/>
        <v>25</v>
      </c>
      <c r="AN48" s="251">
        <f t="shared" si="41"/>
        <v>0</v>
      </c>
    </row>
    <row r="49" spans="1:40" s="742" customFormat="1" ht="15.75" customHeight="1" x14ac:dyDescent="0.25">
      <c r="A49" s="264"/>
      <c r="B49" s="282">
        <v>3258106</v>
      </c>
      <c r="C49" s="283" t="s">
        <v>66</v>
      </c>
      <c r="D49" s="175"/>
      <c r="E49" s="272">
        <v>40</v>
      </c>
      <c r="F49" s="281" t="s">
        <v>61</v>
      </c>
      <c r="G49" s="233">
        <v>40</v>
      </c>
      <c r="H49" s="425">
        <v>4.0000000000000002E-4</v>
      </c>
      <c r="I49" s="681">
        <v>0</v>
      </c>
      <c r="J49" s="233">
        <f t="shared" si="42"/>
        <v>0</v>
      </c>
      <c r="K49" s="425">
        <f t="shared" si="43"/>
        <v>0</v>
      </c>
      <c r="L49" s="681">
        <v>0</v>
      </c>
      <c r="M49" s="233">
        <f t="shared" si="44"/>
        <v>0</v>
      </c>
      <c r="N49" s="425">
        <f t="shared" si="45"/>
        <v>0</v>
      </c>
      <c r="O49" s="689">
        <v>0</v>
      </c>
      <c r="P49" s="269">
        <f t="shared" si="46"/>
        <v>0</v>
      </c>
      <c r="Q49" s="425">
        <f t="shared" si="47"/>
        <v>0</v>
      </c>
      <c r="R49" s="681">
        <v>8.9499999999999993</v>
      </c>
      <c r="S49" s="269">
        <f t="shared" si="48"/>
        <v>22.374999999999996</v>
      </c>
      <c r="T49" s="425">
        <f t="shared" si="49"/>
        <v>8.9499999999999996E-3</v>
      </c>
      <c r="U49" s="681">
        <v>5.58</v>
      </c>
      <c r="V49" s="269">
        <f t="shared" si="50"/>
        <v>13.950000000000001</v>
      </c>
      <c r="W49" s="425">
        <f t="shared" si="51"/>
        <v>5.5800000000000008E-3</v>
      </c>
      <c r="X49" s="689">
        <v>4.95</v>
      </c>
      <c r="Y49" s="269">
        <f t="shared" si="52"/>
        <v>12.375</v>
      </c>
      <c r="Z49" s="425">
        <f t="shared" si="53"/>
        <v>4.9500000000000004E-3</v>
      </c>
      <c r="AA49" s="681">
        <v>11.9016</v>
      </c>
      <c r="AB49" s="269">
        <f t="shared" si="54"/>
        <v>29.754000000000001</v>
      </c>
      <c r="AC49" s="425">
        <f t="shared" si="55"/>
        <v>1.1901600000000002E-2</v>
      </c>
      <c r="AD49" s="681">
        <v>8.6183999999999994</v>
      </c>
      <c r="AE49" s="269">
        <f t="shared" si="56"/>
        <v>21.545999999999999</v>
      </c>
      <c r="AF49" s="425">
        <f t="shared" si="57"/>
        <v>8.6184E-3</v>
      </c>
      <c r="AG49" s="251">
        <f t="shared" si="58"/>
        <v>100</v>
      </c>
      <c r="AH49" s="423">
        <f t="shared" si="59"/>
        <v>0.04</v>
      </c>
      <c r="AI49" s="742">
        <f t="shared" si="60"/>
        <v>49</v>
      </c>
      <c r="AM49" s="251">
        <f t="shared" si="40"/>
        <v>40</v>
      </c>
      <c r="AN49" s="251">
        <f t="shared" si="41"/>
        <v>0</v>
      </c>
    </row>
    <row r="50" spans="1:40" s="742" customFormat="1" ht="15.75" customHeight="1" x14ac:dyDescent="0.25">
      <c r="A50" s="264"/>
      <c r="B50" s="270">
        <v>3258105</v>
      </c>
      <c r="C50" s="271" t="s">
        <v>67</v>
      </c>
      <c r="D50" s="175"/>
      <c r="E50" s="272">
        <v>20</v>
      </c>
      <c r="F50" s="281" t="s">
        <v>61</v>
      </c>
      <c r="G50" s="233">
        <v>20</v>
      </c>
      <c r="H50" s="425">
        <v>2.0000000000000001E-4</v>
      </c>
      <c r="I50" s="681">
        <v>0</v>
      </c>
      <c r="J50" s="233">
        <f t="shared" si="42"/>
        <v>0</v>
      </c>
      <c r="K50" s="425">
        <f t="shared" si="43"/>
        <v>0</v>
      </c>
      <c r="L50" s="681">
        <v>0.09</v>
      </c>
      <c r="M50" s="233">
        <f t="shared" si="44"/>
        <v>0.44999999999999996</v>
      </c>
      <c r="N50" s="425">
        <f t="shared" si="45"/>
        <v>8.9999999999999992E-5</v>
      </c>
      <c r="O50" s="689">
        <v>0.3</v>
      </c>
      <c r="P50" s="269">
        <f t="shared" si="46"/>
        <v>1.5</v>
      </c>
      <c r="Q50" s="425">
        <f t="shared" si="47"/>
        <v>3.0000000000000003E-4</v>
      </c>
      <c r="R50" s="681">
        <v>0.5</v>
      </c>
      <c r="S50" s="269">
        <f t="shared" si="48"/>
        <v>2.5</v>
      </c>
      <c r="T50" s="425">
        <f t="shared" si="49"/>
        <v>5.0000000000000001E-4</v>
      </c>
      <c r="U50" s="681">
        <v>0.5</v>
      </c>
      <c r="V50" s="269">
        <f t="shared" si="50"/>
        <v>2.5</v>
      </c>
      <c r="W50" s="425">
        <f t="shared" si="51"/>
        <v>5.0000000000000001E-4</v>
      </c>
      <c r="X50" s="689">
        <v>2</v>
      </c>
      <c r="Y50" s="269">
        <f t="shared" si="52"/>
        <v>10</v>
      </c>
      <c r="Z50" s="425">
        <f t="shared" si="53"/>
        <v>2E-3</v>
      </c>
      <c r="AA50" s="681">
        <v>9.1355000000000004</v>
      </c>
      <c r="AB50" s="269">
        <f t="shared" si="54"/>
        <v>45.677500000000002</v>
      </c>
      <c r="AC50" s="425">
        <f t="shared" si="55"/>
        <v>9.1355000000000013E-3</v>
      </c>
      <c r="AD50" s="681">
        <v>7.4744999999999999</v>
      </c>
      <c r="AE50" s="269">
        <f t="shared" si="56"/>
        <v>37.372499999999995</v>
      </c>
      <c r="AF50" s="425">
        <f t="shared" si="57"/>
        <v>7.4744999999999994E-3</v>
      </c>
      <c r="AG50" s="251">
        <f t="shared" si="58"/>
        <v>100</v>
      </c>
      <c r="AH50" s="423">
        <f t="shared" si="59"/>
        <v>0.02</v>
      </c>
      <c r="AI50" s="742">
        <f t="shared" si="60"/>
        <v>50</v>
      </c>
      <c r="AM50" s="251">
        <f t="shared" si="40"/>
        <v>20</v>
      </c>
      <c r="AN50" s="251">
        <f t="shared" si="41"/>
        <v>0</v>
      </c>
    </row>
    <row r="51" spans="1:40" s="742" customFormat="1" ht="15.75" customHeight="1" x14ac:dyDescent="0.25">
      <c r="A51" s="264"/>
      <c r="B51" s="284"/>
      <c r="C51" s="131" t="s">
        <v>103</v>
      </c>
      <c r="D51" s="175"/>
      <c r="E51" s="272"/>
      <c r="F51" s="281"/>
      <c r="G51" s="233"/>
      <c r="H51" s="425"/>
      <c r="I51" s="681"/>
      <c r="J51" s="233"/>
      <c r="K51" s="425"/>
      <c r="L51" s="681"/>
      <c r="M51" s="233"/>
      <c r="N51" s="425"/>
      <c r="O51" s="689"/>
      <c r="P51" s="269"/>
      <c r="Q51" s="425"/>
      <c r="R51" s="681"/>
      <c r="S51" s="269"/>
      <c r="T51" s="425"/>
      <c r="U51" s="681"/>
      <c r="V51" s="269"/>
      <c r="W51" s="425"/>
      <c r="X51" s="689"/>
      <c r="Y51" s="269"/>
      <c r="Z51" s="425"/>
      <c r="AA51" s="681"/>
      <c r="AB51" s="269"/>
      <c r="AC51" s="425"/>
      <c r="AD51" s="681"/>
      <c r="AE51" s="269"/>
      <c r="AF51" s="425"/>
      <c r="AG51" s="251"/>
      <c r="AH51" s="423"/>
      <c r="AI51" s="742">
        <f t="shared" si="60"/>
        <v>51</v>
      </c>
      <c r="AM51" s="251">
        <f t="shared" si="40"/>
        <v>0</v>
      </c>
      <c r="AN51" s="251">
        <f t="shared" si="41"/>
        <v>0</v>
      </c>
    </row>
    <row r="52" spans="1:40" s="742" customFormat="1" ht="15.75" customHeight="1" x14ac:dyDescent="0.25">
      <c r="A52" s="264"/>
      <c r="B52" s="270">
        <v>3258114</v>
      </c>
      <c r="C52" s="271" t="s">
        <v>68</v>
      </c>
      <c r="D52" s="169" t="s">
        <v>146</v>
      </c>
      <c r="E52" s="272">
        <v>404.24</v>
      </c>
      <c r="F52" s="276">
        <v>86</v>
      </c>
      <c r="G52" s="233">
        <v>404.24</v>
      </c>
      <c r="H52" s="425">
        <v>4.0499999999999998E-3</v>
      </c>
      <c r="I52" s="681">
        <v>0</v>
      </c>
      <c r="J52" s="233">
        <f>I52/G52*100</f>
        <v>0</v>
      </c>
      <c r="K52" s="425">
        <f>J52*$H52</f>
        <v>0</v>
      </c>
      <c r="L52" s="681">
        <v>0</v>
      </c>
      <c r="M52" s="233">
        <f>L52/G52*100</f>
        <v>0</v>
      </c>
      <c r="N52" s="425">
        <f>M52*$H52</f>
        <v>0</v>
      </c>
      <c r="O52" s="689">
        <v>59.7</v>
      </c>
      <c r="P52" s="269">
        <f>O52/G52*100</f>
        <v>14.768454383534536</v>
      </c>
      <c r="Q52" s="425">
        <f>P52*$H52</f>
        <v>5.9812240253314865E-2</v>
      </c>
      <c r="R52" s="681">
        <v>24.34</v>
      </c>
      <c r="S52" s="269">
        <f>R52/G52*100</f>
        <v>6.0211755392835933</v>
      </c>
      <c r="T52" s="425">
        <f>S52*$H52</f>
        <v>2.4385760934098551E-2</v>
      </c>
      <c r="U52" s="681">
        <v>10.99</v>
      </c>
      <c r="V52" s="269">
        <f>U52/G52*100</f>
        <v>2.7186819711062733</v>
      </c>
      <c r="W52" s="425">
        <f>V52*$H52</f>
        <v>1.1010661982980407E-2</v>
      </c>
      <c r="X52" s="689">
        <v>33.17</v>
      </c>
      <c r="Y52" s="269">
        <f>X52/G52*100</f>
        <v>8.205521472392638</v>
      </c>
      <c r="Z52" s="425">
        <f>Y52*$H52</f>
        <v>3.3232361963190182E-2</v>
      </c>
      <c r="AA52" s="681">
        <v>173.90520000000001</v>
      </c>
      <c r="AB52" s="269">
        <f>AA52/G52*100</f>
        <v>43.020284979220264</v>
      </c>
      <c r="AC52" s="425">
        <f>AB52*$H52</f>
        <v>0.17423215416584206</v>
      </c>
      <c r="AD52" s="681">
        <v>102.1348</v>
      </c>
      <c r="AE52" s="269">
        <f>AD52/G52*100</f>
        <v>25.265881654462696</v>
      </c>
      <c r="AF52" s="425">
        <f>AE52*$H52</f>
        <v>0.10232682070057392</v>
      </c>
      <c r="AG52" s="251">
        <f>SUM(AE52+AB52+Y52+V52+S52+P52+M52+J52)</f>
        <v>100</v>
      </c>
      <c r="AH52" s="423">
        <f>N52+Q52+T52+W52+Z52+AC52+AF52</f>
        <v>0.40499999999999997</v>
      </c>
      <c r="AI52" s="742">
        <f t="shared" si="60"/>
        <v>52</v>
      </c>
      <c r="AM52" s="251">
        <f t="shared" si="40"/>
        <v>404.23999999999995</v>
      </c>
      <c r="AN52" s="251">
        <f t="shared" si="41"/>
        <v>0</v>
      </c>
    </row>
    <row r="53" spans="1:40" s="742" customFormat="1" ht="15.75" customHeight="1" x14ac:dyDescent="0.25">
      <c r="A53" s="264"/>
      <c r="B53" s="270">
        <v>3258128</v>
      </c>
      <c r="C53" s="271" t="s">
        <v>69</v>
      </c>
      <c r="D53" s="169" t="s">
        <v>146</v>
      </c>
      <c r="E53" s="272">
        <v>5</v>
      </c>
      <c r="F53" s="276" t="s">
        <v>61</v>
      </c>
      <c r="G53" s="233">
        <v>5</v>
      </c>
      <c r="H53" s="425">
        <v>5.0000000000000002E-5</v>
      </c>
      <c r="I53" s="681">
        <v>0</v>
      </c>
      <c r="J53" s="233">
        <f>I53/G53*100</f>
        <v>0</v>
      </c>
      <c r="K53" s="425">
        <f>J53*$H53</f>
        <v>0</v>
      </c>
      <c r="L53" s="681">
        <v>0.9</v>
      </c>
      <c r="M53" s="233">
        <f>L53/G53*100</f>
        <v>18</v>
      </c>
      <c r="N53" s="425">
        <f>M53*$H53</f>
        <v>9.0000000000000008E-4</v>
      </c>
      <c r="O53" s="689">
        <v>0</v>
      </c>
      <c r="P53" s="269">
        <f>O53/G53*100</f>
        <v>0</v>
      </c>
      <c r="Q53" s="425">
        <f>P53*$H53</f>
        <v>0</v>
      </c>
      <c r="R53" s="681">
        <v>0.75</v>
      </c>
      <c r="S53" s="269">
        <f>R53/G53*100</f>
        <v>15</v>
      </c>
      <c r="T53" s="425">
        <f>S53*$H53</f>
        <v>7.5000000000000002E-4</v>
      </c>
      <c r="U53" s="681">
        <v>0.74</v>
      </c>
      <c r="V53" s="269">
        <f>U53/G53*100</f>
        <v>14.799999999999999</v>
      </c>
      <c r="W53" s="425">
        <f>V53*$H53</f>
        <v>7.3999999999999999E-4</v>
      </c>
      <c r="X53" s="689">
        <v>0.38</v>
      </c>
      <c r="Y53" s="269">
        <f>X53/G53*100</f>
        <v>7.6</v>
      </c>
      <c r="Z53" s="425">
        <f>Y53*$H53</f>
        <v>3.8000000000000002E-4</v>
      </c>
      <c r="AA53" s="681">
        <v>1.3603000000000001</v>
      </c>
      <c r="AB53" s="269">
        <f>AA53/G53*100</f>
        <v>27.206000000000003</v>
      </c>
      <c r="AC53" s="425">
        <f>AB53*$H53</f>
        <v>1.3603000000000003E-3</v>
      </c>
      <c r="AD53" s="681">
        <v>0.86970000000000025</v>
      </c>
      <c r="AE53" s="269">
        <f>AD53/G53*100</f>
        <v>17.394000000000005</v>
      </c>
      <c r="AF53" s="425">
        <f>AE53*$H53</f>
        <v>8.6970000000000027E-4</v>
      </c>
      <c r="AG53" s="251">
        <f>SUM(AE53+AB53+Y53+V53+S53+P53+M53+J53)</f>
        <v>100.00000000000001</v>
      </c>
      <c r="AH53" s="423">
        <f>N53+Q53+T53+W53+Z53+AC53+AF53</f>
        <v>5.0000000000000001E-3</v>
      </c>
      <c r="AI53" s="742">
        <f t="shared" si="60"/>
        <v>53</v>
      </c>
      <c r="AM53" s="251">
        <f t="shared" si="40"/>
        <v>5</v>
      </c>
      <c r="AN53" s="251">
        <f t="shared" si="41"/>
        <v>0</v>
      </c>
    </row>
    <row r="54" spans="1:40" s="742" customFormat="1" ht="15.75" customHeight="1" x14ac:dyDescent="0.25">
      <c r="A54" s="264"/>
      <c r="B54" s="270">
        <v>3258107</v>
      </c>
      <c r="C54" s="271" t="s">
        <v>70</v>
      </c>
      <c r="D54" s="175"/>
      <c r="E54" s="272">
        <v>40</v>
      </c>
      <c r="F54" s="281" t="s">
        <v>61</v>
      </c>
      <c r="G54" s="233">
        <v>40</v>
      </c>
      <c r="H54" s="425">
        <v>4.0000000000000002E-4</v>
      </c>
      <c r="I54" s="681">
        <v>0</v>
      </c>
      <c r="J54" s="233">
        <f>I54/G54*100</f>
        <v>0</v>
      </c>
      <c r="K54" s="425">
        <f>J54*$H54</f>
        <v>0</v>
      </c>
      <c r="L54" s="681">
        <v>0</v>
      </c>
      <c r="M54" s="233">
        <f>L54/G54*100</f>
        <v>0</v>
      </c>
      <c r="N54" s="425">
        <f>M54*$H54</f>
        <v>0</v>
      </c>
      <c r="O54" s="689">
        <v>0</v>
      </c>
      <c r="P54" s="269">
        <f>O54/G54*100</f>
        <v>0</v>
      </c>
      <c r="Q54" s="425">
        <f>P54*$H54</f>
        <v>0</v>
      </c>
      <c r="R54" s="681">
        <v>2.5</v>
      </c>
      <c r="S54" s="269">
        <f>R54/G54*100</f>
        <v>6.25</v>
      </c>
      <c r="T54" s="425">
        <f>S54*$H54</f>
        <v>2.5000000000000001E-3</v>
      </c>
      <c r="U54" s="681">
        <v>4.9800000000000004</v>
      </c>
      <c r="V54" s="269">
        <f>U54/G54*100</f>
        <v>12.450000000000001</v>
      </c>
      <c r="W54" s="425">
        <f>V54*$H54</f>
        <v>4.9800000000000009E-3</v>
      </c>
      <c r="X54" s="689">
        <v>1.49</v>
      </c>
      <c r="Y54" s="269">
        <f>X54/G54*100</f>
        <v>3.7249999999999996</v>
      </c>
      <c r="Z54" s="425">
        <f>Y54*$H54</f>
        <v>1.49E-3</v>
      </c>
      <c r="AA54" s="681">
        <v>17.376799999999999</v>
      </c>
      <c r="AB54" s="269">
        <f>AA54/G54*100</f>
        <v>43.442</v>
      </c>
      <c r="AC54" s="425">
        <f>AB54*$H54</f>
        <v>1.7376800000000001E-2</v>
      </c>
      <c r="AD54" s="681">
        <v>13.6532</v>
      </c>
      <c r="AE54" s="269">
        <f>AD54/G54*100</f>
        <v>34.133000000000003</v>
      </c>
      <c r="AF54" s="425">
        <f>AE54*$H54</f>
        <v>1.3653200000000002E-2</v>
      </c>
      <c r="AG54" s="251">
        <f>SUM(AE54+AB54+Y54+V54+S54+P54+M54+J54)</f>
        <v>100</v>
      </c>
      <c r="AH54" s="423">
        <f>N54+Q54+T54+W54+Z54+AC54+AF54</f>
        <v>4.0000000000000008E-2</v>
      </c>
      <c r="AI54" s="742">
        <f t="shared" si="60"/>
        <v>54</v>
      </c>
      <c r="AM54" s="251">
        <f t="shared" si="40"/>
        <v>40</v>
      </c>
      <c r="AN54" s="251">
        <f t="shared" si="41"/>
        <v>0</v>
      </c>
    </row>
    <row r="55" spans="1:40" s="287" customFormat="1" ht="18" customHeight="1" x14ac:dyDescent="0.25">
      <c r="A55" s="243" t="s">
        <v>200</v>
      </c>
      <c r="B55" s="286"/>
      <c r="C55" s="285"/>
      <c r="D55" s="883"/>
      <c r="E55" s="820"/>
      <c r="F55" s="286"/>
      <c r="G55" s="233">
        <f>I55+L55+O55+R55+U55+X55+AA55+AD55</f>
        <v>19100.93</v>
      </c>
      <c r="H55" s="425">
        <f>SUM(H10:H54)</f>
        <v>0.19140999999999997</v>
      </c>
      <c r="I55" s="682">
        <f>SUM(I10:I54)</f>
        <v>1081.0900000000001</v>
      </c>
      <c r="J55" s="425">
        <f>SUM(J10:J54)</f>
        <v>45.672848946544612</v>
      </c>
      <c r="K55" s="425">
        <f>SUM(K10:K54)</f>
        <v>1.0835002608132325</v>
      </c>
      <c r="L55" s="681">
        <f>SUM(L10:L54)</f>
        <v>2493.7369999999996</v>
      </c>
      <c r="M55" s="425"/>
      <c r="N55" s="425">
        <f>SUM(N10:N54)</f>
        <v>2.4992185192705572</v>
      </c>
      <c r="O55" s="689">
        <f>SUM(O10:O54)</f>
        <v>2227.87</v>
      </c>
      <c r="P55" s="269"/>
      <c r="Q55" s="425">
        <f>SUM(Q10:Q54)</f>
        <v>2.2326826267726405</v>
      </c>
      <c r="R55" s="681">
        <f>SUM(R10:R54)</f>
        <v>2364.8599999999997</v>
      </c>
      <c r="S55" s="269"/>
      <c r="T55" s="425">
        <f>SUM(T10:T54)</f>
        <v>2.3698370982928783</v>
      </c>
      <c r="U55" s="681">
        <f>SUM(U10:U54)</f>
        <v>2487.2899999999986</v>
      </c>
      <c r="V55" s="269"/>
      <c r="W55" s="425">
        <f>SUM(W10:W54)</f>
        <v>2.4925653530084948</v>
      </c>
      <c r="X55" s="689">
        <f>SUM(X10:X54)</f>
        <v>1601.5100000000004</v>
      </c>
      <c r="Y55" s="269"/>
      <c r="Z55" s="425">
        <f>SUM(Z10:Z54)</f>
        <v>1.6048020901983762</v>
      </c>
      <c r="AA55" s="681">
        <f>SUM(AA10:AA54)</f>
        <v>4162.978540000001</v>
      </c>
      <c r="AB55" s="269"/>
      <c r="AC55" s="425">
        <f>SUM(AC10:AC54)</f>
        <v>4.1712954182987909</v>
      </c>
      <c r="AD55" s="681">
        <f>SUM(AD10:AD54)</f>
        <v>2681.5944599999993</v>
      </c>
      <c r="AE55" s="269"/>
      <c r="AF55" s="425">
        <f>SUM(AF10:AF54)</f>
        <v>2.6870986333450313</v>
      </c>
      <c r="AG55" s="251"/>
      <c r="AI55" s="742">
        <f t="shared" si="60"/>
        <v>55</v>
      </c>
      <c r="AM55" s="251">
        <f t="shared" si="40"/>
        <v>19100.93</v>
      </c>
      <c r="AN55" s="251">
        <f t="shared" si="41"/>
        <v>0</v>
      </c>
    </row>
    <row r="56" spans="1:40" s="742" customFormat="1" ht="18" customHeight="1" x14ac:dyDescent="0.25">
      <c r="A56" s="260" t="s">
        <v>73</v>
      </c>
      <c r="B56" s="615"/>
      <c r="C56" s="288"/>
      <c r="D56" s="98"/>
      <c r="E56" s="98"/>
      <c r="F56" s="268"/>
      <c r="G56" s="98"/>
      <c r="H56" s="98"/>
      <c r="I56" s="680"/>
      <c r="J56" s="98"/>
      <c r="K56" s="263"/>
      <c r="L56" s="680"/>
      <c r="M56" s="98"/>
      <c r="N56" s="263"/>
      <c r="O56" s="688"/>
      <c r="P56" s="98"/>
      <c r="Q56" s="263"/>
      <c r="R56" s="694"/>
      <c r="S56" s="98"/>
      <c r="T56" s="263"/>
      <c r="U56" s="694"/>
      <c r="V56" s="98"/>
      <c r="W56" s="263"/>
      <c r="X56" s="688"/>
      <c r="Y56" s="98"/>
      <c r="Z56" s="263"/>
      <c r="AA56" s="694"/>
      <c r="AB56" s="269"/>
      <c r="AC56" s="263"/>
      <c r="AD56" s="694"/>
      <c r="AE56" s="98"/>
      <c r="AF56" s="263"/>
      <c r="AG56" s="251"/>
      <c r="AM56" s="251">
        <f t="shared" si="40"/>
        <v>0</v>
      </c>
      <c r="AN56" s="251">
        <f t="shared" si="41"/>
        <v>0</v>
      </c>
    </row>
    <row r="57" spans="1:40" s="742" customFormat="1" ht="18" customHeight="1" x14ac:dyDescent="0.25">
      <c r="A57" s="289"/>
      <c r="B57" s="265"/>
      <c r="C57" s="290" t="s">
        <v>74</v>
      </c>
      <c r="D57" s="291"/>
      <c r="E57" s="175"/>
      <c r="F57" s="282"/>
      <c r="G57" s="233"/>
      <c r="H57" s="425"/>
      <c r="I57" s="681"/>
      <c r="J57" s="233"/>
      <c r="K57" s="425"/>
      <c r="L57" s="681"/>
      <c r="M57" s="233"/>
      <c r="N57" s="425"/>
      <c r="O57" s="689"/>
      <c r="P57" s="269"/>
      <c r="Q57" s="425"/>
      <c r="R57" s="681"/>
      <c r="S57" s="269"/>
      <c r="T57" s="425"/>
      <c r="U57" s="681"/>
      <c r="V57" s="269"/>
      <c r="W57" s="425"/>
      <c r="X57" s="689"/>
      <c r="Y57" s="269"/>
      <c r="Z57" s="425"/>
      <c r="AA57" s="681"/>
      <c r="AB57" s="269"/>
      <c r="AC57" s="425"/>
      <c r="AD57" s="681"/>
      <c r="AE57" s="269"/>
      <c r="AF57" s="425"/>
      <c r="AG57" s="251"/>
      <c r="AM57" s="251">
        <f t="shared" si="40"/>
        <v>0</v>
      </c>
      <c r="AN57" s="251">
        <f t="shared" si="41"/>
        <v>0</v>
      </c>
    </row>
    <row r="58" spans="1:40" s="742" customFormat="1" ht="15.75" customHeight="1" x14ac:dyDescent="0.25">
      <c r="A58" s="292"/>
      <c r="B58" s="293"/>
      <c r="C58" s="290" t="s">
        <v>75</v>
      </c>
      <c r="D58" s="291"/>
      <c r="E58" s="175"/>
      <c r="F58" s="282"/>
      <c r="G58" s="233"/>
      <c r="H58" s="425"/>
      <c r="I58" s="681"/>
      <c r="J58" s="233"/>
      <c r="K58" s="425"/>
      <c r="L58" s="681"/>
      <c r="M58" s="233"/>
      <c r="N58" s="425"/>
      <c r="O58" s="689"/>
      <c r="P58" s="269"/>
      <c r="Q58" s="425"/>
      <c r="R58" s="681"/>
      <c r="S58" s="269"/>
      <c r="T58" s="425"/>
      <c r="U58" s="681"/>
      <c r="V58" s="269"/>
      <c r="W58" s="425"/>
      <c r="X58" s="689"/>
      <c r="Y58" s="269"/>
      <c r="Z58" s="425"/>
      <c r="AA58" s="681"/>
      <c r="AB58" s="269"/>
      <c r="AC58" s="425"/>
      <c r="AD58" s="681"/>
      <c r="AE58" s="269"/>
      <c r="AF58" s="425"/>
      <c r="AG58" s="251"/>
      <c r="AM58" s="251">
        <f t="shared" si="40"/>
        <v>0</v>
      </c>
      <c r="AN58" s="251">
        <f t="shared" si="41"/>
        <v>0</v>
      </c>
    </row>
    <row r="59" spans="1:40" s="742" customFormat="1" ht="50.25" customHeight="1" x14ac:dyDescent="0.25">
      <c r="A59" s="292"/>
      <c r="B59" s="293">
        <v>4112101</v>
      </c>
      <c r="C59" s="294" t="s">
        <v>76</v>
      </c>
      <c r="D59" s="169" t="s">
        <v>146</v>
      </c>
      <c r="E59" s="233">
        <v>70.25</v>
      </c>
      <c r="F59" s="276">
        <v>10</v>
      </c>
      <c r="G59" s="233">
        <v>702.5</v>
      </c>
      <c r="H59" s="425">
        <v>7.0400000000000003E-3</v>
      </c>
      <c r="I59" s="681">
        <v>346.3</v>
      </c>
      <c r="J59" s="233">
        <f>I59/G59*100</f>
        <v>49.295373665480433</v>
      </c>
      <c r="K59" s="425">
        <f>J59*$H59</f>
        <v>0.34703943060498227</v>
      </c>
      <c r="L59" s="681">
        <v>138.6</v>
      </c>
      <c r="M59" s="233">
        <f>L59/G59*100</f>
        <v>19.72953736654804</v>
      </c>
      <c r="N59" s="425">
        <f>M59*$H59</f>
        <v>0.13889594306049821</v>
      </c>
      <c r="O59" s="689">
        <v>0</v>
      </c>
      <c r="P59" s="269">
        <f>O59/G59*100</f>
        <v>0</v>
      </c>
      <c r="Q59" s="425">
        <f>P59*$H59</f>
        <v>0</v>
      </c>
      <c r="R59" s="681">
        <v>122</v>
      </c>
      <c r="S59" s="269">
        <f>R59/G59*100</f>
        <v>17.366548042704625</v>
      </c>
      <c r="T59" s="425">
        <f>S59*$H59</f>
        <v>0.12226049822064057</v>
      </c>
      <c r="U59" s="681">
        <v>0</v>
      </c>
      <c r="V59" s="269">
        <f>U59/G59*100</f>
        <v>0</v>
      </c>
      <c r="W59" s="425">
        <f>V59*$H59</f>
        <v>0</v>
      </c>
      <c r="X59" s="689">
        <v>0</v>
      </c>
      <c r="Y59" s="269">
        <f>X59/G59*100</f>
        <v>0</v>
      </c>
      <c r="Z59" s="425">
        <f>Y59*$H59</f>
        <v>0</v>
      </c>
      <c r="AA59" s="681">
        <v>95.600000000000023</v>
      </c>
      <c r="AB59" s="269">
        <f>AA59/G59*100</f>
        <v>13.608540925266906</v>
      </c>
      <c r="AC59" s="425">
        <f>AB59*$H59</f>
        <v>9.580412811387902E-2</v>
      </c>
      <c r="AD59" s="681">
        <v>0</v>
      </c>
      <c r="AE59" s="269">
        <f>AD59/G59*100</f>
        <v>0</v>
      </c>
      <c r="AF59" s="425">
        <f>AE59*$H59</f>
        <v>0</v>
      </c>
      <c r="AG59" s="251">
        <f>SUM(AE59+AB59+Y59+V59+S59+P59+M59+J59)</f>
        <v>100</v>
      </c>
      <c r="AH59" s="423">
        <f>N59+Q59+T59+W59+Z59+AC59+AF59</f>
        <v>0.3569605693950178</v>
      </c>
      <c r="AI59" s="742">
        <f>ROW(AH59)</f>
        <v>59</v>
      </c>
      <c r="AM59" s="251">
        <f t="shared" si="40"/>
        <v>702.5</v>
      </c>
      <c r="AN59" s="251">
        <f t="shared" si="41"/>
        <v>0</v>
      </c>
    </row>
    <row r="60" spans="1:40" s="447" customFormat="1" ht="24" customHeight="1" x14ac:dyDescent="0.25">
      <c r="A60" s="640"/>
      <c r="B60" s="641">
        <v>4112101</v>
      </c>
      <c r="C60" s="642" t="s">
        <v>78</v>
      </c>
      <c r="D60" s="635" t="s">
        <v>146</v>
      </c>
      <c r="E60" s="557">
        <v>1.52</v>
      </c>
      <c r="F60" s="643">
        <v>45</v>
      </c>
      <c r="G60" s="557">
        <v>68.25</v>
      </c>
      <c r="H60" s="638">
        <v>6.8000000000000005E-4</v>
      </c>
      <c r="I60" s="681">
        <v>5.83</v>
      </c>
      <c r="J60" s="557">
        <f>I60/G60*100</f>
        <v>8.542124542124542</v>
      </c>
      <c r="K60" s="638">
        <f>J60*$H60</f>
        <v>5.808644688644689E-3</v>
      </c>
      <c r="L60" s="681">
        <v>26.31</v>
      </c>
      <c r="M60" s="557">
        <f>L60/G60*100</f>
        <v>38.549450549450547</v>
      </c>
      <c r="N60" s="638">
        <f>M60*$H60</f>
        <v>2.6213626373626373E-2</v>
      </c>
      <c r="O60" s="689">
        <v>10.08</v>
      </c>
      <c r="P60" s="639">
        <f>O60/G60*100</f>
        <v>14.76923076923077</v>
      </c>
      <c r="Q60" s="638">
        <f>P60*$H60</f>
        <v>1.0043076923076924E-2</v>
      </c>
      <c r="R60" s="681">
        <v>8</v>
      </c>
      <c r="S60" s="639">
        <f>R60/G60*100</f>
        <v>11.721611721611721</v>
      </c>
      <c r="T60" s="638">
        <f>S60*$H60</f>
        <v>7.9706959706959714E-3</v>
      </c>
      <c r="U60" s="681">
        <v>0</v>
      </c>
      <c r="V60" s="639">
        <f>U60/G60*100</f>
        <v>0</v>
      </c>
      <c r="W60" s="638">
        <f>V60*$H60</f>
        <v>0</v>
      </c>
      <c r="X60" s="689">
        <v>0</v>
      </c>
      <c r="Y60" s="639">
        <f>X60/G60*100</f>
        <v>0</v>
      </c>
      <c r="Z60" s="638">
        <f>Y60*$H60</f>
        <v>0</v>
      </c>
      <c r="AA60" s="681">
        <v>18.03</v>
      </c>
      <c r="AB60" s="639">
        <f>AA60/G60*100</f>
        <v>26.41758241758242</v>
      </c>
      <c r="AC60" s="638">
        <f>AB60*$H60</f>
        <v>1.7963956043956047E-2</v>
      </c>
      <c r="AD60" s="681">
        <v>0</v>
      </c>
      <c r="AE60" s="639">
        <f>AD60/G60*100</f>
        <v>0</v>
      </c>
      <c r="AF60" s="638">
        <f>AE60*$H60</f>
        <v>0</v>
      </c>
      <c r="AG60" s="448">
        <f>SUM(AE60+AB60+Y60+V60+S60+P60+M60+J60)</f>
        <v>99.999999999999986</v>
      </c>
      <c r="AH60" s="449">
        <f>N60+Q60+T60+W60+Z60+AC60+AF60</f>
        <v>6.219135531135532E-2</v>
      </c>
      <c r="AI60" s="447">
        <f>ROW(AH60)</f>
        <v>60</v>
      </c>
      <c r="AM60" s="251">
        <f t="shared" si="40"/>
        <v>68.25</v>
      </c>
      <c r="AN60" s="251">
        <f t="shared" si="41"/>
        <v>0</v>
      </c>
    </row>
    <row r="61" spans="1:40" s="742" customFormat="1" ht="15" customHeight="1" x14ac:dyDescent="0.25">
      <c r="A61" s="292"/>
      <c r="B61" s="293"/>
      <c r="C61" s="295" t="s">
        <v>79</v>
      </c>
      <c r="D61" s="169"/>
      <c r="E61" s="233"/>
      <c r="F61" s="276"/>
      <c r="G61" s="233"/>
      <c r="H61" s="425"/>
      <c r="I61" s="681"/>
      <c r="J61" s="233"/>
      <c r="K61" s="425"/>
      <c r="L61" s="681"/>
      <c r="M61" s="233"/>
      <c r="N61" s="425"/>
      <c r="O61" s="689"/>
      <c r="P61" s="269"/>
      <c r="Q61" s="425"/>
      <c r="R61" s="681"/>
      <c r="S61" s="269"/>
      <c r="T61" s="425"/>
      <c r="U61" s="681"/>
      <c r="V61" s="269"/>
      <c r="W61" s="425"/>
      <c r="X61" s="689"/>
      <c r="Y61" s="269"/>
      <c r="Z61" s="425"/>
      <c r="AA61" s="681"/>
      <c r="AB61" s="269"/>
      <c r="AC61" s="425"/>
      <c r="AD61" s="681"/>
      <c r="AE61" s="269"/>
      <c r="AF61" s="425"/>
      <c r="AG61" s="251"/>
      <c r="AM61" s="251">
        <f t="shared" si="40"/>
        <v>0</v>
      </c>
      <c r="AN61" s="251">
        <f t="shared" si="41"/>
        <v>0</v>
      </c>
    </row>
    <row r="62" spans="1:40" s="742" customFormat="1" ht="17.25" customHeight="1" x14ac:dyDescent="0.25">
      <c r="A62" s="292"/>
      <c r="B62" s="616">
        <v>4112102</v>
      </c>
      <c r="C62" s="296" t="s">
        <v>80</v>
      </c>
      <c r="D62" s="169" t="s">
        <v>146</v>
      </c>
      <c r="E62" s="233">
        <v>18</v>
      </c>
      <c r="F62" s="276">
        <v>5</v>
      </c>
      <c r="G62" s="233">
        <v>90</v>
      </c>
      <c r="H62" s="425">
        <v>8.9999999999999998E-4</v>
      </c>
      <c r="I62" s="681">
        <v>0</v>
      </c>
      <c r="J62" s="233">
        <f>I62/G62*100</f>
        <v>0</v>
      </c>
      <c r="K62" s="425">
        <f>J62*$H62</f>
        <v>0</v>
      </c>
      <c r="L62" s="681">
        <v>0</v>
      </c>
      <c r="M62" s="233">
        <f>L62/G62*100</f>
        <v>0</v>
      </c>
      <c r="N62" s="425">
        <f>M62*$H62</f>
        <v>0</v>
      </c>
      <c r="O62" s="689">
        <v>40.29</v>
      </c>
      <c r="P62" s="269">
        <f>O62/G62*100</f>
        <v>44.766666666666666</v>
      </c>
      <c r="Q62" s="425">
        <f>P62*$H62</f>
        <v>4.0289999999999999E-2</v>
      </c>
      <c r="R62" s="681">
        <v>21</v>
      </c>
      <c r="S62" s="269">
        <f>R62/G62*100</f>
        <v>23.333333333333332</v>
      </c>
      <c r="T62" s="425">
        <f>S62*$H62</f>
        <v>2.0999999999999998E-2</v>
      </c>
      <c r="U62" s="681">
        <v>0</v>
      </c>
      <c r="V62" s="269">
        <f>U62/G62*100</f>
        <v>0</v>
      </c>
      <c r="W62" s="425">
        <f>V62*$H62</f>
        <v>0</v>
      </c>
      <c r="X62" s="689">
        <v>0</v>
      </c>
      <c r="Y62" s="269">
        <f>X62/G62*100</f>
        <v>0</v>
      </c>
      <c r="Z62" s="425">
        <f>Y62*$H62</f>
        <v>0</v>
      </c>
      <c r="AA62" s="681">
        <v>28.71</v>
      </c>
      <c r="AB62" s="269">
        <f>AA62/G62*100</f>
        <v>31.900000000000002</v>
      </c>
      <c r="AC62" s="425">
        <f>AB62*$H62</f>
        <v>2.8709999999999999E-2</v>
      </c>
      <c r="AD62" s="681">
        <v>0</v>
      </c>
      <c r="AE62" s="269">
        <f>AD62/G62*100</f>
        <v>0</v>
      </c>
      <c r="AF62" s="425">
        <f>AE62*$H62</f>
        <v>0</v>
      </c>
      <c r="AG62" s="251">
        <f>SUM(AE62+AB62+Y62+V62+S62+P62+M62+J62)</f>
        <v>100</v>
      </c>
      <c r="AH62" s="423">
        <f>N62+Q62+T62+W62+Z62+AC62+AF62</f>
        <v>0.09</v>
      </c>
      <c r="AI62" s="742">
        <f t="shared" ref="AI62:AI69" si="61">ROW(AH62)</f>
        <v>62</v>
      </c>
      <c r="AM62" s="251">
        <f t="shared" si="40"/>
        <v>90</v>
      </c>
      <c r="AN62" s="251">
        <f t="shared" si="41"/>
        <v>0</v>
      </c>
    </row>
    <row r="63" spans="1:40" s="742" customFormat="1" ht="15.75" customHeight="1" x14ac:dyDescent="0.25">
      <c r="A63" s="292"/>
      <c r="B63" s="293"/>
      <c r="C63" s="297" t="s">
        <v>153</v>
      </c>
      <c r="D63" s="169"/>
      <c r="E63" s="233"/>
      <c r="F63" s="276"/>
      <c r="G63" s="233"/>
      <c r="H63" s="425"/>
      <c r="I63" s="681"/>
      <c r="J63" s="233"/>
      <c r="K63" s="425"/>
      <c r="L63" s="681"/>
      <c r="M63" s="233"/>
      <c r="N63" s="425"/>
      <c r="O63" s="689"/>
      <c r="P63" s="269"/>
      <c r="Q63" s="425"/>
      <c r="R63" s="681"/>
      <c r="S63" s="269"/>
      <c r="T63" s="425"/>
      <c r="U63" s="681"/>
      <c r="V63" s="269"/>
      <c r="W63" s="425"/>
      <c r="X63" s="689"/>
      <c r="Y63" s="269"/>
      <c r="Z63" s="425"/>
      <c r="AA63" s="681"/>
      <c r="AB63" s="269"/>
      <c r="AC63" s="425"/>
      <c r="AD63" s="681"/>
      <c r="AE63" s="269"/>
      <c r="AF63" s="425"/>
      <c r="AG63" s="251"/>
      <c r="AH63" s="423">
        <f>N63+Q63+T63+W63+Z63+AC63+AF63</f>
        <v>0</v>
      </c>
      <c r="AI63" s="742">
        <f t="shared" si="61"/>
        <v>63</v>
      </c>
      <c r="AM63" s="251">
        <f t="shared" si="40"/>
        <v>0</v>
      </c>
      <c r="AN63" s="251">
        <f t="shared" si="41"/>
        <v>0</v>
      </c>
    </row>
    <row r="64" spans="1:40" s="651" customFormat="1" ht="15.75" customHeight="1" x14ac:dyDescent="0.25">
      <c r="A64" s="647"/>
      <c r="B64" s="628">
        <v>4112316</v>
      </c>
      <c r="C64" s="648" t="s">
        <v>81</v>
      </c>
      <c r="D64" s="629" t="s">
        <v>146</v>
      </c>
      <c r="E64" s="625">
        <v>1.28</v>
      </c>
      <c r="F64" s="649">
        <v>7</v>
      </c>
      <c r="G64" s="625">
        <v>8.9700000000000006</v>
      </c>
      <c r="H64" s="630">
        <v>9.0000000000000006E-5</v>
      </c>
      <c r="I64" s="681">
        <v>3.73</v>
      </c>
      <c r="J64" s="625">
        <f>I64/G64*100</f>
        <v>41.583054626532885</v>
      </c>
      <c r="K64" s="630">
        <f>J64*$H64</f>
        <v>3.7424749163879598E-3</v>
      </c>
      <c r="L64" s="681">
        <v>2.74</v>
      </c>
      <c r="M64" s="625">
        <f>L64/G64*100</f>
        <v>30.546265328874021</v>
      </c>
      <c r="N64" s="630">
        <f>M64*$H64</f>
        <v>2.7491638795986619E-3</v>
      </c>
      <c r="O64" s="689">
        <v>2.5</v>
      </c>
      <c r="P64" s="631">
        <f>O64/G64*100</f>
        <v>27.870680044593087</v>
      </c>
      <c r="Q64" s="630">
        <f>P64*$H64</f>
        <v>2.508361204013378E-3</v>
      </c>
      <c r="R64" s="681">
        <v>0</v>
      </c>
      <c r="S64" s="631">
        <f>R64/G64*100</f>
        <v>0</v>
      </c>
      <c r="T64" s="630">
        <f>S64*$H64</f>
        <v>0</v>
      </c>
      <c r="U64" s="681">
        <v>0</v>
      </c>
      <c r="V64" s="631">
        <f>U64/G64*100</f>
        <v>0</v>
      </c>
      <c r="W64" s="630">
        <f>V64*$H64</f>
        <v>0</v>
      </c>
      <c r="X64" s="689">
        <v>0</v>
      </c>
      <c r="Y64" s="631">
        <f>X64/G64*100</f>
        <v>0</v>
      </c>
      <c r="Z64" s="630">
        <f>Y64*$H64</f>
        <v>0</v>
      </c>
      <c r="AA64" s="681">
        <v>0</v>
      </c>
      <c r="AB64" s="631">
        <f>AA64/G64*100</f>
        <v>0</v>
      </c>
      <c r="AC64" s="630">
        <f>AB64*$H64</f>
        <v>0</v>
      </c>
      <c r="AD64" s="681">
        <v>0</v>
      </c>
      <c r="AE64" s="631">
        <f>AD64/G64*100</f>
        <v>0</v>
      </c>
      <c r="AF64" s="630">
        <f>AE64*$H64</f>
        <v>0</v>
      </c>
      <c r="AG64" s="646">
        <f>SUM(AE64+AB64+Y64+V64+S64+P64+M64+J64)</f>
        <v>100</v>
      </c>
      <c r="AH64" s="650">
        <f>N64+Q64+T64+W64+Z64+AC64+AF64</f>
        <v>5.2575250836120399E-3</v>
      </c>
      <c r="AI64" s="651">
        <f t="shared" si="61"/>
        <v>64</v>
      </c>
      <c r="AM64" s="646">
        <f t="shared" si="40"/>
        <v>8.9700000000000006</v>
      </c>
      <c r="AN64" s="646">
        <f t="shared" si="41"/>
        <v>0</v>
      </c>
    </row>
    <row r="65" spans="1:40" s="651" customFormat="1" ht="14.25" customHeight="1" x14ac:dyDescent="0.25">
      <c r="A65" s="647"/>
      <c r="B65" s="652">
        <v>4112316</v>
      </c>
      <c r="C65" s="648" t="s">
        <v>82</v>
      </c>
      <c r="D65" s="629" t="s">
        <v>146</v>
      </c>
      <c r="E65" s="625">
        <v>0.5</v>
      </c>
      <c r="F65" s="649">
        <v>2</v>
      </c>
      <c r="G65" s="625">
        <v>1</v>
      </c>
      <c r="H65" s="630">
        <v>1.0000000000000001E-5</v>
      </c>
      <c r="I65" s="681">
        <v>0.79</v>
      </c>
      <c r="J65" s="625">
        <f>I65/G65*100</f>
        <v>79</v>
      </c>
      <c r="K65" s="630">
        <f>J65*$H65</f>
        <v>7.9000000000000001E-4</v>
      </c>
      <c r="L65" s="681">
        <v>0</v>
      </c>
      <c r="M65" s="625">
        <f>L65/G65*100</f>
        <v>0</v>
      </c>
      <c r="N65" s="630">
        <f>M65*$H65</f>
        <v>0</v>
      </c>
      <c r="O65" s="689">
        <v>0</v>
      </c>
      <c r="P65" s="631">
        <f>O65/G65*100</f>
        <v>0</v>
      </c>
      <c r="Q65" s="630">
        <f>P65*$H65</f>
        <v>0</v>
      </c>
      <c r="R65" s="681">
        <v>0</v>
      </c>
      <c r="S65" s="631">
        <f>R65/G65*100</f>
        <v>0</v>
      </c>
      <c r="T65" s="630">
        <f>S65*$H65</f>
        <v>0</v>
      </c>
      <c r="U65" s="681">
        <v>0</v>
      </c>
      <c r="V65" s="631">
        <f>U65/G65*100</f>
        <v>0</v>
      </c>
      <c r="W65" s="630">
        <f>V65*$H65</f>
        <v>0</v>
      </c>
      <c r="X65" s="689">
        <v>0</v>
      </c>
      <c r="Y65" s="631">
        <f>X65/G65*100</f>
        <v>0</v>
      </c>
      <c r="Z65" s="630">
        <f>Y65*$H65</f>
        <v>0</v>
      </c>
      <c r="AA65" s="681">
        <v>0.21</v>
      </c>
      <c r="AB65" s="631">
        <f>AA65/G65*100</f>
        <v>21</v>
      </c>
      <c r="AC65" s="630">
        <f>AB65*$H65</f>
        <v>2.1000000000000001E-4</v>
      </c>
      <c r="AD65" s="681">
        <v>0</v>
      </c>
      <c r="AE65" s="631">
        <f>AD65/G65*100</f>
        <v>0</v>
      </c>
      <c r="AF65" s="630">
        <f>AE65*$H65</f>
        <v>0</v>
      </c>
      <c r="AG65" s="646">
        <f>SUM(AE65+AB65+Y65+V65+S65+P65+M65+J65)</f>
        <v>100</v>
      </c>
      <c r="AH65" s="650">
        <f>N65+Q65+T65+W65+Z65+AC65+AF65</f>
        <v>2.1000000000000001E-4</v>
      </c>
      <c r="AI65" s="651">
        <f t="shared" si="61"/>
        <v>65</v>
      </c>
      <c r="AM65" s="646">
        <f t="shared" si="40"/>
        <v>1</v>
      </c>
      <c r="AN65" s="646">
        <f t="shared" si="41"/>
        <v>0</v>
      </c>
    </row>
    <row r="66" spans="1:40" s="742" customFormat="1" ht="15.75" customHeight="1" x14ac:dyDescent="0.25">
      <c r="A66" s="292"/>
      <c r="B66" s="293"/>
      <c r="C66" s="295" t="s">
        <v>67</v>
      </c>
      <c r="D66" s="169"/>
      <c r="E66" s="233"/>
      <c r="F66" s="276"/>
      <c r="G66" s="233"/>
      <c r="H66" s="425"/>
      <c r="I66" s="681"/>
      <c r="J66" s="233"/>
      <c r="K66" s="425"/>
      <c r="L66" s="681"/>
      <c r="M66" s="233"/>
      <c r="N66" s="425"/>
      <c r="O66" s="689"/>
      <c r="P66" s="269"/>
      <c r="Q66" s="425"/>
      <c r="R66" s="681"/>
      <c r="S66" s="269"/>
      <c r="T66" s="425"/>
      <c r="U66" s="681"/>
      <c r="V66" s="269"/>
      <c r="W66" s="425"/>
      <c r="X66" s="689"/>
      <c r="Y66" s="269"/>
      <c r="Z66" s="425"/>
      <c r="AA66" s="681"/>
      <c r="AB66" s="269"/>
      <c r="AC66" s="425"/>
      <c r="AD66" s="681"/>
      <c r="AE66" s="269"/>
      <c r="AF66" s="425"/>
      <c r="AG66" s="251"/>
      <c r="AI66" s="742">
        <f t="shared" si="61"/>
        <v>66</v>
      </c>
      <c r="AM66" s="251">
        <f t="shared" si="40"/>
        <v>0</v>
      </c>
      <c r="AN66" s="251">
        <f t="shared" si="41"/>
        <v>0</v>
      </c>
    </row>
    <row r="67" spans="1:40" s="651" customFormat="1" ht="27.75" customHeight="1" x14ac:dyDescent="0.25">
      <c r="A67" s="647"/>
      <c r="B67" s="652">
        <v>4112304</v>
      </c>
      <c r="C67" s="648" t="s">
        <v>83</v>
      </c>
      <c r="D67" s="629" t="s">
        <v>201</v>
      </c>
      <c r="E67" s="625">
        <v>20.5</v>
      </c>
      <c r="F67" s="649">
        <v>17</v>
      </c>
      <c r="G67" s="625">
        <v>20.5</v>
      </c>
      <c r="H67" s="630">
        <v>2.1000000000000001E-4</v>
      </c>
      <c r="I67" s="681">
        <v>0</v>
      </c>
      <c r="J67" s="625">
        <f>I67/G67*100</f>
        <v>0</v>
      </c>
      <c r="K67" s="653">
        <f>J67*$H67</f>
        <v>0</v>
      </c>
      <c r="L67" s="681">
        <v>5.55</v>
      </c>
      <c r="M67" s="625">
        <f>L67/G67*100</f>
        <v>27.073170731707318</v>
      </c>
      <c r="N67" s="653">
        <f>M67*$H67</f>
        <v>5.6853658536585366E-3</v>
      </c>
      <c r="O67" s="689">
        <v>11.15</v>
      </c>
      <c r="P67" s="631">
        <f>O67/G67*100</f>
        <v>54.390243902439025</v>
      </c>
      <c r="Q67" s="630">
        <f>P67*$H67</f>
        <v>1.1421951219512196E-2</v>
      </c>
      <c r="R67" s="681">
        <v>3.8</v>
      </c>
      <c r="S67" s="631">
        <f>R67/G67*100</f>
        <v>18.536585365853657</v>
      </c>
      <c r="T67" s="630">
        <f>S67*$H67</f>
        <v>3.892682926829268E-3</v>
      </c>
      <c r="U67" s="681">
        <v>0</v>
      </c>
      <c r="V67" s="631">
        <f>U67/G67*100</f>
        <v>0</v>
      </c>
      <c r="W67" s="630">
        <f>V67*$H67</f>
        <v>0</v>
      </c>
      <c r="X67" s="689">
        <v>0</v>
      </c>
      <c r="Y67" s="631">
        <f>X67/G67*100</f>
        <v>0</v>
      </c>
      <c r="Z67" s="630">
        <f>Y67*$H67</f>
        <v>0</v>
      </c>
      <c r="AA67" s="681">
        <v>0</v>
      </c>
      <c r="AB67" s="631">
        <f>AA67/G67*100</f>
        <v>0</v>
      </c>
      <c r="AC67" s="630">
        <f>AB67*$H67</f>
        <v>0</v>
      </c>
      <c r="AD67" s="681">
        <v>0</v>
      </c>
      <c r="AE67" s="631">
        <f>AD67/G67*100</f>
        <v>0</v>
      </c>
      <c r="AF67" s="630">
        <f>AE67*$H67</f>
        <v>0</v>
      </c>
      <c r="AG67" s="646">
        <f>SUM(AE67+AB67+Y67+V67+S67+P67+M67+J67)</f>
        <v>100</v>
      </c>
      <c r="AH67" s="650">
        <f>N67+Q67+T67+W67+Z67+AC67+AF67</f>
        <v>2.1000000000000001E-2</v>
      </c>
      <c r="AI67" s="651">
        <f t="shared" si="61"/>
        <v>67</v>
      </c>
      <c r="AM67" s="646">
        <f t="shared" si="40"/>
        <v>20.5</v>
      </c>
      <c r="AN67" s="646">
        <f t="shared" si="41"/>
        <v>0</v>
      </c>
    </row>
    <row r="68" spans="1:40" s="651" customFormat="1" ht="22.5" customHeight="1" x14ac:dyDescent="0.25">
      <c r="A68" s="647"/>
      <c r="B68" s="628">
        <v>4112304</v>
      </c>
      <c r="C68" s="654" t="s">
        <v>84</v>
      </c>
      <c r="D68" s="629" t="s">
        <v>146</v>
      </c>
      <c r="E68" s="625">
        <v>1</v>
      </c>
      <c r="F68" s="649">
        <v>3</v>
      </c>
      <c r="G68" s="625">
        <v>3</v>
      </c>
      <c r="H68" s="630">
        <v>3.0000000000000001E-5</v>
      </c>
      <c r="I68" s="681">
        <v>0</v>
      </c>
      <c r="J68" s="625">
        <f>I68/G68*100</f>
        <v>0</v>
      </c>
      <c r="K68" s="653">
        <f>J68*$H68</f>
        <v>0</v>
      </c>
      <c r="L68" s="681">
        <v>0</v>
      </c>
      <c r="M68" s="625">
        <f>L68/G68*100</f>
        <v>0</v>
      </c>
      <c r="N68" s="653">
        <f>M68*$H68</f>
        <v>0</v>
      </c>
      <c r="O68" s="689">
        <v>0</v>
      </c>
      <c r="P68" s="631">
        <f>O68/G68*100</f>
        <v>0</v>
      </c>
      <c r="Q68" s="630">
        <f>P68*$H68</f>
        <v>0</v>
      </c>
      <c r="R68" s="681">
        <v>3</v>
      </c>
      <c r="S68" s="631">
        <f>R68/G68*100</f>
        <v>100</v>
      </c>
      <c r="T68" s="630">
        <f>S68*$H68</f>
        <v>3.0000000000000001E-3</v>
      </c>
      <c r="U68" s="681">
        <v>0</v>
      </c>
      <c r="V68" s="631">
        <f>U68/G68*100</f>
        <v>0</v>
      </c>
      <c r="W68" s="630">
        <f>V68*$H68</f>
        <v>0</v>
      </c>
      <c r="X68" s="689">
        <v>0</v>
      </c>
      <c r="Y68" s="631">
        <f>X68/G68*100</f>
        <v>0</v>
      </c>
      <c r="Z68" s="630">
        <f>Y68*$H68</f>
        <v>0</v>
      </c>
      <c r="AA68" s="681">
        <v>0</v>
      </c>
      <c r="AB68" s="631">
        <f>AA68/G68*100</f>
        <v>0</v>
      </c>
      <c r="AC68" s="630">
        <f>AB68*$H68</f>
        <v>0</v>
      </c>
      <c r="AD68" s="681">
        <v>0</v>
      </c>
      <c r="AE68" s="631">
        <f>AD68/G68*100</f>
        <v>0</v>
      </c>
      <c r="AF68" s="630">
        <f>AE68*$H68</f>
        <v>0</v>
      </c>
      <c r="AG68" s="646">
        <f>SUM(AE68+AB68+Y68+V68+S68+P68+M68+J68)</f>
        <v>100</v>
      </c>
      <c r="AH68" s="650">
        <f>N68+Q68+T68+W68+Z68+AC68+AF68</f>
        <v>3.0000000000000001E-3</v>
      </c>
      <c r="AI68" s="651">
        <f t="shared" si="61"/>
        <v>68</v>
      </c>
      <c r="AM68" s="646">
        <f t="shared" si="40"/>
        <v>3</v>
      </c>
      <c r="AN68" s="646">
        <f t="shared" si="41"/>
        <v>0</v>
      </c>
    </row>
    <row r="69" spans="1:40" s="742" customFormat="1" ht="23.25" customHeight="1" x14ac:dyDescent="0.25">
      <c r="A69" s="292"/>
      <c r="B69" s="293">
        <v>4112304</v>
      </c>
      <c r="C69" s="294" t="s">
        <v>85</v>
      </c>
      <c r="D69" s="169" t="s">
        <v>146</v>
      </c>
      <c r="E69" s="233">
        <v>0</v>
      </c>
      <c r="F69" s="276" t="s">
        <v>86</v>
      </c>
      <c r="G69" s="233">
        <v>50</v>
      </c>
      <c r="H69" s="425">
        <v>5.0000000000000001E-4</v>
      </c>
      <c r="I69" s="681">
        <v>0</v>
      </c>
      <c r="J69" s="233">
        <f>I69/G69*100</f>
        <v>0</v>
      </c>
      <c r="K69" s="426">
        <f>J69*$H69</f>
        <v>0</v>
      </c>
      <c r="L69" s="681">
        <v>0</v>
      </c>
      <c r="M69" s="233">
        <f>L69/G69*100</f>
        <v>0</v>
      </c>
      <c r="N69" s="426">
        <f>M69*$H69</f>
        <v>0</v>
      </c>
      <c r="O69" s="689">
        <v>0</v>
      </c>
      <c r="P69" s="269">
        <f>O69/G69*100</f>
        <v>0</v>
      </c>
      <c r="Q69" s="425">
        <f>P69*$H69</f>
        <v>0</v>
      </c>
      <c r="R69" s="681">
        <v>7.89</v>
      </c>
      <c r="S69" s="269">
        <f>R69/G69*100</f>
        <v>15.78</v>
      </c>
      <c r="T69" s="425">
        <f>S69*$H69</f>
        <v>7.8899999999999994E-3</v>
      </c>
      <c r="U69" s="681">
        <v>1.6</v>
      </c>
      <c r="V69" s="269">
        <f>U69/G69*100</f>
        <v>3.2</v>
      </c>
      <c r="W69" s="425">
        <f>V69*$H69</f>
        <v>1.6000000000000001E-3</v>
      </c>
      <c r="X69" s="689">
        <v>5</v>
      </c>
      <c r="Y69" s="269">
        <f>X69/G69*100</f>
        <v>10</v>
      </c>
      <c r="Z69" s="425">
        <f>Y69*$H69</f>
        <v>5.0000000000000001E-3</v>
      </c>
      <c r="AA69" s="681">
        <v>35.51</v>
      </c>
      <c r="AB69" s="269">
        <f>AA69/G69*100</f>
        <v>71.02</v>
      </c>
      <c r="AC69" s="425">
        <f>AB69*$H69</f>
        <v>3.551E-2</v>
      </c>
      <c r="AD69" s="681">
        <v>0</v>
      </c>
      <c r="AE69" s="269">
        <f>AD69/G69*100</f>
        <v>0</v>
      </c>
      <c r="AF69" s="425">
        <f>AE69*$H69</f>
        <v>0</v>
      </c>
      <c r="AG69" s="251">
        <f>SUM(AE69+AB69+Y69+V69+S69+P69+M69+J69)</f>
        <v>100</v>
      </c>
      <c r="AH69" s="423">
        <f>N69+Q69+T69+W69+Z69+AC69+AF69</f>
        <v>0.05</v>
      </c>
      <c r="AI69" s="742">
        <f t="shared" si="61"/>
        <v>69</v>
      </c>
      <c r="AM69" s="251">
        <f t="shared" si="40"/>
        <v>50</v>
      </c>
      <c r="AN69" s="251">
        <f t="shared" si="41"/>
        <v>0</v>
      </c>
    </row>
    <row r="70" spans="1:40" s="742" customFormat="1" ht="16.5" customHeight="1" x14ac:dyDescent="0.25">
      <c r="A70" s="292"/>
      <c r="B70" s="293"/>
      <c r="C70" s="298" t="s">
        <v>87</v>
      </c>
      <c r="D70" s="169"/>
      <c r="E70" s="233"/>
      <c r="F70" s="276"/>
      <c r="G70" s="233"/>
      <c r="H70" s="425"/>
      <c r="I70" s="681"/>
      <c r="J70" s="233"/>
      <c r="K70" s="426"/>
      <c r="L70" s="681"/>
      <c r="M70" s="233"/>
      <c r="N70" s="426"/>
      <c r="O70" s="689"/>
      <c r="P70" s="269"/>
      <c r="Q70" s="425"/>
      <c r="R70" s="681"/>
      <c r="S70" s="269"/>
      <c r="T70" s="425"/>
      <c r="U70" s="681"/>
      <c r="V70" s="269"/>
      <c r="W70" s="425"/>
      <c r="X70" s="689"/>
      <c r="Y70" s="269"/>
      <c r="Z70" s="425"/>
      <c r="AA70" s="681"/>
      <c r="AB70" s="269"/>
      <c r="AC70" s="425"/>
      <c r="AD70" s="681"/>
      <c r="AE70" s="269"/>
      <c r="AF70" s="425"/>
      <c r="AG70" s="251"/>
      <c r="AM70" s="251">
        <f t="shared" si="40"/>
        <v>0</v>
      </c>
      <c r="AN70" s="251">
        <f t="shared" si="41"/>
        <v>0</v>
      </c>
    </row>
    <row r="71" spans="1:40" s="447" customFormat="1" ht="39.75" customHeight="1" x14ac:dyDescent="0.25">
      <c r="A71" s="640"/>
      <c r="B71" s="641">
        <v>4112202</v>
      </c>
      <c r="C71" s="642" t="s">
        <v>88</v>
      </c>
      <c r="D71" s="635" t="s">
        <v>146</v>
      </c>
      <c r="E71" s="557">
        <v>0.68</v>
      </c>
      <c r="F71" s="643">
        <v>33</v>
      </c>
      <c r="G71" s="557">
        <v>22.5</v>
      </c>
      <c r="H71" s="638">
        <v>2.3000000000000001E-4</v>
      </c>
      <c r="I71" s="681">
        <v>3.88</v>
      </c>
      <c r="J71" s="557">
        <f t="shared" ref="J71:J76" si="62">I71/G71*100</f>
        <v>17.244444444444444</v>
      </c>
      <c r="K71" s="645">
        <f t="shared" ref="K71:K76" si="63">J71*$H71</f>
        <v>3.9662222222222225E-3</v>
      </c>
      <c r="L71" s="681">
        <v>7.14</v>
      </c>
      <c r="M71" s="557">
        <f t="shared" ref="M71:M76" si="64">L71/G71*100</f>
        <v>31.733333333333331</v>
      </c>
      <c r="N71" s="645">
        <f t="shared" ref="N71:N76" si="65">M71*$H71</f>
        <v>7.298666666666666E-3</v>
      </c>
      <c r="O71" s="689">
        <v>6.18</v>
      </c>
      <c r="P71" s="639">
        <f t="shared" ref="P71:P76" si="66">O71/G71*100</f>
        <v>27.466666666666669</v>
      </c>
      <c r="Q71" s="638">
        <f t="shared" ref="Q71:Q76" si="67">P71*$H71</f>
        <v>6.3173333333333337E-3</v>
      </c>
      <c r="R71" s="681">
        <v>2.27</v>
      </c>
      <c r="S71" s="639">
        <f t="shared" ref="S71:S76" si="68">R71/G71*100</f>
        <v>10.088888888888889</v>
      </c>
      <c r="T71" s="638">
        <f t="shared" ref="T71:T76" si="69">S71*$H71</f>
        <v>2.3204444444444444E-3</v>
      </c>
      <c r="U71" s="681">
        <v>0</v>
      </c>
      <c r="V71" s="639">
        <f t="shared" ref="V71:V76" si="70">U71/G71*100</f>
        <v>0</v>
      </c>
      <c r="W71" s="638">
        <f t="shared" ref="W71:W76" si="71">V71*$H71</f>
        <v>0</v>
      </c>
      <c r="X71" s="689">
        <v>0</v>
      </c>
      <c r="Y71" s="639">
        <f t="shared" ref="Y71:Y76" si="72">X71/G71*100</f>
        <v>0</v>
      </c>
      <c r="Z71" s="638">
        <f t="shared" ref="Z71:Z76" si="73">Y71*$H71</f>
        <v>0</v>
      </c>
      <c r="AA71" s="681">
        <v>3.0300000000000011</v>
      </c>
      <c r="AB71" s="639">
        <f t="shared" ref="AB71:AB76" si="74">AA71/G71*100</f>
        <v>13.466666666666672</v>
      </c>
      <c r="AC71" s="638">
        <f t="shared" ref="AC71:AC76" si="75">AB71*$H71</f>
        <v>3.0973333333333347E-3</v>
      </c>
      <c r="AD71" s="681">
        <v>0</v>
      </c>
      <c r="AE71" s="639">
        <f t="shared" ref="AE71:AE76" si="76">AD71/G71*100</f>
        <v>0</v>
      </c>
      <c r="AF71" s="638">
        <f t="shared" ref="AF71:AF76" si="77">AE71*$H71</f>
        <v>0</v>
      </c>
      <c r="AG71" s="448">
        <f t="shared" ref="AG71:AG76" si="78">SUM(AE71+AB71+Y71+V71+S71+P71+M71+J71)</f>
        <v>100</v>
      </c>
      <c r="AH71" s="449">
        <f t="shared" ref="AH71:AH76" si="79">N71+Q71+T71+W71+Z71+AC71+AF71</f>
        <v>1.9033777777777778E-2</v>
      </c>
      <c r="AI71" s="447">
        <f t="shared" ref="AI71:AI76" si="80">ROW(AH71)</f>
        <v>71</v>
      </c>
      <c r="AM71" s="251">
        <f t="shared" si="40"/>
        <v>22.5</v>
      </c>
      <c r="AN71" s="251">
        <f t="shared" si="41"/>
        <v>0</v>
      </c>
    </row>
    <row r="72" spans="1:40" s="447" customFormat="1" ht="24.75" customHeight="1" x14ac:dyDescent="0.25">
      <c r="A72" s="640"/>
      <c r="B72" s="641">
        <v>4112202</v>
      </c>
      <c r="C72" s="642" t="s">
        <v>89</v>
      </c>
      <c r="D72" s="635" t="s">
        <v>146</v>
      </c>
      <c r="E72" s="557">
        <v>0.98</v>
      </c>
      <c r="F72" s="643">
        <v>14</v>
      </c>
      <c r="G72" s="557">
        <v>13.75</v>
      </c>
      <c r="H72" s="638">
        <v>1.3999999999999999E-4</v>
      </c>
      <c r="I72" s="681">
        <v>3.7440000000000002</v>
      </c>
      <c r="J72" s="557">
        <f t="shared" si="62"/>
        <v>27.229090909090907</v>
      </c>
      <c r="K72" s="645">
        <f t="shared" si="63"/>
        <v>3.8120727272727265E-3</v>
      </c>
      <c r="L72" s="681">
        <v>0</v>
      </c>
      <c r="M72" s="557">
        <f t="shared" si="64"/>
        <v>0</v>
      </c>
      <c r="N72" s="645">
        <f t="shared" si="65"/>
        <v>0</v>
      </c>
      <c r="O72" s="689">
        <v>2.9860000000000002</v>
      </c>
      <c r="P72" s="639">
        <f t="shared" si="66"/>
        <v>21.716363636363639</v>
      </c>
      <c r="Q72" s="638">
        <f t="shared" si="67"/>
        <v>3.0402909090909091E-3</v>
      </c>
      <c r="R72" s="681">
        <v>3.15</v>
      </c>
      <c r="S72" s="639">
        <f t="shared" si="68"/>
        <v>22.90909090909091</v>
      </c>
      <c r="T72" s="638">
        <f t="shared" si="69"/>
        <v>3.207272727272727E-3</v>
      </c>
      <c r="U72" s="681">
        <v>0</v>
      </c>
      <c r="V72" s="639">
        <f t="shared" si="70"/>
        <v>0</v>
      </c>
      <c r="W72" s="638">
        <f t="shared" si="71"/>
        <v>0</v>
      </c>
      <c r="X72" s="689">
        <v>0</v>
      </c>
      <c r="Y72" s="639">
        <f t="shared" si="72"/>
        <v>0</v>
      </c>
      <c r="Z72" s="638">
        <f t="shared" si="73"/>
        <v>0</v>
      </c>
      <c r="AA72" s="681">
        <v>3.8699999999999992</v>
      </c>
      <c r="AB72" s="639">
        <f t="shared" si="74"/>
        <v>28.145454545454541</v>
      </c>
      <c r="AC72" s="638">
        <f t="shared" si="75"/>
        <v>3.9403636363636351E-3</v>
      </c>
      <c r="AD72" s="681">
        <v>0</v>
      </c>
      <c r="AE72" s="639">
        <f t="shared" si="76"/>
        <v>0</v>
      </c>
      <c r="AF72" s="638">
        <f t="shared" si="77"/>
        <v>0</v>
      </c>
      <c r="AG72" s="448">
        <f t="shared" si="78"/>
        <v>100</v>
      </c>
      <c r="AH72" s="449">
        <f t="shared" si="79"/>
        <v>1.0187927272727271E-2</v>
      </c>
      <c r="AI72" s="447">
        <f t="shared" si="80"/>
        <v>72</v>
      </c>
      <c r="AM72" s="251">
        <f t="shared" si="40"/>
        <v>13.75</v>
      </c>
      <c r="AN72" s="251">
        <f t="shared" si="41"/>
        <v>0</v>
      </c>
    </row>
    <row r="73" spans="1:40" s="447" customFormat="1" ht="17.25" customHeight="1" x14ac:dyDescent="0.25">
      <c r="A73" s="640"/>
      <c r="B73" s="641">
        <v>4112202</v>
      </c>
      <c r="C73" s="644" t="s">
        <v>90</v>
      </c>
      <c r="D73" s="635" t="s">
        <v>160</v>
      </c>
      <c r="E73" s="557">
        <v>0.75</v>
      </c>
      <c r="F73" s="643">
        <v>2</v>
      </c>
      <c r="G73" s="557">
        <v>1.5</v>
      </c>
      <c r="H73" s="638">
        <v>2.0000000000000002E-5</v>
      </c>
      <c r="I73" s="681">
        <v>0</v>
      </c>
      <c r="J73" s="557">
        <f t="shared" si="62"/>
        <v>0</v>
      </c>
      <c r="K73" s="645">
        <f t="shared" si="63"/>
        <v>0</v>
      </c>
      <c r="L73" s="681">
        <v>0.2</v>
      </c>
      <c r="M73" s="557">
        <f t="shared" si="64"/>
        <v>13.333333333333334</v>
      </c>
      <c r="N73" s="645">
        <f t="shared" si="65"/>
        <v>2.6666666666666668E-4</v>
      </c>
      <c r="O73" s="689">
        <v>0</v>
      </c>
      <c r="P73" s="639">
        <f t="shared" si="66"/>
        <v>0</v>
      </c>
      <c r="Q73" s="638">
        <f t="shared" si="67"/>
        <v>0</v>
      </c>
      <c r="R73" s="681">
        <v>0</v>
      </c>
      <c r="S73" s="639">
        <f t="shared" si="68"/>
        <v>0</v>
      </c>
      <c r="T73" s="638">
        <f t="shared" si="69"/>
        <v>0</v>
      </c>
      <c r="U73" s="681">
        <v>0</v>
      </c>
      <c r="V73" s="639">
        <f t="shared" si="70"/>
        <v>0</v>
      </c>
      <c r="W73" s="638">
        <f t="shared" si="71"/>
        <v>0</v>
      </c>
      <c r="X73" s="689">
        <v>0</v>
      </c>
      <c r="Y73" s="639">
        <f t="shared" si="72"/>
        <v>0</v>
      </c>
      <c r="Z73" s="638">
        <f t="shared" si="73"/>
        <v>0</v>
      </c>
      <c r="AA73" s="681">
        <v>1.3</v>
      </c>
      <c r="AB73" s="639">
        <f t="shared" si="74"/>
        <v>86.666666666666671</v>
      </c>
      <c r="AC73" s="638">
        <f t="shared" si="75"/>
        <v>1.7333333333333335E-3</v>
      </c>
      <c r="AD73" s="681">
        <v>0</v>
      </c>
      <c r="AE73" s="639">
        <f t="shared" si="76"/>
        <v>0</v>
      </c>
      <c r="AF73" s="638">
        <f t="shared" si="77"/>
        <v>0</v>
      </c>
      <c r="AG73" s="448">
        <f t="shared" si="78"/>
        <v>100</v>
      </c>
      <c r="AH73" s="449">
        <f t="shared" si="79"/>
        <v>2E-3</v>
      </c>
      <c r="AI73" s="447">
        <f t="shared" si="80"/>
        <v>73</v>
      </c>
      <c r="AM73" s="251">
        <f t="shared" si="40"/>
        <v>1.5</v>
      </c>
      <c r="AN73" s="251">
        <f t="shared" si="41"/>
        <v>0</v>
      </c>
    </row>
    <row r="74" spans="1:40" s="447" customFormat="1" ht="15.75" customHeight="1" x14ac:dyDescent="0.25">
      <c r="A74" s="640"/>
      <c r="B74" s="641">
        <v>4112202</v>
      </c>
      <c r="C74" s="644" t="s">
        <v>91</v>
      </c>
      <c r="D74" s="635" t="s">
        <v>146</v>
      </c>
      <c r="E74" s="557">
        <v>0.31</v>
      </c>
      <c r="F74" s="643">
        <v>17</v>
      </c>
      <c r="G74" s="557">
        <v>5.25</v>
      </c>
      <c r="H74" s="638">
        <v>5.0000000000000002E-5</v>
      </c>
      <c r="I74" s="681">
        <v>2.97</v>
      </c>
      <c r="J74" s="557">
        <f t="shared" si="62"/>
        <v>56.571428571428569</v>
      </c>
      <c r="K74" s="645">
        <f t="shared" si="63"/>
        <v>2.8285714285714286E-3</v>
      </c>
      <c r="L74" s="681">
        <v>0.19999999999999971</v>
      </c>
      <c r="M74" s="557">
        <f t="shared" si="64"/>
        <v>3.8095238095238035</v>
      </c>
      <c r="N74" s="645">
        <f t="shared" si="65"/>
        <v>1.9047619047619018E-4</v>
      </c>
      <c r="O74" s="689">
        <v>0</v>
      </c>
      <c r="P74" s="639">
        <f t="shared" si="66"/>
        <v>0</v>
      </c>
      <c r="Q74" s="638">
        <f t="shared" si="67"/>
        <v>0</v>
      </c>
      <c r="R74" s="681">
        <v>0.91</v>
      </c>
      <c r="S74" s="639">
        <f t="shared" si="68"/>
        <v>17.333333333333336</v>
      </c>
      <c r="T74" s="638">
        <f t="shared" si="69"/>
        <v>8.6666666666666684E-4</v>
      </c>
      <c r="U74" s="681">
        <v>0</v>
      </c>
      <c r="V74" s="639">
        <f t="shared" si="70"/>
        <v>0</v>
      </c>
      <c r="W74" s="638">
        <f t="shared" si="71"/>
        <v>0</v>
      </c>
      <c r="X74" s="689">
        <v>0</v>
      </c>
      <c r="Y74" s="639">
        <f t="shared" si="72"/>
        <v>0</v>
      </c>
      <c r="Z74" s="638">
        <f t="shared" si="73"/>
        <v>0</v>
      </c>
      <c r="AA74" s="681">
        <v>1.17</v>
      </c>
      <c r="AB74" s="639">
        <f t="shared" si="74"/>
        <v>22.285714285714285</v>
      </c>
      <c r="AC74" s="638">
        <f t="shared" si="75"/>
        <v>1.1142857142857144E-3</v>
      </c>
      <c r="AD74" s="681">
        <v>0</v>
      </c>
      <c r="AE74" s="639">
        <f t="shared" si="76"/>
        <v>0</v>
      </c>
      <c r="AF74" s="638">
        <f t="shared" si="77"/>
        <v>0</v>
      </c>
      <c r="AG74" s="448">
        <f t="shared" si="78"/>
        <v>100</v>
      </c>
      <c r="AH74" s="449">
        <f t="shared" si="79"/>
        <v>2.1714285714285715E-3</v>
      </c>
      <c r="AI74" s="447">
        <f t="shared" si="80"/>
        <v>74</v>
      </c>
      <c r="AM74" s="251">
        <f t="shared" ref="AM74:AM99" si="81">SUM(I74,L74,O74,R74,U74,X74,AA74,AD74)</f>
        <v>5.25</v>
      </c>
      <c r="AN74" s="251">
        <f t="shared" ref="AN74:AN98" si="82">AM74-G74</f>
        <v>0</v>
      </c>
    </row>
    <row r="75" spans="1:40" s="742" customFormat="1" ht="15.75" customHeight="1" x14ac:dyDescent="0.25">
      <c r="A75" s="292"/>
      <c r="B75" s="270">
        <v>4112314</v>
      </c>
      <c r="C75" s="296" t="s">
        <v>62</v>
      </c>
      <c r="D75" s="169" t="s">
        <v>199</v>
      </c>
      <c r="E75" s="272">
        <v>50</v>
      </c>
      <c r="F75" s="273" t="s">
        <v>92</v>
      </c>
      <c r="G75" s="233">
        <v>50</v>
      </c>
      <c r="H75" s="425">
        <v>5.0000000000000001E-4</v>
      </c>
      <c r="I75" s="681">
        <v>7.96</v>
      </c>
      <c r="J75" s="233">
        <f t="shared" si="62"/>
        <v>15.920000000000002</v>
      </c>
      <c r="K75" s="426">
        <f t="shared" si="63"/>
        <v>7.9600000000000018E-3</v>
      </c>
      <c r="L75" s="681">
        <v>8.4499999999999993</v>
      </c>
      <c r="M75" s="233">
        <f t="shared" si="64"/>
        <v>16.899999999999999</v>
      </c>
      <c r="N75" s="426">
        <f t="shared" si="65"/>
        <v>8.4499999999999992E-3</v>
      </c>
      <c r="O75" s="689">
        <v>8.99</v>
      </c>
      <c r="P75" s="269">
        <f t="shared" si="66"/>
        <v>17.98</v>
      </c>
      <c r="Q75" s="425">
        <f t="shared" si="67"/>
        <v>8.9899999999999997E-3</v>
      </c>
      <c r="R75" s="681">
        <v>9.9600000000000009</v>
      </c>
      <c r="S75" s="269">
        <f t="shared" si="68"/>
        <v>19.920000000000002</v>
      </c>
      <c r="T75" s="425">
        <f t="shared" si="69"/>
        <v>9.9600000000000018E-3</v>
      </c>
      <c r="U75" s="681">
        <v>9.9700000000000006</v>
      </c>
      <c r="V75" s="269">
        <f t="shared" si="70"/>
        <v>19.940000000000001</v>
      </c>
      <c r="W75" s="425">
        <f t="shared" si="71"/>
        <v>9.9700000000000014E-3</v>
      </c>
      <c r="X75" s="689">
        <v>0</v>
      </c>
      <c r="Y75" s="269">
        <f t="shared" si="72"/>
        <v>0</v>
      </c>
      <c r="Z75" s="425">
        <f t="shared" si="73"/>
        <v>0</v>
      </c>
      <c r="AA75" s="681">
        <v>2.8954000000000009</v>
      </c>
      <c r="AB75" s="269">
        <f t="shared" si="74"/>
        <v>5.7908000000000017</v>
      </c>
      <c r="AC75" s="425">
        <f t="shared" si="75"/>
        <v>2.8954000000000011E-3</v>
      </c>
      <c r="AD75" s="681">
        <v>1.7746000000000011</v>
      </c>
      <c r="AE75" s="269">
        <f t="shared" si="76"/>
        <v>3.5492000000000026</v>
      </c>
      <c r="AF75" s="425">
        <f t="shared" si="77"/>
        <v>1.7746000000000014E-3</v>
      </c>
      <c r="AG75" s="251">
        <f t="shared" si="78"/>
        <v>100.00000000000001</v>
      </c>
      <c r="AH75" s="423">
        <f t="shared" si="79"/>
        <v>4.2040000000000001E-2</v>
      </c>
      <c r="AI75" s="742">
        <f t="shared" si="80"/>
        <v>75</v>
      </c>
      <c r="AM75" s="251">
        <f t="shared" si="81"/>
        <v>50</v>
      </c>
      <c r="AN75" s="251">
        <f t="shared" si="82"/>
        <v>0</v>
      </c>
    </row>
    <row r="76" spans="1:40" s="742" customFormat="1" ht="16.5" customHeight="1" x14ac:dyDescent="0.25">
      <c r="A76" s="292"/>
      <c r="B76" s="270">
        <v>4112303</v>
      </c>
      <c r="C76" s="296" t="s">
        <v>93</v>
      </c>
      <c r="D76" s="169" t="s">
        <v>146</v>
      </c>
      <c r="E76" s="233">
        <v>1</v>
      </c>
      <c r="F76" s="273">
        <v>15</v>
      </c>
      <c r="G76" s="233">
        <v>15</v>
      </c>
      <c r="H76" s="425">
        <v>1.4999999999999999E-4</v>
      </c>
      <c r="I76" s="681">
        <v>0</v>
      </c>
      <c r="J76" s="233">
        <f t="shared" si="62"/>
        <v>0</v>
      </c>
      <c r="K76" s="426">
        <f t="shared" si="63"/>
        <v>0</v>
      </c>
      <c r="L76" s="681">
        <v>0</v>
      </c>
      <c r="M76" s="233">
        <f t="shared" si="64"/>
        <v>0</v>
      </c>
      <c r="N76" s="426">
        <f t="shared" si="65"/>
        <v>0</v>
      </c>
      <c r="O76" s="689">
        <v>3.77</v>
      </c>
      <c r="P76" s="269">
        <f t="shared" si="66"/>
        <v>25.133333333333336</v>
      </c>
      <c r="Q76" s="425">
        <f t="shared" si="67"/>
        <v>3.7700000000000003E-3</v>
      </c>
      <c r="R76" s="681">
        <v>2</v>
      </c>
      <c r="S76" s="269">
        <f t="shared" si="68"/>
        <v>13.333333333333334</v>
      </c>
      <c r="T76" s="425">
        <f t="shared" si="69"/>
        <v>2E-3</v>
      </c>
      <c r="U76" s="681">
        <v>3.96</v>
      </c>
      <c r="V76" s="269">
        <f t="shared" si="70"/>
        <v>26.400000000000002</v>
      </c>
      <c r="W76" s="425">
        <f t="shared" si="71"/>
        <v>3.96E-3</v>
      </c>
      <c r="X76" s="689">
        <v>2.99</v>
      </c>
      <c r="Y76" s="269">
        <f t="shared" si="72"/>
        <v>19.933333333333334</v>
      </c>
      <c r="Z76" s="425">
        <f t="shared" si="73"/>
        <v>2.9899999999999996E-3</v>
      </c>
      <c r="AA76" s="681">
        <v>1.3908</v>
      </c>
      <c r="AB76" s="269">
        <f t="shared" si="74"/>
        <v>9.2720000000000002</v>
      </c>
      <c r="AC76" s="425">
        <f t="shared" si="75"/>
        <v>1.3908E-3</v>
      </c>
      <c r="AD76" s="681">
        <v>0.88919999999999977</v>
      </c>
      <c r="AE76" s="269">
        <f t="shared" si="76"/>
        <v>5.9279999999999982</v>
      </c>
      <c r="AF76" s="425">
        <f t="shared" si="77"/>
        <v>8.891999999999996E-4</v>
      </c>
      <c r="AG76" s="251">
        <f t="shared" si="78"/>
        <v>100</v>
      </c>
      <c r="AH76" s="423">
        <f t="shared" si="79"/>
        <v>1.4999999999999999E-2</v>
      </c>
      <c r="AI76" s="742">
        <f t="shared" si="80"/>
        <v>76</v>
      </c>
      <c r="AM76" s="251">
        <f t="shared" si="81"/>
        <v>15</v>
      </c>
      <c r="AN76" s="251">
        <f t="shared" si="82"/>
        <v>0</v>
      </c>
    </row>
    <row r="77" spans="1:40" s="742" customFormat="1" ht="18.75" customHeight="1" x14ac:dyDescent="0.25">
      <c r="A77" s="292"/>
      <c r="B77" s="265"/>
      <c r="C77" s="295" t="s">
        <v>97</v>
      </c>
      <c r="D77" s="169"/>
      <c r="E77" s="233"/>
      <c r="F77" s="268"/>
      <c r="G77" s="233"/>
      <c r="H77" s="425"/>
      <c r="I77" s="681"/>
      <c r="J77" s="233"/>
      <c r="K77" s="426"/>
      <c r="L77" s="681"/>
      <c r="M77" s="233"/>
      <c r="N77" s="426"/>
      <c r="O77" s="689"/>
      <c r="P77" s="269"/>
      <c r="Q77" s="425"/>
      <c r="R77" s="681"/>
      <c r="S77" s="269"/>
      <c r="T77" s="425"/>
      <c r="U77" s="681"/>
      <c r="V77" s="269"/>
      <c r="W77" s="425"/>
      <c r="X77" s="689"/>
      <c r="Y77" s="269"/>
      <c r="Z77" s="425"/>
      <c r="AA77" s="681"/>
      <c r="AB77" s="269"/>
      <c r="AC77" s="425"/>
      <c r="AD77" s="681"/>
      <c r="AE77" s="269"/>
      <c r="AF77" s="425"/>
      <c r="AG77" s="251"/>
      <c r="AM77" s="251">
        <f t="shared" si="81"/>
        <v>0</v>
      </c>
      <c r="AN77" s="251">
        <f t="shared" si="82"/>
        <v>0</v>
      </c>
    </row>
    <row r="78" spans="1:40" s="742" customFormat="1" ht="16.5" customHeight="1" x14ac:dyDescent="0.25">
      <c r="A78" s="292"/>
      <c r="B78" s="270">
        <v>4141101</v>
      </c>
      <c r="C78" s="296" t="s">
        <v>98</v>
      </c>
      <c r="D78" s="169" t="s">
        <v>99</v>
      </c>
      <c r="E78" s="233">
        <v>42.55</v>
      </c>
      <c r="F78" s="276">
        <v>470</v>
      </c>
      <c r="G78" s="233">
        <v>20000</v>
      </c>
      <c r="H78" s="425">
        <v>0.20044999999999999</v>
      </c>
      <c r="I78" s="681">
        <v>0</v>
      </c>
      <c r="J78" s="233">
        <f>I78/G78*100</f>
        <v>0</v>
      </c>
      <c r="K78" s="426">
        <f>J78*$H78</f>
        <v>0</v>
      </c>
      <c r="L78" s="681">
        <v>0</v>
      </c>
      <c r="M78" s="233">
        <f>L78/G78*100</f>
        <v>0</v>
      </c>
      <c r="N78" s="426">
        <f>M78*$H78</f>
        <v>0</v>
      </c>
      <c r="O78" s="689">
        <v>4649.6499999999996</v>
      </c>
      <c r="P78" s="269">
        <f>O78/G78*100</f>
        <v>23.248249999999999</v>
      </c>
      <c r="Q78" s="425">
        <f>P78*$H78</f>
        <v>4.6601117124999991</v>
      </c>
      <c r="R78" s="681">
        <v>5794.05</v>
      </c>
      <c r="S78" s="269">
        <f>R78/G78*100</f>
        <v>28.970250000000004</v>
      </c>
      <c r="T78" s="425">
        <f>S78*$H78</f>
        <v>5.8070866125</v>
      </c>
      <c r="U78" s="681">
        <v>3879.9</v>
      </c>
      <c r="V78" s="269">
        <f>U78/G78*100</f>
        <v>19.3995</v>
      </c>
      <c r="W78" s="425">
        <f>V78*$H78</f>
        <v>3.8886297749999996</v>
      </c>
      <c r="X78" s="689">
        <v>1000</v>
      </c>
      <c r="Y78" s="269">
        <f>X78/G78*100</f>
        <v>5</v>
      </c>
      <c r="Z78" s="425">
        <f>Y78*$H78</f>
        <v>1.0022499999999999</v>
      </c>
      <c r="AA78" s="681">
        <v>2338.1999999999998</v>
      </c>
      <c r="AB78" s="269">
        <f>AA78/G78*100</f>
        <v>11.690999999999999</v>
      </c>
      <c r="AC78" s="425">
        <f>AB78*$H78</f>
        <v>2.3434609499999999</v>
      </c>
      <c r="AD78" s="681">
        <v>2338.1999999999998</v>
      </c>
      <c r="AE78" s="269">
        <f>AD78/G78*100</f>
        <v>11.690999999999999</v>
      </c>
      <c r="AF78" s="425">
        <f>AE78*$H78</f>
        <v>2.3434609499999999</v>
      </c>
      <c r="AG78" s="251">
        <f>SUM(AE78+AB78+Y78+V78+S78+P78+M78+J78)</f>
        <v>100</v>
      </c>
      <c r="AH78" s="423">
        <f>N78+Q78+T78+W78+Z78+AC78+AF78</f>
        <v>20.044999999999998</v>
      </c>
      <c r="AI78" s="742">
        <f>ROW(AH78)</f>
        <v>78</v>
      </c>
      <c r="AM78" s="251">
        <f t="shared" si="81"/>
        <v>20000</v>
      </c>
      <c r="AN78" s="251">
        <f t="shared" si="82"/>
        <v>0</v>
      </c>
    </row>
    <row r="79" spans="1:40" s="742" customFormat="1" ht="15.75" customHeight="1" x14ac:dyDescent="0.25">
      <c r="A79" s="292"/>
      <c r="B79" s="265"/>
      <c r="C79" s="295" t="s">
        <v>100</v>
      </c>
      <c r="D79" s="175"/>
      <c r="E79" s="233"/>
      <c r="F79" s="276"/>
      <c r="G79" s="233"/>
      <c r="H79" s="425"/>
      <c r="I79" s="681"/>
      <c r="J79" s="233"/>
      <c r="K79" s="425"/>
      <c r="L79" s="681"/>
      <c r="M79" s="233"/>
      <c r="N79" s="425"/>
      <c r="O79" s="689"/>
      <c r="P79" s="233"/>
      <c r="Q79" s="425"/>
      <c r="R79" s="681"/>
      <c r="S79" s="233"/>
      <c r="T79" s="425"/>
      <c r="U79" s="681"/>
      <c r="V79" s="233"/>
      <c r="W79" s="425"/>
      <c r="X79" s="689"/>
      <c r="Y79" s="233"/>
      <c r="Z79" s="425"/>
      <c r="AA79" s="681"/>
      <c r="AB79" s="233"/>
      <c r="AC79" s="425"/>
      <c r="AD79" s="681"/>
      <c r="AE79" s="269"/>
      <c r="AF79" s="425"/>
      <c r="AG79" s="251"/>
      <c r="AM79" s="251">
        <f t="shared" si="81"/>
        <v>0</v>
      </c>
      <c r="AN79" s="251">
        <f t="shared" si="82"/>
        <v>0</v>
      </c>
    </row>
    <row r="80" spans="1:40" s="742" customFormat="1" ht="15.75" customHeight="1" x14ac:dyDescent="0.25">
      <c r="A80" s="292"/>
      <c r="B80" s="293"/>
      <c r="C80" s="290" t="s">
        <v>162</v>
      </c>
      <c r="D80" s="175"/>
      <c r="E80" s="233"/>
      <c r="F80" s="276"/>
      <c r="G80" s="233"/>
      <c r="H80" s="425"/>
      <c r="I80" s="681"/>
      <c r="J80" s="233"/>
      <c r="K80" s="425"/>
      <c r="L80" s="681"/>
      <c r="M80" s="233"/>
      <c r="N80" s="425"/>
      <c r="O80" s="689"/>
      <c r="P80" s="269"/>
      <c r="Q80" s="425"/>
      <c r="R80" s="681"/>
      <c r="S80" s="269"/>
      <c r="T80" s="425"/>
      <c r="U80" s="681"/>
      <c r="V80" s="269"/>
      <c r="W80" s="425"/>
      <c r="X80" s="689"/>
      <c r="Y80" s="269"/>
      <c r="Z80" s="425"/>
      <c r="AA80" s="681"/>
      <c r="AB80" s="269"/>
      <c r="AC80" s="425"/>
      <c r="AD80" s="681"/>
      <c r="AE80" s="269"/>
      <c r="AF80" s="425"/>
      <c r="AG80" s="251"/>
      <c r="AM80" s="251">
        <f t="shared" si="81"/>
        <v>0</v>
      </c>
      <c r="AN80" s="251">
        <f t="shared" si="82"/>
        <v>0</v>
      </c>
    </row>
    <row r="81" spans="1:40" s="742" customFormat="1" ht="15.75" customHeight="1" x14ac:dyDescent="0.25">
      <c r="A81" s="292"/>
      <c r="B81" s="293">
        <v>4111306</v>
      </c>
      <c r="C81" s="299" t="s">
        <v>102</v>
      </c>
      <c r="D81" s="169" t="s">
        <v>146</v>
      </c>
      <c r="E81" s="233">
        <v>10.34</v>
      </c>
      <c r="F81" s="737">
        <v>117</v>
      </c>
      <c r="G81" s="557">
        <v>1209.54</v>
      </c>
      <c r="H81" s="425">
        <v>1.2120000000000001E-2</v>
      </c>
      <c r="I81" s="681">
        <v>0</v>
      </c>
      <c r="J81" s="233">
        <f>I81/G81*100</f>
        <v>0</v>
      </c>
      <c r="K81" s="425">
        <f>J81*$H81</f>
        <v>0</v>
      </c>
      <c r="L81" s="681">
        <v>0</v>
      </c>
      <c r="M81" s="233">
        <f>L81/G81*100</f>
        <v>0</v>
      </c>
      <c r="N81" s="425">
        <f>M81*$H81</f>
        <v>0</v>
      </c>
      <c r="O81" s="689">
        <v>0</v>
      </c>
      <c r="P81" s="269">
        <f>O81/G81*100</f>
        <v>0</v>
      </c>
      <c r="Q81" s="425">
        <f>P81*$H81</f>
        <v>0</v>
      </c>
      <c r="R81" s="681">
        <v>0</v>
      </c>
      <c r="S81" s="269"/>
      <c r="T81" s="425"/>
      <c r="U81" s="681">
        <v>116.72</v>
      </c>
      <c r="V81" s="269">
        <f>U81/G81*100</f>
        <v>9.6499495676042137</v>
      </c>
      <c r="W81" s="425">
        <f>V81*$H81</f>
        <v>0.11695738875936308</v>
      </c>
      <c r="X81" s="689">
        <v>192.22</v>
      </c>
      <c r="Y81" s="269">
        <f>X81/G81*100</f>
        <v>15.891991996957522</v>
      </c>
      <c r="Z81" s="425">
        <f>Y81*$H81</f>
        <v>0.19261094300312517</v>
      </c>
      <c r="AA81" s="681">
        <v>522.34799999999996</v>
      </c>
      <c r="AB81" s="269">
        <f>AA81/G81*100</f>
        <v>43.185673892554192</v>
      </c>
      <c r="AC81" s="425">
        <f>AB81*$H81</f>
        <v>0.52341036757775683</v>
      </c>
      <c r="AD81" s="681">
        <v>378.25200000000001</v>
      </c>
      <c r="AE81" s="269">
        <f>AD81/G81*100</f>
        <v>31.272384542884073</v>
      </c>
      <c r="AF81" s="425">
        <f>AE81*$H81</f>
        <v>0.37902130065975498</v>
      </c>
      <c r="AG81" s="251">
        <f>SUM(AE81+AB81+Y81+V81+S81+P81+M81+J81)</f>
        <v>100</v>
      </c>
      <c r="AH81" s="423">
        <f>N81+Q81+T81+W81+Z81+AC81+AF81</f>
        <v>1.212</v>
      </c>
      <c r="AI81" s="742">
        <f>ROW(AH81)</f>
        <v>81</v>
      </c>
      <c r="AM81" s="251">
        <f t="shared" si="81"/>
        <v>1209.54</v>
      </c>
      <c r="AN81" s="251">
        <f t="shared" si="82"/>
        <v>0</v>
      </c>
    </row>
    <row r="82" spans="1:40" s="742" customFormat="1" ht="15.75" customHeight="1" x14ac:dyDescent="0.25">
      <c r="A82" s="292"/>
      <c r="B82" s="293"/>
      <c r="C82" s="290" t="s">
        <v>103</v>
      </c>
      <c r="D82" s="175"/>
      <c r="E82" s="233"/>
      <c r="F82" s="276"/>
      <c r="G82" s="557"/>
      <c r="H82" s="425"/>
      <c r="I82" s="681"/>
      <c r="J82" s="233"/>
      <c r="K82" s="425"/>
      <c r="L82" s="681"/>
      <c r="M82" s="233"/>
      <c r="N82" s="425"/>
      <c r="O82" s="689"/>
      <c r="P82" s="269"/>
      <c r="Q82" s="425"/>
      <c r="R82" s="681"/>
      <c r="S82" s="269"/>
      <c r="T82" s="425"/>
      <c r="U82" s="681"/>
      <c r="V82" s="269"/>
      <c r="W82" s="425"/>
      <c r="X82" s="689"/>
      <c r="Y82" s="269"/>
      <c r="Z82" s="425"/>
      <c r="AA82" s="681"/>
      <c r="AB82" s="269"/>
      <c r="AC82" s="425"/>
      <c r="AD82" s="681"/>
      <c r="AE82" s="269"/>
      <c r="AF82" s="425"/>
      <c r="AG82" s="251"/>
      <c r="AM82" s="251">
        <f t="shared" si="81"/>
        <v>0</v>
      </c>
      <c r="AN82" s="251">
        <f t="shared" si="82"/>
        <v>0</v>
      </c>
    </row>
    <row r="83" spans="1:40" s="742" customFormat="1" ht="15.75" customHeight="1" x14ac:dyDescent="0.25">
      <c r="A83" s="292"/>
      <c r="B83" s="293">
        <v>4111307</v>
      </c>
      <c r="C83" s="299" t="s">
        <v>104</v>
      </c>
      <c r="D83" s="169" t="s">
        <v>146</v>
      </c>
      <c r="E83" s="233">
        <v>235.1</v>
      </c>
      <c r="F83" s="737">
        <v>5</v>
      </c>
      <c r="G83" s="557">
        <v>1175.5</v>
      </c>
      <c r="H83" s="425">
        <v>1.1780000000000001E-2</v>
      </c>
      <c r="I83" s="681">
        <v>0</v>
      </c>
      <c r="J83" s="233">
        <f>I83/G83*100</f>
        <v>0</v>
      </c>
      <c r="K83" s="425">
        <f>J83*$H83</f>
        <v>0</v>
      </c>
      <c r="L83" s="681">
        <v>0</v>
      </c>
      <c r="M83" s="233">
        <f>L83/G83*100</f>
        <v>0</v>
      </c>
      <c r="N83" s="425">
        <f>M83*$H83</f>
        <v>0</v>
      </c>
      <c r="O83" s="689">
        <v>0</v>
      </c>
      <c r="P83" s="269">
        <f>O83/G83*100</f>
        <v>0</v>
      </c>
      <c r="Q83" s="425">
        <f>P83*$H83</f>
        <v>0</v>
      </c>
      <c r="R83" s="681">
        <v>0</v>
      </c>
      <c r="S83" s="269">
        <f>R83/G83*100</f>
        <v>0</v>
      </c>
      <c r="T83" s="425">
        <f>S83*$H83</f>
        <v>0</v>
      </c>
      <c r="U83" s="681">
        <v>0</v>
      </c>
      <c r="V83" s="269">
        <f>U83/G83*100</f>
        <v>0</v>
      </c>
      <c r="W83" s="425">
        <f>V83*$H83</f>
        <v>0</v>
      </c>
      <c r="X83" s="689">
        <v>0</v>
      </c>
      <c r="Y83" s="269">
        <f>X83/G83*100</f>
        <v>0</v>
      </c>
      <c r="Z83" s="425">
        <f>Y83*$H83</f>
        <v>0</v>
      </c>
      <c r="AA83" s="681">
        <v>670.03499999999997</v>
      </c>
      <c r="AB83" s="269">
        <f>AA83/G83*100</f>
        <v>56.999999999999993</v>
      </c>
      <c r="AC83" s="425">
        <f>AB83*$H83</f>
        <v>0.67145999999999995</v>
      </c>
      <c r="AD83" s="681">
        <v>505.46499999999997</v>
      </c>
      <c r="AE83" s="269">
        <f>AD83/G83*100</f>
        <v>43</v>
      </c>
      <c r="AF83" s="425">
        <f>AE83*$H83</f>
        <v>0.50653999999999999</v>
      </c>
      <c r="AG83" s="251">
        <f>SUM(AE83+AB83+Y83+V83+S83+P83+M83+J83)</f>
        <v>100</v>
      </c>
      <c r="AH83" s="423">
        <f>N83+Q83+T83+W83+Z83+AC83+AF83</f>
        <v>1.1779999999999999</v>
      </c>
      <c r="AI83" s="742">
        <f>ROW(AH83)</f>
        <v>83</v>
      </c>
      <c r="AM83" s="251">
        <f t="shared" si="81"/>
        <v>1175.5</v>
      </c>
      <c r="AN83" s="251">
        <f t="shared" si="82"/>
        <v>0</v>
      </c>
    </row>
    <row r="84" spans="1:40" s="742" customFormat="1" ht="15.75" customHeight="1" x14ac:dyDescent="0.25">
      <c r="A84" s="292"/>
      <c r="B84" s="293">
        <v>4111307</v>
      </c>
      <c r="C84" s="299" t="s">
        <v>106</v>
      </c>
      <c r="D84" s="169" t="s">
        <v>146</v>
      </c>
      <c r="E84" s="233">
        <v>167.53</v>
      </c>
      <c r="F84" s="737">
        <v>111</v>
      </c>
      <c r="G84" s="557">
        <v>18595.490000000002</v>
      </c>
      <c r="H84" s="425">
        <v>0.18637999999999999</v>
      </c>
      <c r="I84" s="681">
        <v>0</v>
      </c>
      <c r="J84" s="233">
        <f>I84/G84*100</f>
        <v>0</v>
      </c>
      <c r="K84" s="425">
        <f>J84*$H84</f>
        <v>0</v>
      </c>
      <c r="L84" s="681">
        <v>0</v>
      </c>
      <c r="M84" s="233">
        <f>L84/G84*100</f>
        <v>0</v>
      </c>
      <c r="N84" s="425">
        <f>M84*$H84</f>
        <v>0</v>
      </c>
      <c r="O84" s="689">
        <v>293.14999999999998</v>
      </c>
      <c r="P84" s="269">
        <f>O84/G84*100</f>
        <v>1.5764575173872801</v>
      </c>
      <c r="Q84" s="425">
        <f>P84*$H84</f>
        <v>0.29382015209064127</v>
      </c>
      <c r="R84" s="681">
        <v>2773.9</v>
      </c>
      <c r="S84" s="269">
        <f>R84/G84*100</f>
        <v>14.917057845746468</v>
      </c>
      <c r="T84" s="425">
        <f>S84*$H84</f>
        <v>2.7802412412902267</v>
      </c>
      <c r="U84" s="681">
        <v>3076.61</v>
      </c>
      <c r="V84" s="269">
        <f>U84/G84*100</f>
        <v>16.544925678215524</v>
      </c>
      <c r="W84" s="425">
        <f>V84*$H84</f>
        <v>3.0836432479058091</v>
      </c>
      <c r="X84" s="689">
        <v>4075.22</v>
      </c>
      <c r="Y84" s="269">
        <f>X84/G84*100</f>
        <v>21.915098768572378</v>
      </c>
      <c r="Z84" s="425">
        <f>Y84*$H84</f>
        <v>4.0845361084865193</v>
      </c>
      <c r="AA84" s="681">
        <v>4439.6033000000016</v>
      </c>
      <c r="AB84" s="269">
        <f>AA84/G84*100</f>
        <v>23.874623900741529</v>
      </c>
      <c r="AC84" s="425">
        <f>AB84*$H84</f>
        <v>4.4497524026202058</v>
      </c>
      <c r="AD84" s="681">
        <v>3937.0067000000008</v>
      </c>
      <c r="AE84" s="269">
        <f>AD84/G84*100</f>
        <v>21.171836289336827</v>
      </c>
      <c r="AF84" s="425">
        <f>AE84*$H84</f>
        <v>3.9460068476065975</v>
      </c>
      <c r="AG84" s="251">
        <f>SUM(AE84+AB84+Y84+V84+S84+P84+M84+J84)</f>
        <v>100</v>
      </c>
      <c r="AH84" s="423">
        <f>N84+Q84+T84+W84+Z84+AC84+AF84</f>
        <v>18.637999999999998</v>
      </c>
      <c r="AI84" s="742">
        <f>ROW(AH84)</f>
        <v>84</v>
      </c>
      <c r="AM84" s="251">
        <f t="shared" si="81"/>
        <v>18595.490000000002</v>
      </c>
      <c r="AN84" s="251">
        <f t="shared" si="82"/>
        <v>0</v>
      </c>
    </row>
    <row r="85" spans="1:40" s="742" customFormat="1" ht="15.75" customHeight="1" x14ac:dyDescent="0.25">
      <c r="A85" s="292"/>
      <c r="B85" s="293">
        <v>4111307</v>
      </c>
      <c r="C85" s="299" t="s">
        <v>108</v>
      </c>
      <c r="D85" s="169" t="s">
        <v>202</v>
      </c>
      <c r="E85" s="233">
        <v>30.4</v>
      </c>
      <c r="F85" s="300">
        <v>335.36399999999998</v>
      </c>
      <c r="G85" s="557">
        <v>10194.129999999999</v>
      </c>
      <c r="H85" s="425">
        <v>0.10217</v>
      </c>
      <c r="I85" s="681">
        <v>0</v>
      </c>
      <c r="J85" s="233">
        <f>I85/G85*100</f>
        <v>0</v>
      </c>
      <c r="K85" s="425">
        <f>J85*$H85</f>
        <v>0</v>
      </c>
      <c r="L85" s="681">
        <v>0</v>
      </c>
      <c r="M85" s="233">
        <f>L85/G85*100</f>
        <v>0</v>
      </c>
      <c r="N85" s="425">
        <f>M85*$H85</f>
        <v>0</v>
      </c>
      <c r="O85" s="689">
        <v>349.16</v>
      </c>
      <c r="P85" s="269">
        <f>O85/G85*100</f>
        <v>3.4251083711900874</v>
      </c>
      <c r="Q85" s="425">
        <f>P85*$H85</f>
        <v>0.34994332228449121</v>
      </c>
      <c r="R85" s="681">
        <v>840.8</v>
      </c>
      <c r="S85" s="269">
        <f>R85/G85*100</f>
        <v>8.2478838311852023</v>
      </c>
      <c r="T85" s="425">
        <f>S85*$H85</f>
        <v>0.84268629103219206</v>
      </c>
      <c r="U85" s="681">
        <v>4821.5200000000004</v>
      </c>
      <c r="V85" s="269">
        <f>U85/G85*100</f>
        <v>47.297022894548149</v>
      </c>
      <c r="W85" s="425">
        <f>V85*$H85</f>
        <v>4.8323368291359845</v>
      </c>
      <c r="X85" s="689">
        <v>2673.22</v>
      </c>
      <c r="Y85" s="269">
        <f>X85/G85*100</f>
        <v>26.223130370124771</v>
      </c>
      <c r="Z85" s="425">
        <f>Y85*$H85</f>
        <v>2.6792172299156478</v>
      </c>
      <c r="AA85" s="681">
        <v>845.2807999999992</v>
      </c>
      <c r="AB85" s="269">
        <f>AA85/G85*100</f>
        <v>8.2918385384530051</v>
      </c>
      <c r="AC85" s="425">
        <f>AB85*$H85</f>
        <v>0.84717714347374351</v>
      </c>
      <c r="AD85" s="681">
        <v>664.14919999999915</v>
      </c>
      <c r="AE85" s="269">
        <f>AD85/G85*100</f>
        <v>6.5150159944987864</v>
      </c>
      <c r="AF85" s="425">
        <f>AE85*$H85</f>
        <v>0.66563918415794099</v>
      </c>
      <c r="AG85" s="251">
        <f>SUM(AE85+AB85+Y85+V85+S85+P85+M85+J85)</f>
        <v>100.00000000000001</v>
      </c>
      <c r="AH85" s="423">
        <f>N85+Q85+T85+W85+Z85+AC85+AF85</f>
        <v>10.217000000000001</v>
      </c>
      <c r="AI85" s="742">
        <f>ROW(AH85)</f>
        <v>85</v>
      </c>
      <c r="AM85" s="251">
        <f t="shared" si="81"/>
        <v>10194.129999999999</v>
      </c>
      <c r="AN85" s="251">
        <f t="shared" si="82"/>
        <v>0</v>
      </c>
    </row>
    <row r="86" spans="1:40" s="742" customFormat="1" ht="15.75" customHeight="1" x14ac:dyDescent="0.25">
      <c r="A86" s="292"/>
      <c r="B86" s="265"/>
      <c r="C86" s="290" t="s">
        <v>164</v>
      </c>
      <c r="D86" s="169"/>
      <c r="E86" s="233"/>
      <c r="F86" s="276"/>
      <c r="G86" s="557"/>
      <c r="H86" s="425"/>
      <c r="I86" s="681"/>
      <c r="J86" s="233"/>
      <c r="K86" s="425"/>
      <c r="L86" s="681"/>
      <c r="M86" s="233"/>
      <c r="N86" s="425"/>
      <c r="O86" s="689"/>
      <c r="P86" s="269"/>
      <c r="Q86" s="425"/>
      <c r="R86" s="681"/>
      <c r="S86" s="269"/>
      <c r="T86" s="425"/>
      <c r="U86" s="681"/>
      <c r="V86" s="269"/>
      <c r="W86" s="425"/>
      <c r="X86" s="689"/>
      <c r="Y86" s="269"/>
      <c r="Z86" s="425"/>
      <c r="AA86" s="681"/>
      <c r="AB86" s="269"/>
      <c r="AC86" s="425"/>
      <c r="AD86" s="681"/>
      <c r="AE86" s="269"/>
      <c r="AF86" s="425"/>
      <c r="AG86" s="251"/>
      <c r="AM86" s="251">
        <f t="shared" si="81"/>
        <v>0</v>
      </c>
      <c r="AN86" s="251">
        <f t="shared" si="82"/>
        <v>0</v>
      </c>
    </row>
    <row r="87" spans="1:40" s="742" customFormat="1" ht="15.75" customHeight="1" x14ac:dyDescent="0.25">
      <c r="A87" s="292"/>
      <c r="B87" s="270">
        <v>4111201</v>
      </c>
      <c r="C87" s="299" t="s">
        <v>110</v>
      </c>
      <c r="D87" s="301" t="s">
        <v>202</v>
      </c>
      <c r="E87" s="233">
        <v>31.18</v>
      </c>
      <c r="F87" s="302">
        <v>108.974</v>
      </c>
      <c r="G87" s="557">
        <v>3397.94</v>
      </c>
      <c r="H87" s="425">
        <v>3.406E-2</v>
      </c>
      <c r="I87" s="681">
        <v>0</v>
      </c>
      <c r="J87" s="233">
        <f>I87/G87*100</f>
        <v>0</v>
      </c>
      <c r="K87" s="425">
        <f>J87*$H87</f>
        <v>0</v>
      </c>
      <c r="L87" s="681">
        <v>0</v>
      </c>
      <c r="M87" s="233">
        <f>L87/G87*100</f>
        <v>0</v>
      </c>
      <c r="N87" s="425">
        <f>M87*$H87</f>
        <v>0</v>
      </c>
      <c r="O87" s="689">
        <v>0</v>
      </c>
      <c r="P87" s="269">
        <f>O87/G87*100</f>
        <v>0</v>
      </c>
      <c r="Q87" s="425">
        <f>P87*$H87</f>
        <v>0</v>
      </c>
      <c r="R87" s="681">
        <v>0</v>
      </c>
      <c r="S87" s="269">
        <f>R87/G87*100</f>
        <v>0</v>
      </c>
      <c r="T87" s="425">
        <f>S87*$H87</f>
        <v>0</v>
      </c>
      <c r="U87" s="681">
        <v>455.04</v>
      </c>
      <c r="V87" s="269">
        <f>U87/G87*100</f>
        <v>13.391643172039529</v>
      </c>
      <c r="W87" s="425">
        <f>V87*$H87</f>
        <v>0.45611936643966638</v>
      </c>
      <c r="X87" s="689">
        <v>726.54</v>
      </c>
      <c r="Y87" s="269">
        <f>X87/G87*100</f>
        <v>21.381778371601616</v>
      </c>
      <c r="Z87" s="425">
        <f>Y87*$H87</f>
        <v>0.72826337133675101</v>
      </c>
      <c r="AA87" s="681">
        <v>1218.998</v>
      </c>
      <c r="AB87" s="269">
        <f>AA87/G87*100</f>
        <v>35.874618150997364</v>
      </c>
      <c r="AC87" s="425">
        <f>AB87*$H87</f>
        <v>1.2218894942229701</v>
      </c>
      <c r="AD87" s="681">
        <v>997.36200000000008</v>
      </c>
      <c r="AE87" s="269">
        <f>AD87/G87*100</f>
        <v>29.351960305361484</v>
      </c>
      <c r="AF87" s="425">
        <f>AE87*$H87</f>
        <v>0.99972776800061214</v>
      </c>
      <c r="AG87" s="251">
        <f>SUM(AE87+AB87+Y87+V87+S87+P87+M87+J87)</f>
        <v>100</v>
      </c>
      <c r="AH87" s="423">
        <f>N87+Q87+T87+W87+Z87+AC87+AF87</f>
        <v>3.4059999999999993</v>
      </c>
      <c r="AI87" s="742">
        <f t="shared" ref="AI87:AI99" si="83">ROW(AH87)</f>
        <v>87</v>
      </c>
      <c r="AM87" s="251">
        <f t="shared" si="81"/>
        <v>3397.94</v>
      </c>
      <c r="AN87" s="251">
        <f t="shared" si="82"/>
        <v>0</v>
      </c>
    </row>
    <row r="88" spans="1:40" s="742" customFormat="1" ht="15.75" customHeight="1" x14ac:dyDescent="0.25">
      <c r="A88" s="292"/>
      <c r="B88" s="270">
        <v>4111201</v>
      </c>
      <c r="C88" s="299" t="s">
        <v>111</v>
      </c>
      <c r="D88" s="301" t="s">
        <v>202</v>
      </c>
      <c r="E88" s="233">
        <v>30.33</v>
      </c>
      <c r="F88" s="302">
        <v>67.11</v>
      </c>
      <c r="G88" s="557">
        <v>2035.43</v>
      </c>
      <c r="H88" s="425">
        <v>2.0400000000000001E-2</v>
      </c>
      <c r="I88" s="681">
        <v>0</v>
      </c>
      <c r="J88" s="233">
        <f>I88/G88*100</f>
        <v>0</v>
      </c>
      <c r="K88" s="425">
        <f>J88*$H88</f>
        <v>0</v>
      </c>
      <c r="L88" s="681">
        <v>0</v>
      </c>
      <c r="M88" s="233">
        <f>L88/G88*100</f>
        <v>0</v>
      </c>
      <c r="N88" s="425">
        <f>M88*$H88</f>
        <v>0</v>
      </c>
      <c r="O88" s="689">
        <v>0</v>
      </c>
      <c r="P88" s="269">
        <f>O88/G88*100</f>
        <v>0</v>
      </c>
      <c r="Q88" s="425">
        <f>P88*$H88</f>
        <v>0</v>
      </c>
      <c r="R88" s="681">
        <v>0</v>
      </c>
      <c r="S88" s="269">
        <f>R88/G88*100</f>
        <v>0</v>
      </c>
      <c r="T88" s="425">
        <f>S88*$H88</f>
        <v>0</v>
      </c>
      <c r="U88" s="681">
        <v>452.46</v>
      </c>
      <c r="V88" s="269">
        <f>U88/G88*100</f>
        <v>22.22920955277263</v>
      </c>
      <c r="W88" s="425">
        <f>V88*$H88</f>
        <v>0.45347587487656171</v>
      </c>
      <c r="X88" s="689">
        <v>253.65</v>
      </c>
      <c r="Y88" s="269">
        <f>X88/G88*100</f>
        <v>12.461740271097508</v>
      </c>
      <c r="Z88" s="425">
        <f>Y88*$H88</f>
        <v>0.25421950153038919</v>
      </c>
      <c r="AA88" s="681">
        <v>771.00560000000007</v>
      </c>
      <c r="AB88" s="269">
        <f>AA88/G88*100</f>
        <v>37.87924910215532</v>
      </c>
      <c r="AC88" s="425">
        <f>AB88*$H88</f>
        <v>0.77273668168396858</v>
      </c>
      <c r="AD88" s="681">
        <v>558.31440000000009</v>
      </c>
      <c r="AE88" s="269">
        <f>AD88/G88*100</f>
        <v>27.429801073974545</v>
      </c>
      <c r="AF88" s="425">
        <f>AE88*$H88</f>
        <v>0.55956794190908077</v>
      </c>
      <c r="AG88" s="251">
        <f>SUM(AE88+AB88+Y88+V88+S88+P88+M88+J88)</f>
        <v>100</v>
      </c>
      <c r="AH88" s="423">
        <f>N88+Q88+T88+W88+Z88+AC88+AF88</f>
        <v>2.0400000000000005</v>
      </c>
      <c r="AI88" s="742">
        <f t="shared" si="83"/>
        <v>88</v>
      </c>
      <c r="AM88" s="251">
        <f t="shared" si="81"/>
        <v>2035.4300000000003</v>
      </c>
      <c r="AN88" s="251">
        <f t="shared" si="82"/>
        <v>0</v>
      </c>
    </row>
    <row r="89" spans="1:40" s="742" customFormat="1" ht="19.5" customHeight="1" x14ac:dyDescent="0.25">
      <c r="A89" s="292"/>
      <c r="B89" s="270">
        <v>4111201</v>
      </c>
      <c r="C89" s="299" t="s">
        <v>112</v>
      </c>
      <c r="D89" s="301" t="s">
        <v>202</v>
      </c>
      <c r="E89" s="233">
        <v>28.55</v>
      </c>
      <c r="F89" s="302">
        <v>61.210000000000008</v>
      </c>
      <c r="G89" s="557">
        <v>1747.81</v>
      </c>
      <c r="H89" s="425">
        <v>1.7520000000000001E-2</v>
      </c>
      <c r="I89" s="681">
        <v>0</v>
      </c>
      <c r="J89" s="233">
        <f>I89/G89*100</f>
        <v>0</v>
      </c>
      <c r="K89" s="425">
        <f>J89*$H89</f>
        <v>0</v>
      </c>
      <c r="L89" s="681">
        <v>0</v>
      </c>
      <c r="M89" s="233">
        <f>L89/G89*100</f>
        <v>0</v>
      </c>
      <c r="N89" s="425">
        <f>M89*$H89</f>
        <v>0</v>
      </c>
      <c r="O89" s="689">
        <v>0</v>
      </c>
      <c r="P89" s="269">
        <f>O89/G89*100</f>
        <v>0</v>
      </c>
      <c r="Q89" s="425">
        <f>P89*$H89</f>
        <v>0</v>
      </c>
      <c r="R89" s="681">
        <v>0</v>
      </c>
      <c r="S89" s="269">
        <f>R89/G89*100</f>
        <v>0</v>
      </c>
      <c r="T89" s="425">
        <f>S89*$H89</f>
        <v>0</v>
      </c>
      <c r="U89" s="681">
        <v>341.85</v>
      </c>
      <c r="V89" s="269">
        <f>U89/G89*100</f>
        <v>19.558762108009454</v>
      </c>
      <c r="W89" s="425">
        <f>V89*$H89</f>
        <v>0.34266951213232566</v>
      </c>
      <c r="X89" s="689">
        <v>179.68</v>
      </c>
      <c r="Y89" s="269">
        <f>X89/G89*100</f>
        <v>10.280293624593064</v>
      </c>
      <c r="Z89" s="425">
        <f>Y89*$H89</f>
        <v>0.1801107443028705</v>
      </c>
      <c r="AA89" s="681">
        <v>674.45400000000006</v>
      </c>
      <c r="AB89" s="269">
        <f>AA89/G89*100</f>
        <v>38.588519347068626</v>
      </c>
      <c r="AC89" s="425">
        <f>AB89*$H89</f>
        <v>0.67607085896064234</v>
      </c>
      <c r="AD89" s="681">
        <v>551.82600000000002</v>
      </c>
      <c r="AE89" s="269">
        <f>AD89/G89*100</f>
        <v>31.572424920328874</v>
      </c>
      <c r="AF89" s="425">
        <f>AE89*$H89</f>
        <v>0.55314888460416189</v>
      </c>
      <c r="AG89" s="251">
        <f>SUM(AE89+AB89+Y89+V89+S89+P89+M89+J89)</f>
        <v>100.00000000000003</v>
      </c>
      <c r="AH89" s="423">
        <f>N89+Q89+T89+W89+Z89+AC89+AF89</f>
        <v>1.7520000000000004</v>
      </c>
      <c r="AI89" s="742">
        <f t="shared" si="83"/>
        <v>89</v>
      </c>
      <c r="AM89" s="251">
        <f t="shared" si="81"/>
        <v>1747.81</v>
      </c>
      <c r="AN89" s="251">
        <f t="shared" si="82"/>
        <v>0</v>
      </c>
    </row>
    <row r="90" spans="1:40" s="742" customFormat="1" ht="15.75" customHeight="1" x14ac:dyDescent="0.25">
      <c r="A90" s="292"/>
      <c r="B90" s="270">
        <v>4111201</v>
      </c>
      <c r="C90" s="299" t="s">
        <v>113</v>
      </c>
      <c r="D90" s="301" t="s">
        <v>202</v>
      </c>
      <c r="E90" s="233">
        <v>0</v>
      </c>
      <c r="F90" s="427">
        <v>261.65300000000002</v>
      </c>
      <c r="G90" s="557">
        <v>19669.71</v>
      </c>
      <c r="H90" s="425">
        <v>0.19717000000000021</v>
      </c>
      <c r="I90" s="681">
        <v>0</v>
      </c>
      <c r="J90" s="233">
        <f>I90/G90*100</f>
        <v>0</v>
      </c>
      <c r="K90" s="425">
        <f>J90*$H90</f>
        <v>0</v>
      </c>
      <c r="L90" s="681">
        <v>0</v>
      </c>
      <c r="M90" s="233">
        <f>L90/G90*100</f>
        <v>0</v>
      </c>
      <c r="N90" s="425">
        <f>M90*$H90</f>
        <v>0</v>
      </c>
      <c r="O90" s="689">
        <v>336.91</v>
      </c>
      <c r="P90" s="269">
        <f>O90/G90*100</f>
        <v>1.7128366407028881</v>
      </c>
      <c r="Q90" s="425">
        <f>P90*$H90</f>
        <v>0.33772000044738881</v>
      </c>
      <c r="R90" s="681">
        <v>3910</v>
      </c>
      <c r="S90" s="269">
        <f>R90/G90*100</f>
        <v>19.878279852626196</v>
      </c>
      <c r="T90" s="425">
        <f>S90*$H90</f>
        <v>3.9194004385423113</v>
      </c>
      <c r="U90" s="681">
        <v>1880.15</v>
      </c>
      <c r="V90" s="269">
        <f>U90/G90*100</f>
        <v>9.5586055920499096</v>
      </c>
      <c r="W90" s="425">
        <f>V90*$H90</f>
        <v>1.8846702645844826</v>
      </c>
      <c r="X90" s="689">
        <v>2923.61</v>
      </c>
      <c r="Y90" s="269">
        <f>X90/G90*100</f>
        <v>14.863513493589892</v>
      </c>
      <c r="Z90" s="425">
        <f>Y90*$H90</f>
        <v>2.9306389555311219</v>
      </c>
      <c r="AA90" s="681">
        <v>6159.0431999999992</v>
      </c>
      <c r="AB90" s="269">
        <f>AA90/G90*100</f>
        <v>31.312323364198047</v>
      </c>
      <c r="AC90" s="425">
        <f>AB90*$H90</f>
        <v>6.1738507977189352</v>
      </c>
      <c r="AD90" s="681">
        <v>4459.996799999999</v>
      </c>
      <c r="AE90" s="269">
        <f>AD90/G90*100</f>
        <v>22.674441056833068</v>
      </c>
      <c r="AF90" s="425">
        <f>AE90*$H90</f>
        <v>4.4707195431757807</v>
      </c>
      <c r="AG90" s="251">
        <f>SUM(AE90+AB90+Y90+V90+S90+P90+M90+J90)</f>
        <v>100</v>
      </c>
      <c r="AH90" s="423">
        <f>N90+Q90+T90+W90+Z90+AC90+AF90</f>
        <v>19.71700000000002</v>
      </c>
      <c r="AI90" s="742">
        <f t="shared" si="83"/>
        <v>90</v>
      </c>
      <c r="AM90" s="251">
        <f t="shared" si="81"/>
        <v>19669.71</v>
      </c>
      <c r="AN90" s="251">
        <f t="shared" si="82"/>
        <v>0</v>
      </c>
    </row>
    <row r="91" spans="1:40" s="742" customFormat="1" ht="15.75" customHeight="1" x14ac:dyDescent="0.25">
      <c r="A91" s="292"/>
      <c r="B91" s="270">
        <v>4111201</v>
      </c>
      <c r="C91" s="299" t="s">
        <v>114</v>
      </c>
      <c r="D91" s="169" t="s">
        <v>146</v>
      </c>
      <c r="E91" s="233">
        <v>22.97</v>
      </c>
      <c r="F91" s="737">
        <v>7</v>
      </c>
      <c r="G91" s="557">
        <v>160.79</v>
      </c>
      <c r="H91" s="425">
        <v>1.6100000000000001E-3</v>
      </c>
      <c r="I91" s="681">
        <v>0</v>
      </c>
      <c r="J91" s="233">
        <f>I91/G91*100</f>
        <v>0</v>
      </c>
      <c r="K91" s="425">
        <f>J91*$H91</f>
        <v>0</v>
      </c>
      <c r="L91" s="681">
        <v>0</v>
      </c>
      <c r="M91" s="233">
        <f>L91/G91*100</f>
        <v>0</v>
      </c>
      <c r="N91" s="425">
        <f>M91*$H91</f>
        <v>0</v>
      </c>
      <c r="O91" s="689">
        <v>0</v>
      </c>
      <c r="P91" s="269">
        <f>O91/G91*100</f>
        <v>0</v>
      </c>
      <c r="Q91" s="425">
        <f>P91*$H91</f>
        <v>0</v>
      </c>
      <c r="R91" s="681">
        <v>0</v>
      </c>
      <c r="S91" s="269"/>
      <c r="T91" s="425"/>
      <c r="U91" s="681">
        <v>73.260000000000005</v>
      </c>
      <c r="V91" s="269">
        <f>U91/G91*100</f>
        <v>45.56253498351888</v>
      </c>
      <c r="W91" s="425">
        <f>V91*$H91</f>
        <v>7.3355681323465399E-2</v>
      </c>
      <c r="X91" s="689">
        <v>0</v>
      </c>
      <c r="Y91" s="269">
        <f>X91/G91*100</f>
        <v>0</v>
      </c>
      <c r="Z91" s="425">
        <f>Y91*$H91</f>
        <v>0</v>
      </c>
      <c r="AA91" s="681">
        <v>48.141499999999994</v>
      </c>
      <c r="AB91" s="269">
        <f>AA91/G91*100</f>
        <v>29.940605759064614</v>
      </c>
      <c r="AC91" s="425">
        <f>AB91*$H91</f>
        <v>4.8204375272094029E-2</v>
      </c>
      <c r="AD91" s="681">
        <v>39.388499999999993</v>
      </c>
      <c r="AE91" s="269">
        <f>AD91/G91*100</f>
        <v>24.496859257416503</v>
      </c>
      <c r="AF91" s="425">
        <f>AE91*$H91</f>
        <v>3.9439943404440569E-2</v>
      </c>
      <c r="AG91" s="251">
        <f>SUM(AE91+AB91+Y91+V91+S91+P91+M91+J91)</f>
        <v>100</v>
      </c>
      <c r="AH91" s="423">
        <f>N91+Q91+T91+W91+Z91+AC91+AF91</f>
        <v>0.161</v>
      </c>
      <c r="AI91" s="742">
        <f t="shared" si="83"/>
        <v>91</v>
      </c>
      <c r="AM91" s="251">
        <f t="shared" si="81"/>
        <v>160.79</v>
      </c>
      <c r="AN91" s="251">
        <f t="shared" si="82"/>
        <v>0</v>
      </c>
    </row>
    <row r="92" spans="1:40" s="742" customFormat="1" ht="15.75" customHeight="1" x14ac:dyDescent="0.25">
      <c r="A92" s="292"/>
      <c r="B92" s="270">
        <v>4111201</v>
      </c>
      <c r="C92" s="299" t="s">
        <v>115</v>
      </c>
      <c r="D92" s="169" t="s">
        <v>146</v>
      </c>
      <c r="E92" s="233">
        <v>45</v>
      </c>
      <c r="F92" s="737">
        <v>5</v>
      </c>
      <c r="G92" s="557">
        <v>225</v>
      </c>
      <c r="H92" s="425">
        <v>2.2599999999999999E-3</v>
      </c>
      <c r="I92" s="681">
        <v>0</v>
      </c>
      <c r="J92" s="233"/>
      <c r="K92" s="425"/>
      <c r="L92" s="681">
        <v>0</v>
      </c>
      <c r="M92" s="233"/>
      <c r="N92" s="425"/>
      <c r="O92" s="689">
        <v>0</v>
      </c>
      <c r="P92" s="269"/>
      <c r="Q92" s="425"/>
      <c r="R92" s="681">
        <v>0</v>
      </c>
      <c r="S92" s="269"/>
      <c r="T92" s="425"/>
      <c r="U92" s="681">
        <v>0</v>
      </c>
      <c r="V92" s="269"/>
      <c r="W92" s="425"/>
      <c r="X92" s="689">
        <v>0</v>
      </c>
      <c r="Y92" s="269"/>
      <c r="Z92" s="425"/>
      <c r="AA92" s="681">
        <v>123.75</v>
      </c>
      <c r="AB92" s="269"/>
      <c r="AC92" s="425"/>
      <c r="AD92" s="681">
        <v>101.25</v>
      </c>
      <c r="AE92" s="269"/>
      <c r="AF92" s="425"/>
      <c r="AG92" s="251"/>
      <c r="AH92" s="423"/>
      <c r="AI92" s="742">
        <f t="shared" si="83"/>
        <v>92</v>
      </c>
      <c r="AM92" s="251">
        <f t="shared" si="81"/>
        <v>225</v>
      </c>
      <c r="AN92" s="251">
        <f t="shared" si="82"/>
        <v>0</v>
      </c>
    </row>
    <row r="93" spans="1:40" s="742" customFormat="1" ht="15.75" customHeight="1" x14ac:dyDescent="0.25">
      <c r="A93" s="292"/>
      <c r="B93" s="270">
        <v>4111201</v>
      </c>
      <c r="C93" s="299" t="s">
        <v>116</v>
      </c>
      <c r="D93" s="169" t="s">
        <v>146</v>
      </c>
      <c r="E93" s="233">
        <v>35</v>
      </c>
      <c r="F93" s="737">
        <v>30</v>
      </c>
      <c r="G93" s="557">
        <v>1050</v>
      </c>
      <c r="H93" s="425">
        <v>1.052E-2</v>
      </c>
      <c r="I93" s="681">
        <v>0</v>
      </c>
      <c r="J93" s="233">
        <f>I93/G93*100</f>
        <v>0</v>
      </c>
      <c r="K93" s="425">
        <f>J93*$H93</f>
        <v>0</v>
      </c>
      <c r="L93" s="681">
        <v>0</v>
      </c>
      <c r="M93" s="233">
        <f>L93/G93*100</f>
        <v>0</v>
      </c>
      <c r="N93" s="425">
        <f>M93*$H93</f>
        <v>0</v>
      </c>
      <c r="O93" s="689">
        <v>0</v>
      </c>
      <c r="P93" s="269">
        <f>O93/G93*100</f>
        <v>0</v>
      </c>
      <c r="Q93" s="425">
        <f>P93*$H93</f>
        <v>0</v>
      </c>
      <c r="R93" s="681">
        <v>0</v>
      </c>
      <c r="S93" s="269">
        <f>R93/G93*100</f>
        <v>0</v>
      </c>
      <c r="T93" s="425">
        <f>S93*$H93</f>
        <v>0</v>
      </c>
      <c r="U93" s="681">
        <v>42.09</v>
      </c>
      <c r="V93" s="269">
        <f>U93/G93*100</f>
        <v>4.0085714285714289</v>
      </c>
      <c r="W93" s="425">
        <f>V93*$H93</f>
        <v>4.2170171428571435E-2</v>
      </c>
      <c r="X93" s="689">
        <v>93.33</v>
      </c>
      <c r="Y93" s="269">
        <f>X93/G93*100</f>
        <v>8.8885714285714297</v>
      </c>
      <c r="Z93" s="425">
        <f>Y93*$H93</f>
        <v>9.3507771428571446E-2</v>
      </c>
      <c r="AA93" s="681">
        <v>521.31059999999991</v>
      </c>
      <c r="AB93" s="269">
        <f>AA93/G93*100</f>
        <v>49.64862857142856</v>
      </c>
      <c r="AC93" s="425">
        <f>AB93*$H93</f>
        <v>0.52230357257142845</v>
      </c>
      <c r="AD93" s="681">
        <v>393.26940000000002</v>
      </c>
      <c r="AE93" s="269">
        <f>AD93/G93*100</f>
        <v>37.454228571428573</v>
      </c>
      <c r="AF93" s="425">
        <f>AE93*$H93</f>
        <v>0.39401848457142857</v>
      </c>
      <c r="AG93" s="251">
        <f>SUM(AE93+AB93+Y93+V93+S93+P93+M93+J93)</f>
        <v>99.999999999999986</v>
      </c>
      <c r="AH93" s="423">
        <f>N93+Q93+T93+W93+Z93+AC93+AF93</f>
        <v>1.0519999999999998</v>
      </c>
      <c r="AI93" s="742">
        <f t="shared" si="83"/>
        <v>93</v>
      </c>
      <c r="AM93" s="251">
        <f t="shared" si="81"/>
        <v>1050</v>
      </c>
      <c r="AN93" s="251">
        <f t="shared" si="82"/>
        <v>0</v>
      </c>
    </row>
    <row r="94" spans="1:40" s="742" customFormat="1" ht="15.75" customHeight="1" x14ac:dyDescent="0.25">
      <c r="A94" s="292"/>
      <c r="B94" s="270">
        <v>4111201</v>
      </c>
      <c r="C94" s="299" t="s">
        <v>117</v>
      </c>
      <c r="D94" s="169" t="s">
        <v>199</v>
      </c>
      <c r="E94" s="233">
        <v>0</v>
      </c>
      <c r="F94" s="276">
        <v>1</v>
      </c>
      <c r="G94" s="557">
        <v>100</v>
      </c>
      <c r="H94" s="425">
        <v>1E-3</v>
      </c>
      <c r="I94" s="681">
        <v>0</v>
      </c>
      <c r="J94" s="233">
        <f>I94/G94*100</f>
        <v>0</v>
      </c>
      <c r="K94" s="425">
        <f>J94*$H94</f>
        <v>0</v>
      </c>
      <c r="L94" s="681">
        <v>0</v>
      </c>
      <c r="M94" s="233">
        <f>L94/G94*100</f>
        <v>0</v>
      </c>
      <c r="N94" s="425">
        <f>M94*$H94</f>
        <v>0</v>
      </c>
      <c r="O94" s="689">
        <v>0</v>
      </c>
      <c r="P94" s="269">
        <f>O94/G94*100</f>
        <v>0</v>
      </c>
      <c r="Q94" s="425">
        <f>P94*$H94</f>
        <v>0</v>
      </c>
      <c r="R94" s="681">
        <v>0</v>
      </c>
      <c r="S94" s="269"/>
      <c r="T94" s="425"/>
      <c r="U94" s="681">
        <v>0</v>
      </c>
      <c r="V94" s="269">
        <f>U94/G94*100</f>
        <v>0</v>
      </c>
      <c r="W94" s="425">
        <f>V94*$H94</f>
        <v>0</v>
      </c>
      <c r="X94" s="689">
        <v>0</v>
      </c>
      <c r="Y94" s="269">
        <f>X94/G94*100</f>
        <v>0</v>
      </c>
      <c r="Z94" s="425">
        <f>Y94*$H94</f>
        <v>0</v>
      </c>
      <c r="AA94" s="681">
        <v>55.000000000000007</v>
      </c>
      <c r="AB94" s="269">
        <f>AA94/G94*100</f>
        <v>55.000000000000007</v>
      </c>
      <c r="AC94" s="425">
        <f>AB94*$H94</f>
        <v>5.5000000000000007E-2</v>
      </c>
      <c r="AD94" s="681">
        <v>45</v>
      </c>
      <c r="AE94" s="269">
        <f>AD94/G94*100</f>
        <v>45</v>
      </c>
      <c r="AF94" s="425">
        <f>AE94*$H94</f>
        <v>4.4999999999999998E-2</v>
      </c>
      <c r="AG94" s="251">
        <f>SUM(AE94+AB94+Y94+V94+S94+P94+M94+J94)</f>
        <v>100</v>
      </c>
      <c r="AH94" s="423">
        <f>N94+Q94+T94+W94+Z94+AC94+AF94</f>
        <v>0.1</v>
      </c>
      <c r="AI94" s="742">
        <f t="shared" si="83"/>
        <v>94</v>
      </c>
      <c r="AM94" s="251">
        <f t="shared" si="81"/>
        <v>100</v>
      </c>
      <c r="AN94" s="251">
        <f t="shared" si="82"/>
        <v>0</v>
      </c>
    </row>
    <row r="95" spans="1:40" s="287" customFormat="1" ht="17.25" customHeight="1" x14ac:dyDescent="0.25">
      <c r="A95" s="260"/>
      <c r="B95" s="286"/>
      <c r="C95" s="303" t="s">
        <v>203</v>
      </c>
      <c r="D95" s="263"/>
      <c r="E95" s="304"/>
      <c r="F95" s="286"/>
      <c r="G95" s="428">
        <f>SUM(G58:G94)</f>
        <v>80613.559999999983</v>
      </c>
      <c r="H95" s="428">
        <f>SUM(H58:H94)</f>
        <v>0.8079900000000001</v>
      </c>
      <c r="I95" s="683">
        <f>SUM(I58:I94)</f>
        <v>375.20400000000006</v>
      </c>
      <c r="J95" s="233"/>
      <c r="K95" s="305">
        <f>SUM(K58:K94)</f>
        <v>0.37594741658808128</v>
      </c>
      <c r="L95" s="683">
        <f>SUM(L58:L94)</f>
        <v>189.18999999999997</v>
      </c>
      <c r="M95" s="233"/>
      <c r="N95" s="305">
        <f>SUM(N58:N94)</f>
        <v>0.18974990869119129</v>
      </c>
      <c r="O95" s="690">
        <f>SUM(O58:O94)</f>
        <v>5714.8159999999989</v>
      </c>
      <c r="P95" s="305">
        <f>SUM(P58:P94)</f>
        <v>264.05583754857344</v>
      </c>
      <c r="Q95" s="305">
        <f>SUM(Q58:Q94)</f>
        <v>5.7279762009115478</v>
      </c>
      <c r="R95" s="683">
        <f>SUM(R58:R94)</f>
        <v>13502.73</v>
      </c>
      <c r="S95" s="233"/>
      <c r="T95" s="305">
        <f>SUM(T58:T94)</f>
        <v>13.53378284432128</v>
      </c>
      <c r="U95" s="683">
        <f>SUM(U58:U94)</f>
        <v>15155.130000000001</v>
      </c>
      <c r="V95" s="233"/>
      <c r="W95" s="305">
        <f>SUM(W58:W94)</f>
        <v>15.189558111586228</v>
      </c>
      <c r="X95" s="690">
        <f>SUM(X58:X94)</f>
        <v>12125.46</v>
      </c>
      <c r="Y95" s="269"/>
      <c r="Z95" s="305">
        <f>SUM(Z58:Z94)</f>
        <v>12.153344625534997</v>
      </c>
      <c r="AA95" s="683">
        <f>SUM(AA58:AA94)</f>
        <v>18578.886200000001</v>
      </c>
      <c r="AB95" s="269"/>
      <c r="AC95" s="305">
        <f>SUM(AC58:AC94)</f>
        <v>18.497686244276895</v>
      </c>
      <c r="AD95" s="683">
        <f>SUM(AD58:AD94)</f>
        <v>14972.143799999996</v>
      </c>
      <c r="AE95" s="269"/>
      <c r="AF95" s="305">
        <f>SUM(AF58:AF94)</f>
        <v>14.904954648089799</v>
      </c>
      <c r="AG95" s="251"/>
      <c r="AI95" s="742">
        <f t="shared" si="83"/>
        <v>95</v>
      </c>
      <c r="AM95" s="251">
        <f t="shared" si="81"/>
        <v>80613.56</v>
      </c>
      <c r="AN95" s="251">
        <f t="shared" si="82"/>
        <v>0</v>
      </c>
    </row>
    <row r="96" spans="1:40" s="287" customFormat="1" ht="17.25" customHeight="1" x14ac:dyDescent="0.25">
      <c r="A96" s="260"/>
      <c r="B96" s="616"/>
      <c r="C96" s="306" t="s">
        <v>120</v>
      </c>
      <c r="D96" s="263"/>
      <c r="E96" s="304"/>
      <c r="F96" s="286"/>
      <c r="G96" s="305">
        <f>G95+G55</f>
        <v>99714.489999999991</v>
      </c>
      <c r="H96" s="428">
        <f>+H55+H95</f>
        <v>0.99940000000000007</v>
      </c>
      <c r="I96" s="683">
        <f>SUM(I55+I95)</f>
        <v>1456.2940000000003</v>
      </c>
      <c r="J96" s="305"/>
      <c r="K96" s="305">
        <f>SUM(K55+K95)</f>
        <v>1.4594476774013136</v>
      </c>
      <c r="L96" s="683">
        <f>SUM(L55+L95)</f>
        <v>2682.9269999999997</v>
      </c>
      <c r="M96" s="305"/>
      <c r="N96" s="305">
        <f>SUM(N55+N95)</f>
        <v>2.6889684279617483</v>
      </c>
      <c r="O96" s="690">
        <f>+O55+O95</f>
        <v>7942.6859999999988</v>
      </c>
      <c r="P96" s="305">
        <f>SUM(P55+P95)</f>
        <v>264.05583754857344</v>
      </c>
      <c r="Q96" s="305">
        <f>+Q55+Q95</f>
        <v>7.9606588276841883</v>
      </c>
      <c r="R96" s="683">
        <f>SUM(R55+R95)</f>
        <v>15867.59</v>
      </c>
      <c r="S96" s="307"/>
      <c r="T96" s="305">
        <f>+T55+T95</f>
        <v>15.903619942614158</v>
      </c>
      <c r="U96" s="683">
        <f>+U55+U95</f>
        <v>17642.419999999998</v>
      </c>
      <c r="V96" s="307"/>
      <c r="W96" s="305">
        <f>+W55+W95</f>
        <v>17.682123464594724</v>
      </c>
      <c r="X96" s="690">
        <f>+X55+X95</f>
        <v>13726.97</v>
      </c>
      <c r="Y96" s="269"/>
      <c r="Z96" s="305">
        <f>+Z55+Z95</f>
        <v>13.758146715733373</v>
      </c>
      <c r="AA96" s="683">
        <f>+AA55+AA95</f>
        <v>22741.864740000001</v>
      </c>
      <c r="AB96" s="269"/>
      <c r="AC96" s="305">
        <f>+AC55+AC95</f>
        <v>22.668981662575685</v>
      </c>
      <c r="AD96" s="683">
        <f>+AD55+AD95</f>
        <v>17653.738259999995</v>
      </c>
      <c r="AE96" s="269"/>
      <c r="AF96" s="305">
        <f>+AF55+AF95</f>
        <v>17.592053281434829</v>
      </c>
      <c r="AG96" s="251"/>
      <c r="AI96" s="742">
        <f t="shared" si="83"/>
        <v>96</v>
      </c>
      <c r="AM96" s="251">
        <f t="shared" si="81"/>
        <v>99714.49</v>
      </c>
      <c r="AN96" s="251">
        <f t="shared" si="82"/>
        <v>0</v>
      </c>
    </row>
    <row r="97" spans="1:40" s="742" customFormat="1" ht="18" customHeight="1" x14ac:dyDescent="0.25">
      <c r="A97" s="632"/>
      <c r="B97" s="633">
        <v>0</v>
      </c>
      <c r="C97" s="634" t="s">
        <v>121</v>
      </c>
      <c r="D97" s="635" t="s">
        <v>199</v>
      </c>
      <c r="E97" s="636">
        <v>0</v>
      </c>
      <c r="F97" s="637" t="s">
        <v>61</v>
      </c>
      <c r="G97" s="557">
        <v>49.51</v>
      </c>
      <c r="H97" s="638">
        <v>5.0000000000000001E-4</v>
      </c>
      <c r="I97" s="681">
        <v>0</v>
      </c>
      <c r="J97" s="557">
        <f>I97/G97*100</f>
        <v>0</v>
      </c>
      <c r="K97" s="638">
        <f>J97*$H97</f>
        <v>0</v>
      </c>
      <c r="L97" s="681">
        <v>0</v>
      </c>
      <c r="M97" s="557">
        <f>L97/G97*100</f>
        <v>0</v>
      </c>
      <c r="N97" s="638">
        <f>M97*$H97</f>
        <v>0</v>
      </c>
      <c r="O97" s="689">
        <v>0</v>
      </c>
      <c r="P97" s="639">
        <v>0</v>
      </c>
      <c r="Q97" s="638">
        <f>P97*$H97</f>
        <v>0</v>
      </c>
      <c r="R97" s="681">
        <v>0</v>
      </c>
      <c r="S97" s="639"/>
      <c r="T97" s="638"/>
      <c r="U97" s="681">
        <v>0</v>
      </c>
      <c r="V97" s="639">
        <f>U97/G97*100</f>
        <v>0</v>
      </c>
      <c r="W97" s="638">
        <f>V97*$H97</f>
        <v>0</v>
      </c>
      <c r="X97" s="689">
        <v>0</v>
      </c>
      <c r="Y97" s="639">
        <f>X97/G97*100</f>
        <v>0</v>
      </c>
      <c r="Z97" s="638">
        <f>Y97*$H97</f>
        <v>0</v>
      </c>
      <c r="AA97" s="681">
        <v>26.240300000000001</v>
      </c>
      <c r="AB97" s="639">
        <f>AA97/G97*100</f>
        <v>53</v>
      </c>
      <c r="AC97" s="638">
        <f>AB97*$H97</f>
        <v>2.6499999999999999E-2</v>
      </c>
      <c r="AD97" s="681">
        <v>23.2697</v>
      </c>
      <c r="AE97" s="639">
        <f>AD97/G97*100</f>
        <v>47</v>
      </c>
      <c r="AF97" s="638">
        <f>AE97*$H97</f>
        <v>2.35E-2</v>
      </c>
      <c r="AG97" s="251">
        <f>SUM(AE97+AB97+Y97+V97+S97+P97+M97+J97)</f>
        <v>100</v>
      </c>
      <c r="AH97" s="423">
        <f>N97+Q97+T97+W97+Z97+AC97+AF97</f>
        <v>0.05</v>
      </c>
      <c r="AI97" s="742">
        <f t="shared" si="83"/>
        <v>97</v>
      </c>
      <c r="AM97" s="646">
        <f t="shared" si="81"/>
        <v>49.510000000000005</v>
      </c>
      <c r="AN97" s="646">
        <f t="shared" si="82"/>
        <v>0</v>
      </c>
    </row>
    <row r="98" spans="1:40" s="742" customFormat="1" ht="19.5" customHeight="1" x14ac:dyDescent="0.25">
      <c r="A98" s="632"/>
      <c r="B98" s="633">
        <v>0</v>
      </c>
      <c r="C98" s="634" t="s">
        <v>123</v>
      </c>
      <c r="D98" s="635" t="s">
        <v>199</v>
      </c>
      <c r="E98" s="636">
        <v>0</v>
      </c>
      <c r="F98" s="637" t="s">
        <v>61</v>
      </c>
      <c r="G98" s="557">
        <v>10</v>
      </c>
      <c r="H98" s="638">
        <v>1E-4</v>
      </c>
      <c r="I98" s="681">
        <v>0</v>
      </c>
      <c r="J98" s="557">
        <f>I98/G98*100</f>
        <v>0</v>
      </c>
      <c r="K98" s="638">
        <f>J98*$H98</f>
        <v>0</v>
      </c>
      <c r="L98" s="681">
        <v>0</v>
      </c>
      <c r="M98" s="557">
        <f>L98/G98*100</f>
        <v>0</v>
      </c>
      <c r="N98" s="638">
        <f>M98*$H98</f>
        <v>0</v>
      </c>
      <c r="O98" s="689">
        <v>0</v>
      </c>
      <c r="P98" s="639">
        <v>0</v>
      </c>
      <c r="Q98" s="638">
        <f>P98*$H98</f>
        <v>0</v>
      </c>
      <c r="R98" s="681">
        <v>0</v>
      </c>
      <c r="S98" s="639"/>
      <c r="T98" s="638"/>
      <c r="U98" s="681">
        <v>0</v>
      </c>
      <c r="V98" s="639">
        <f>U98/G98*100</f>
        <v>0</v>
      </c>
      <c r="W98" s="638">
        <f>V98*$H98</f>
        <v>0</v>
      </c>
      <c r="X98" s="689">
        <v>0</v>
      </c>
      <c r="Y98" s="639">
        <f>X98/G98*100</f>
        <v>0</v>
      </c>
      <c r="Z98" s="638">
        <f>Y98*$H98</f>
        <v>0</v>
      </c>
      <c r="AA98" s="681">
        <v>5.4</v>
      </c>
      <c r="AB98" s="639">
        <f>AA98/G98*100</f>
        <v>54</v>
      </c>
      <c r="AC98" s="638">
        <f>AB98*$H98</f>
        <v>5.4000000000000003E-3</v>
      </c>
      <c r="AD98" s="681">
        <v>4.6000000000000014</v>
      </c>
      <c r="AE98" s="639">
        <f>AD98/G98*100</f>
        <v>46.000000000000014</v>
      </c>
      <c r="AF98" s="638">
        <f>AE98*$H98</f>
        <v>4.6000000000000017E-3</v>
      </c>
      <c r="AG98" s="251">
        <f>SUM(AE98+AB98+Y98+V98+S98+P98+M98+J98)</f>
        <v>100.00000000000001</v>
      </c>
      <c r="AH98" s="423">
        <f>N98+Q98+T98+W98+Z98+AC98+AF98</f>
        <v>1.0000000000000002E-2</v>
      </c>
      <c r="AI98" s="742">
        <f t="shared" si="83"/>
        <v>98</v>
      </c>
      <c r="AM98" s="646">
        <f t="shared" si="81"/>
        <v>10.000000000000002</v>
      </c>
      <c r="AN98" s="646">
        <f t="shared" si="82"/>
        <v>0</v>
      </c>
    </row>
    <row r="99" spans="1:40" s="742" customFormat="1" ht="17.25" customHeight="1" x14ac:dyDescent="0.25">
      <c r="A99" s="308"/>
      <c r="B99" s="616"/>
      <c r="C99" s="303" t="s">
        <v>166</v>
      </c>
      <c r="D99" s="169"/>
      <c r="E99" s="186"/>
      <c r="F99" s="282"/>
      <c r="G99" s="305">
        <f>G96+G97+G98</f>
        <v>99773.999999999985</v>
      </c>
      <c r="H99" s="428">
        <f>SUM(H96:H98)</f>
        <v>1</v>
      </c>
      <c r="I99" s="683">
        <f>SUM(I96:I98)</f>
        <v>1456.2940000000003</v>
      </c>
      <c r="J99" s="233"/>
      <c r="K99" s="305">
        <f>SUM(K96:K98)</f>
        <v>1.4594476774013136</v>
      </c>
      <c r="L99" s="683">
        <f>SUM(L96:L98)</f>
        <v>2682.9269999999997</v>
      </c>
      <c r="M99" s="233"/>
      <c r="N99" s="305">
        <f>SUM(N96:N98)</f>
        <v>2.6889684279617483</v>
      </c>
      <c r="O99" s="690">
        <f>SUM(O96:O98)</f>
        <v>7942.6859999999988</v>
      </c>
      <c r="P99" s="269"/>
      <c r="Q99" s="305">
        <f>SUM(Q96:Q98)</f>
        <v>7.9606588276841883</v>
      </c>
      <c r="R99" s="683">
        <f>SUM(R96:R98)</f>
        <v>15867.59</v>
      </c>
      <c r="S99" s="269"/>
      <c r="T99" s="305">
        <f>SUM(T96:T98)</f>
        <v>15.903619942614158</v>
      </c>
      <c r="U99" s="683">
        <f>SUM(U96:U98)</f>
        <v>17642.419999999998</v>
      </c>
      <c r="V99" s="269"/>
      <c r="W99" s="305">
        <f>SUM(W96:W98)</f>
        <v>17.682123464594724</v>
      </c>
      <c r="X99" s="690">
        <f>SUM(X96:X98)</f>
        <v>13726.97</v>
      </c>
      <c r="Y99" s="269"/>
      <c r="Z99" s="305">
        <f>SUM(Z96:Z98)</f>
        <v>13.758146715733373</v>
      </c>
      <c r="AA99" s="683">
        <f>SUM(AA96:AA98)</f>
        <v>22773.505040000004</v>
      </c>
      <c r="AB99" s="269"/>
      <c r="AC99" s="305">
        <f>SUM(AC96:AC98)</f>
        <v>22.700881662575686</v>
      </c>
      <c r="AD99" s="683">
        <f>SUM(AD96:AD98)</f>
        <v>17681.607959999994</v>
      </c>
      <c r="AE99" s="269"/>
      <c r="AF99" s="305">
        <f>SUM(AF96:AF98)</f>
        <v>17.620153281434828</v>
      </c>
      <c r="AH99" s="251" t="s">
        <v>72</v>
      </c>
      <c r="AI99" s="742">
        <f t="shared" si="83"/>
        <v>99</v>
      </c>
      <c r="AK99" s="251">
        <f>AF99+AC99+Z99+W99+T99+Q99+N99</f>
        <v>98.314552322598701</v>
      </c>
      <c r="AM99" s="251">
        <f t="shared" si="81"/>
        <v>99774</v>
      </c>
      <c r="AN99" s="251"/>
    </row>
    <row r="101" spans="1:40" ht="1.5" hidden="1" customHeight="1" x14ac:dyDescent="0.25">
      <c r="A101" s="884" t="s">
        <v>204</v>
      </c>
      <c r="B101" s="797"/>
      <c r="C101" s="885" t="s">
        <v>205</v>
      </c>
      <c r="D101" s="813"/>
      <c r="E101" s="813"/>
    </row>
    <row r="102" spans="1:40" ht="12.75" hidden="1" customHeight="1" x14ac:dyDescent="0.25">
      <c r="A102" s="797"/>
      <c r="B102" s="797"/>
      <c r="C102" s="884" t="s">
        <v>206</v>
      </c>
      <c r="D102" s="798"/>
      <c r="E102" s="797"/>
    </row>
    <row r="103" spans="1:40" ht="12.75" hidden="1" customHeight="1" x14ac:dyDescent="0.25">
      <c r="A103" s="884" t="s">
        <v>207</v>
      </c>
      <c r="B103" s="797"/>
      <c r="C103" s="886" t="s">
        <v>208</v>
      </c>
      <c r="D103" s="813"/>
      <c r="E103" s="813"/>
      <c r="F103" s="813"/>
      <c r="G103" s="813"/>
      <c r="H103" s="887" t="s">
        <v>209</v>
      </c>
    </row>
    <row r="104" spans="1:40" ht="25.5" hidden="1" customHeight="1" x14ac:dyDescent="0.25">
      <c r="A104" s="797"/>
      <c r="B104" s="797"/>
      <c r="C104" s="309" t="s">
        <v>210</v>
      </c>
      <c r="H104" s="875"/>
    </row>
    <row r="105" spans="1:40" ht="12.75" hidden="1" customHeight="1" x14ac:dyDescent="0.25">
      <c r="A105" s="884" t="s">
        <v>211</v>
      </c>
      <c r="B105" s="797"/>
      <c r="C105" s="884" t="s">
        <v>212</v>
      </c>
      <c r="D105" s="798"/>
      <c r="E105" s="797"/>
    </row>
    <row r="106" spans="1:40" x14ac:dyDescent="0.25">
      <c r="K106" s="738">
        <f>I99*100/$G$99</f>
        <v>1.45959267945557</v>
      </c>
      <c r="N106" s="738">
        <f>L99*100/$G$99</f>
        <v>2.6890041493775931</v>
      </c>
      <c r="Q106" s="738">
        <f>O99*100/$G$99</f>
        <v>7.9606771303145107</v>
      </c>
      <c r="T106" s="738">
        <f>R99*100/$G$99</f>
        <v>15.903531982279954</v>
      </c>
      <c r="W106" s="738">
        <f>U99*100/$G$99</f>
        <v>17.682382183735243</v>
      </c>
      <c r="Z106" s="738">
        <f>X99*100/$G$99</f>
        <v>13.758063222883719</v>
      </c>
      <c r="AC106" s="738">
        <f>AA99*100/$G$99</f>
        <v>22.825089742818776</v>
      </c>
      <c r="AF106" s="738">
        <f>AD99*100/$G$99</f>
        <v>17.721658909134639</v>
      </c>
      <c r="AH106" s="738">
        <f>SUM(K106:AF106)</f>
        <v>100</v>
      </c>
    </row>
    <row r="107" spans="1:40" x14ac:dyDescent="0.25">
      <c r="G107" s="721">
        <f>SUM(I99,L99,O99,R99,U99,X99,AA99,AD99)</f>
        <v>99774</v>
      </c>
      <c r="I107" s="684">
        <f>I99</f>
        <v>1456.2940000000003</v>
      </c>
      <c r="L107" s="684">
        <f>I107+L99</f>
        <v>4139.2209999999995</v>
      </c>
      <c r="O107" s="684">
        <f>L107+O99</f>
        <v>12081.906999999999</v>
      </c>
      <c r="R107" s="684">
        <f>O107+R99</f>
        <v>27949.496999999999</v>
      </c>
      <c r="U107" s="684">
        <f>R107+U99</f>
        <v>45591.917000000001</v>
      </c>
      <c r="X107" s="684">
        <f>U107+X99</f>
        <v>59318.887000000002</v>
      </c>
    </row>
    <row r="108" spans="1:40" x14ac:dyDescent="0.25">
      <c r="G108" s="721">
        <f>SUM(I99,L99,O99,R99,U99,X99)</f>
        <v>59318.887000000002</v>
      </c>
    </row>
  </sheetData>
  <mergeCells count="46">
    <mergeCell ref="A103:B104"/>
    <mergeCell ref="C103:G103"/>
    <mergeCell ref="H103:H104"/>
    <mergeCell ref="A105:B105"/>
    <mergeCell ref="C105:E105"/>
    <mergeCell ref="AB5:AC5"/>
    <mergeCell ref="AD5:AD6"/>
    <mergeCell ref="AE5:AF5"/>
    <mergeCell ref="D55:E55"/>
    <mergeCell ref="A101:B102"/>
    <mergeCell ref="C101:E101"/>
    <mergeCell ref="C102:E102"/>
    <mergeCell ref="S5:T5"/>
    <mergeCell ref="U5:U6"/>
    <mergeCell ref="V5:W5"/>
    <mergeCell ref="X5:X6"/>
    <mergeCell ref="Y5:Z5"/>
    <mergeCell ref="AA5:AA6"/>
    <mergeCell ref="J5:K5"/>
    <mergeCell ref="L5:L6"/>
    <mergeCell ref="M5:N5"/>
    <mergeCell ref="O5:O6"/>
    <mergeCell ref="P5:Q5"/>
    <mergeCell ref="R5:R6"/>
    <mergeCell ref="D5:D6"/>
    <mergeCell ref="E5:E6"/>
    <mergeCell ref="F5:F6"/>
    <mergeCell ref="G5:G6"/>
    <mergeCell ref="H5:H6"/>
    <mergeCell ref="I5:I6"/>
    <mergeCell ref="AD4:AF4"/>
    <mergeCell ref="R1:T1"/>
    <mergeCell ref="AD1:AF1"/>
    <mergeCell ref="A2:H2"/>
    <mergeCell ref="A3:H3"/>
    <mergeCell ref="A4:A6"/>
    <mergeCell ref="B4:B6"/>
    <mergeCell ref="C4:C6"/>
    <mergeCell ref="D4:H4"/>
    <mergeCell ref="I4:K4"/>
    <mergeCell ref="L4:N4"/>
    <mergeCell ref="O4:Q4"/>
    <mergeCell ref="R4:T4"/>
    <mergeCell ref="U4:W4"/>
    <mergeCell ref="X4:Z4"/>
    <mergeCell ref="AA4:AC4"/>
  </mergeCells>
  <pageMargins left="0.56999999999999995" right="0.17" top="0.76" bottom="0.34" header="0.23" footer="0"/>
  <pageSetup paperSize="9" scale="56" firstPageNumber="22" fitToHeight="4" orientation="landscape" useFirstPageNumber="1" r:id="rId1"/>
  <headerFooter alignWithMargins="0">
    <oddFooter>&amp;C&amp;20 P - &amp;P</oddFooter>
  </headerFooter>
  <rowBreaks count="1" manualBreakCount="1">
    <brk id="5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"/>
  <sheetViews>
    <sheetView topLeftCell="A46" zoomScale="85" zoomScaleNormal="85" workbookViewId="0">
      <selection activeCell="P102" sqref="P102"/>
    </sheetView>
  </sheetViews>
  <sheetFormatPr defaultColWidth="9.140625" defaultRowHeight="15" x14ac:dyDescent="0.25"/>
  <cols>
    <col min="1" max="1" width="8.140625" style="746" customWidth="1"/>
    <col min="2" max="2" width="10.5703125" style="746" customWidth="1"/>
    <col min="3" max="3" width="39.28515625" style="747" customWidth="1"/>
    <col min="4" max="4" width="11" style="746" customWidth="1"/>
    <col min="5" max="5" width="9.42578125" style="745" customWidth="1"/>
    <col min="6" max="6" width="9.5703125" style="745" customWidth="1"/>
    <col min="7" max="7" width="9.42578125" style="745" customWidth="1"/>
    <col min="8" max="8" width="9.7109375" style="745" customWidth="1"/>
    <col min="9" max="9" width="9.85546875" style="745" customWidth="1"/>
    <col min="10" max="10" width="9.7109375" style="745" customWidth="1"/>
    <col min="11" max="11" width="9.85546875" style="745" customWidth="1"/>
    <col min="12" max="12" width="11.42578125" style="745" customWidth="1"/>
    <col min="13" max="13" width="6.7109375" style="746" customWidth="1"/>
    <col min="14" max="14" width="9.5703125" style="746" customWidth="1"/>
    <col min="15" max="15" width="9.42578125" style="746" customWidth="1"/>
    <col min="16" max="16" width="10" style="746" customWidth="1"/>
    <col min="17" max="17" width="9.28515625" style="746" customWidth="1"/>
    <col min="18" max="18" width="10.140625" style="745" customWidth="1"/>
    <col min="19" max="19" width="9.7109375" style="745" customWidth="1"/>
    <col min="20" max="20" width="9.85546875" style="745" customWidth="1"/>
    <col min="21" max="21" width="8.85546875" style="745" customWidth="1"/>
    <col min="22" max="22" width="9.140625" style="746" customWidth="1"/>
    <col min="23" max="23" width="10.85546875" style="746" customWidth="1"/>
    <col min="24" max="24" width="11.140625" style="746" customWidth="1"/>
    <col min="25" max="180" width="9.140625" style="746" customWidth="1"/>
    <col min="181" max="16384" width="9.140625" style="746"/>
  </cols>
  <sheetData>
    <row r="1" spans="1:25" s="744" customFormat="1" ht="21" customHeight="1" x14ac:dyDescent="0.25">
      <c r="A1" s="889" t="s">
        <v>213</v>
      </c>
      <c r="B1" s="890"/>
      <c r="C1" s="890"/>
      <c r="D1" s="890"/>
      <c r="E1" s="890"/>
      <c r="F1" s="890"/>
      <c r="G1" s="890"/>
      <c r="H1" s="890"/>
      <c r="I1" s="890"/>
      <c r="J1" s="890"/>
      <c r="K1" s="890"/>
      <c r="L1" s="890"/>
      <c r="M1" s="890"/>
      <c r="N1" s="890"/>
      <c r="O1" s="890"/>
      <c r="P1" s="890"/>
      <c r="Q1" s="890"/>
      <c r="R1" s="890"/>
      <c r="S1" s="890"/>
      <c r="T1" s="890"/>
      <c r="U1" s="890"/>
    </row>
    <row r="2" spans="1:25" ht="21.75" customHeight="1" x14ac:dyDescent="0.25">
      <c r="A2" s="165" t="s">
        <v>214</v>
      </c>
      <c r="B2" s="165"/>
      <c r="C2" s="165"/>
      <c r="D2" s="891" t="s">
        <v>215</v>
      </c>
      <c r="E2" s="892"/>
      <c r="F2" s="892"/>
      <c r="G2" s="892"/>
      <c r="H2" s="892"/>
      <c r="I2" s="892"/>
      <c r="J2" s="892"/>
      <c r="K2" s="892"/>
      <c r="L2" s="892"/>
      <c r="M2" s="893"/>
      <c r="N2" s="893"/>
      <c r="O2" s="893"/>
      <c r="P2" s="893"/>
      <c r="Q2" s="893"/>
      <c r="R2" s="892"/>
      <c r="S2" s="892"/>
      <c r="T2" s="892"/>
      <c r="U2" s="892"/>
      <c r="V2" s="23"/>
      <c r="W2" s="23"/>
      <c r="X2" s="23"/>
    </row>
    <row r="3" spans="1:25" ht="14.25" customHeight="1" x14ac:dyDescent="0.25">
      <c r="A3" s="894" t="s">
        <v>216</v>
      </c>
      <c r="B3" s="893"/>
      <c r="C3" s="895"/>
      <c r="D3" s="896" t="s">
        <v>217</v>
      </c>
      <c r="E3" s="892"/>
      <c r="F3" s="892"/>
      <c r="G3" s="892"/>
      <c r="H3" s="892"/>
      <c r="I3" s="892"/>
      <c r="J3" s="892"/>
      <c r="K3" s="892"/>
      <c r="L3" s="892"/>
      <c r="M3" s="893"/>
      <c r="N3" s="893"/>
      <c r="O3" s="893"/>
      <c r="P3" s="893"/>
      <c r="Q3" s="893"/>
      <c r="R3" s="892"/>
      <c r="S3" s="892"/>
      <c r="T3" s="892"/>
      <c r="U3" s="892"/>
    </row>
    <row r="4" spans="1:25" s="311" customFormat="1" ht="6.75" customHeight="1" x14ac:dyDescent="0.25">
      <c r="A4" s="310"/>
      <c r="B4" s="310"/>
      <c r="C4" s="748"/>
      <c r="D4" s="310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897" t="s">
        <v>218</v>
      </c>
      <c r="U4" s="813"/>
      <c r="V4" s="313"/>
    </row>
    <row r="5" spans="1:25" s="311" customFormat="1" ht="26.25" customHeight="1" x14ac:dyDescent="0.25">
      <c r="A5" s="898" t="s">
        <v>219</v>
      </c>
      <c r="B5" s="898" t="s">
        <v>220</v>
      </c>
      <c r="C5" s="888" t="s">
        <v>221</v>
      </c>
      <c r="D5" s="898" t="s">
        <v>222</v>
      </c>
      <c r="E5" s="899" t="s">
        <v>223</v>
      </c>
      <c r="F5" s="808"/>
      <c r="G5" s="808"/>
      <c r="H5" s="808"/>
      <c r="I5" s="808"/>
      <c r="J5" s="808"/>
      <c r="K5" s="808"/>
      <c r="L5" s="808"/>
      <c r="M5" s="900" t="s">
        <v>224</v>
      </c>
      <c r="N5" s="901" t="s">
        <v>225</v>
      </c>
      <c r="O5" s="808"/>
      <c r="P5" s="808"/>
      <c r="Q5" s="808"/>
      <c r="R5" s="808"/>
      <c r="S5" s="808"/>
      <c r="T5" s="808"/>
      <c r="U5" s="820"/>
    </row>
    <row r="6" spans="1:25" s="311" customFormat="1" ht="19.5" customHeight="1" x14ac:dyDescent="0.25">
      <c r="A6" s="805"/>
      <c r="B6" s="805"/>
      <c r="C6" s="805"/>
      <c r="D6" s="805"/>
      <c r="E6" s="749" t="s">
        <v>226</v>
      </c>
      <c r="F6" s="749" t="s">
        <v>227</v>
      </c>
      <c r="G6" s="749" t="s">
        <v>228</v>
      </c>
      <c r="H6" s="749" t="s">
        <v>229</v>
      </c>
      <c r="I6" s="749" t="s">
        <v>230</v>
      </c>
      <c r="J6" s="749" t="s">
        <v>231</v>
      </c>
      <c r="K6" s="749" t="s">
        <v>232</v>
      </c>
      <c r="L6" s="749" t="s">
        <v>233</v>
      </c>
      <c r="M6" s="805"/>
      <c r="N6" s="749" t="s">
        <v>226</v>
      </c>
      <c r="O6" s="749" t="s">
        <v>227</v>
      </c>
      <c r="P6" s="749" t="s">
        <v>228</v>
      </c>
      <c r="Q6" s="749" t="s">
        <v>229</v>
      </c>
      <c r="R6" s="749" t="s">
        <v>230</v>
      </c>
      <c r="S6" s="749" t="s">
        <v>231</v>
      </c>
      <c r="T6" s="749" t="s">
        <v>232</v>
      </c>
      <c r="U6" s="749" t="s">
        <v>233</v>
      </c>
    </row>
    <row r="7" spans="1:25" ht="16.5" customHeight="1" x14ac:dyDescent="0.25">
      <c r="A7" s="902" t="s">
        <v>20</v>
      </c>
      <c r="B7" s="813"/>
      <c r="C7" s="813"/>
      <c r="D7" s="813"/>
      <c r="E7" s="813"/>
      <c r="F7" s="813"/>
      <c r="G7" s="813"/>
      <c r="H7" s="814"/>
      <c r="I7" s="750"/>
      <c r="J7" s="750"/>
      <c r="K7" s="750"/>
      <c r="L7" s="750"/>
      <c r="M7" s="104"/>
      <c r="N7" s="90"/>
      <c r="O7" s="90"/>
      <c r="P7" s="90"/>
      <c r="Q7" s="90"/>
      <c r="R7" s="184"/>
      <c r="S7" s="184"/>
      <c r="T7" s="184"/>
      <c r="U7" s="184"/>
    </row>
    <row r="8" spans="1:25" ht="16.5" customHeight="1" x14ac:dyDescent="0.25">
      <c r="A8" s="314"/>
      <c r="B8" s="315"/>
      <c r="C8" s="743" t="s">
        <v>21</v>
      </c>
      <c r="D8" s="184"/>
      <c r="E8" s="418"/>
      <c r="F8" s="418"/>
      <c r="G8" s="418"/>
      <c r="H8" s="418"/>
      <c r="I8" s="418"/>
      <c r="J8" s="418"/>
      <c r="K8" s="418"/>
      <c r="L8" s="418"/>
      <c r="M8" s="429"/>
      <c r="N8" s="184"/>
      <c r="O8" s="184"/>
      <c r="P8" s="184"/>
      <c r="Q8" s="184"/>
      <c r="R8" s="184"/>
      <c r="S8" s="184"/>
      <c r="T8" s="184"/>
      <c r="U8" s="184"/>
      <c r="W8" s="745"/>
      <c r="X8" s="745"/>
      <c r="Y8" s="430"/>
    </row>
    <row r="9" spans="1:25" ht="16.5" customHeight="1" x14ac:dyDescent="0.25">
      <c r="A9" s="314"/>
      <c r="B9" s="316">
        <v>3111302</v>
      </c>
      <c r="C9" s="317" t="s">
        <v>22</v>
      </c>
      <c r="D9" s="184">
        <v>5</v>
      </c>
      <c r="E9" s="318">
        <v>0</v>
      </c>
      <c r="F9" s="183">
        <v>0.3</v>
      </c>
      <c r="G9" s="183">
        <v>0.13</v>
      </c>
      <c r="H9" s="183">
        <v>0.28000000000000003</v>
      </c>
      <c r="I9" s="183">
        <v>0.3</v>
      </c>
      <c r="J9" s="183">
        <v>0.5</v>
      </c>
      <c r="K9" s="183">
        <v>2.0242</v>
      </c>
      <c r="L9" s="183">
        <v>1.4658</v>
      </c>
      <c r="M9" s="429">
        <v>0.90200000000000002</v>
      </c>
      <c r="N9" s="184">
        <f>M9*E9</f>
        <v>0</v>
      </c>
      <c r="O9" s="184">
        <f>M9*F9</f>
        <v>0.27060000000000001</v>
      </c>
      <c r="P9" s="184">
        <f>M9*G9</f>
        <v>0.11726</v>
      </c>
      <c r="Q9" s="184">
        <f>M9*H9</f>
        <v>0.25256000000000001</v>
      </c>
      <c r="R9" s="184">
        <f>M9*I9</f>
        <v>0.27060000000000001</v>
      </c>
      <c r="S9" s="184">
        <f>M9*J9</f>
        <v>0.45100000000000001</v>
      </c>
      <c r="T9" s="184">
        <f>M9*K9</f>
        <v>1.8258284</v>
      </c>
      <c r="U9" s="184">
        <f>M9*L9</f>
        <v>1.3221516</v>
      </c>
      <c r="W9" s="745"/>
      <c r="X9" s="745"/>
      <c r="Y9" s="430"/>
    </row>
    <row r="10" spans="1:25" ht="16.5" customHeight="1" x14ac:dyDescent="0.25">
      <c r="A10" s="314"/>
      <c r="B10" s="316">
        <v>3111327</v>
      </c>
      <c r="C10" s="317" t="s">
        <v>24</v>
      </c>
      <c r="D10" s="184">
        <v>10</v>
      </c>
      <c r="E10" s="183">
        <v>0</v>
      </c>
      <c r="F10" s="183">
        <v>0</v>
      </c>
      <c r="G10" s="183">
        <v>0</v>
      </c>
      <c r="H10" s="183">
        <v>0</v>
      </c>
      <c r="I10" s="183">
        <v>0</v>
      </c>
      <c r="J10" s="183">
        <v>0</v>
      </c>
      <c r="K10" s="183">
        <v>6.3</v>
      </c>
      <c r="L10" s="183">
        <v>3.7</v>
      </c>
      <c r="M10" s="429">
        <v>0.90200000000000002</v>
      </c>
      <c r="N10" s="184">
        <f>M10*E10</f>
        <v>0</v>
      </c>
      <c r="O10" s="184">
        <f>M10*F10</f>
        <v>0</v>
      </c>
      <c r="P10" s="184">
        <f>M10*G10</f>
        <v>0</v>
      </c>
      <c r="Q10" s="184">
        <f>M10*H10</f>
        <v>0</v>
      </c>
      <c r="R10" s="184">
        <f>M10*I10</f>
        <v>0</v>
      </c>
      <c r="S10" s="184">
        <f>M10*J10</f>
        <v>0</v>
      </c>
      <c r="T10" s="184">
        <f>M10*K10</f>
        <v>5.6825999999999999</v>
      </c>
      <c r="U10" s="184">
        <f>M10*L10</f>
        <v>3.3374000000000001</v>
      </c>
      <c r="W10" s="745"/>
      <c r="X10" s="745"/>
      <c r="Y10" s="430"/>
    </row>
    <row r="11" spans="1:25" ht="16.5" customHeight="1" x14ac:dyDescent="0.25">
      <c r="A11" s="314"/>
      <c r="B11" s="316">
        <v>3111338</v>
      </c>
      <c r="C11" s="317" t="s">
        <v>25</v>
      </c>
      <c r="D11" s="184">
        <v>140</v>
      </c>
      <c r="E11" s="183">
        <v>0</v>
      </c>
      <c r="F11" s="183">
        <v>0</v>
      </c>
      <c r="G11" s="183">
        <v>0</v>
      </c>
      <c r="H11" s="183">
        <v>25</v>
      </c>
      <c r="I11" s="183">
        <v>11.61</v>
      </c>
      <c r="J11" s="183">
        <v>14</v>
      </c>
      <c r="K11" s="183">
        <v>53.634</v>
      </c>
      <c r="L11" s="183">
        <v>35.756</v>
      </c>
      <c r="M11" s="429">
        <v>0.90200000000000002</v>
      </c>
      <c r="N11" s="184">
        <f>M11*E11</f>
        <v>0</v>
      </c>
      <c r="O11" s="184">
        <f>M11*F11</f>
        <v>0</v>
      </c>
      <c r="P11" s="184">
        <f>M11*G11</f>
        <v>0</v>
      </c>
      <c r="Q11" s="184">
        <f>M11*H11</f>
        <v>22.55</v>
      </c>
      <c r="R11" s="184">
        <f>M11*I11</f>
        <v>10.47222</v>
      </c>
      <c r="S11" s="184">
        <f>M11*J11</f>
        <v>12.628</v>
      </c>
      <c r="T11" s="184">
        <f>M11*K11</f>
        <v>48.377867999999999</v>
      </c>
      <c r="U11" s="184">
        <f>M11*L11</f>
        <v>32.251912000000004</v>
      </c>
      <c r="W11" s="745"/>
      <c r="X11" s="745"/>
      <c r="Y11" s="430"/>
    </row>
    <row r="12" spans="1:25" ht="15" customHeight="1" x14ac:dyDescent="0.25">
      <c r="A12" s="314"/>
      <c r="B12" s="315"/>
      <c r="C12" s="743" t="s">
        <v>144</v>
      </c>
      <c r="D12" s="184"/>
      <c r="E12" s="183"/>
      <c r="F12" s="183"/>
      <c r="G12" s="183"/>
      <c r="H12" s="183"/>
      <c r="I12" s="183"/>
      <c r="J12" s="183"/>
      <c r="K12" s="183"/>
      <c r="L12" s="183"/>
      <c r="M12" s="429"/>
      <c r="N12" s="429"/>
      <c r="O12" s="429"/>
      <c r="P12" s="429"/>
      <c r="Q12" s="429"/>
      <c r="R12" s="184"/>
      <c r="S12" s="184"/>
      <c r="T12" s="184"/>
      <c r="U12" s="184"/>
      <c r="W12" s="745"/>
      <c r="X12" s="745"/>
      <c r="Y12" s="430"/>
    </row>
    <row r="13" spans="1:25" ht="29.25" customHeight="1" x14ac:dyDescent="0.25">
      <c r="A13" s="314"/>
      <c r="B13" s="316">
        <v>3241101</v>
      </c>
      <c r="C13" s="317" t="s">
        <v>27</v>
      </c>
      <c r="D13" s="184">
        <v>120</v>
      </c>
      <c r="E13" s="183">
        <v>0.99</v>
      </c>
      <c r="F13" s="183">
        <v>11.92</v>
      </c>
      <c r="G13" s="183">
        <v>14.98</v>
      </c>
      <c r="H13" s="183">
        <v>17.96</v>
      </c>
      <c r="I13" s="183">
        <v>12.7</v>
      </c>
      <c r="J13" s="183">
        <v>14.97</v>
      </c>
      <c r="K13" s="183">
        <v>28.817599999999999</v>
      </c>
      <c r="L13" s="183">
        <v>17.662400000000002</v>
      </c>
      <c r="M13" s="183">
        <v>0.90200000000000002</v>
      </c>
      <c r="N13" s="184">
        <f t="shared" ref="N13:N27" si="0">M13*E13</f>
        <v>0.89298</v>
      </c>
      <c r="O13" s="184">
        <f t="shared" ref="O13:O27" si="1">M13*F13</f>
        <v>10.75184</v>
      </c>
      <c r="P13" s="184">
        <f t="shared" ref="P13:P27" si="2">M13*G13</f>
        <v>13.51196</v>
      </c>
      <c r="Q13" s="184">
        <f t="shared" ref="Q13:Q27" si="3">M13*H13</f>
        <v>16.199920000000002</v>
      </c>
      <c r="R13" s="184">
        <f t="shared" ref="R13:R27" si="4">M13*I13</f>
        <v>11.455399999999999</v>
      </c>
      <c r="S13" s="184">
        <f t="shared" ref="S13:S27" si="5">M13*J13</f>
        <v>13.502940000000001</v>
      </c>
      <c r="T13" s="184">
        <f t="shared" ref="T13:T27" si="6">M13*K13</f>
        <v>25.993475199999999</v>
      </c>
      <c r="U13" s="184">
        <f t="shared" ref="U13:U27" si="7">M13*L13</f>
        <v>15.931484800000002</v>
      </c>
      <c r="W13" s="745"/>
      <c r="X13" s="745"/>
      <c r="Y13" s="430"/>
    </row>
    <row r="14" spans="1:25" ht="29.25" customHeight="1" x14ac:dyDescent="0.25">
      <c r="A14" s="314"/>
      <c r="B14" s="316">
        <v>3211129</v>
      </c>
      <c r="C14" s="317" t="s">
        <v>28</v>
      </c>
      <c r="D14" s="184">
        <v>245</v>
      </c>
      <c r="E14" s="183">
        <v>0</v>
      </c>
      <c r="F14" s="183">
        <v>16.25</v>
      </c>
      <c r="G14" s="183">
        <v>31.35</v>
      </c>
      <c r="H14" s="183">
        <v>34.86</v>
      </c>
      <c r="I14" s="183">
        <v>34.21</v>
      </c>
      <c r="J14" s="183">
        <v>34.21</v>
      </c>
      <c r="K14" s="183">
        <v>58.354399999999977</v>
      </c>
      <c r="L14" s="183">
        <v>35.765599999999992</v>
      </c>
      <c r="M14" s="429">
        <v>0.81200000000000006</v>
      </c>
      <c r="N14" s="184">
        <f t="shared" si="0"/>
        <v>0</v>
      </c>
      <c r="O14" s="184">
        <f t="shared" si="1"/>
        <v>13.195</v>
      </c>
      <c r="P14" s="184">
        <f t="shared" si="2"/>
        <v>25.456200000000003</v>
      </c>
      <c r="Q14" s="184">
        <f t="shared" si="3"/>
        <v>28.306320000000003</v>
      </c>
      <c r="R14" s="184">
        <f t="shared" si="4"/>
        <v>27.778520000000004</v>
      </c>
      <c r="S14" s="184">
        <f t="shared" si="5"/>
        <v>27.778520000000004</v>
      </c>
      <c r="T14" s="184">
        <f t="shared" si="6"/>
        <v>47.383772799999981</v>
      </c>
      <c r="U14" s="184">
        <f t="shared" si="7"/>
        <v>29.041667199999996</v>
      </c>
      <c r="W14" s="745"/>
      <c r="X14" s="745"/>
      <c r="Y14" s="430"/>
    </row>
    <row r="15" spans="1:25" ht="27.75" customHeight="1" x14ac:dyDescent="0.25">
      <c r="A15" s="314"/>
      <c r="B15" s="316">
        <v>3821103</v>
      </c>
      <c r="C15" s="317" t="s">
        <v>29</v>
      </c>
      <c r="D15" s="184">
        <v>2874.35</v>
      </c>
      <c r="E15" s="183">
        <v>223.75</v>
      </c>
      <c r="F15" s="183">
        <v>464.64</v>
      </c>
      <c r="G15" s="183">
        <v>327.7</v>
      </c>
      <c r="H15" s="183">
        <v>337.33</v>
      </c>
      <c r="I15" s="183">
        <v>249.75</v>
      </c>
      <c r="J15" s="183">
        <v>177.18</v>
      </c>
      <c r="K15" s="183">
        <v>634.52</v>
      </c>
      <c r="L15" s="183">
        <v>459.48</v>
      </c>
      <c r="M15" s="429">
        <v>0.81200000000000006</v>
      </c>
      <c r="N15" s="184">
        <f t="shared" si="0"/>
        <v>181.685</v>
      </c>
      <c r="O15" s="184">
        <f t="shared" si="1"/>
        <v>377.28768000000002</v>
      </c>
      <c r="P15" s="184">
        <f t="shared" si="2"/>
        <v>266.0924</v>
      </c>
      <c r="Q15" s="184">
        <f t="shared" si="3"/>
        <v>273.91196000000002</v>
      </c>
      <c r="R15" s="184">
        <f t="shared" si="4"/>
        <v>202.79700000000003</v>
      </c>
      <c r="S15" s="184">
        <f t="shared" si="5"/>
        <v>143.87016000000003</v>
      </c>
      <c r="T15" s="184">
        <f t="shared" si="6"/>
        <v>515.23023999999998</v>
      </c>
      <c r="U15" s="184">
        <f t="shared" si="7"/>
        <v>373.09776000000005</v>
      </c>
      <c r="W15" s="745"/>
      <c r="X15" s="745"/>
      <c r="Y15" s="430"/>
    </row>
    <row r="16" spans="1:25" ht="18" customHeight="1" x14ac:dyDescent="0.25">
      <c r="A16" s="314"/>
      <c r="B16" s="316">
        <v>3211119</v>
      </c>
      <c r="C16" s="317" t="s">
        <v>30</v>
      </c>
      <c r="D16" s="184">
        <v>5</v>
      </c>
      <c r="E16" s="183">
        <v>0</v>
      </c>
      <c r="F16" s="183">
        <v>0.05</v>
      </c>
      <c r="G16" s="183">
        <v>0.13</v>
      </c>
      <c r="H16" s="183">
        <v>0.22</v>
      </c>
      <c r="I16" s="183">
        <v>0.37</v>
      </c>
      <c r="J16" s="183">
        <v>0.48</v>
      </c>
      <c r="K16" s="183">
        <v>2.1749999999999998</v>
      </c>
      <c r="L16" s="183">
        <v>1.575</v>
      </c>
      <c r="M16" s="429">
        <v>0.81200000000000006</v>
      </c>
      <c r="N16" s="184">
        <f t="shared" si="0"/>
        <v>0</v>
      </c>
      <c r="O16" s="184">
        <f t="shared" si="1"/>
        <v>4.0600000000000004E-2</v>
      </c>
      <c r="P16" s="184">
        <f t="shared" si="2"/>
        <v>0.10556000000000001</v>
      </c>
      <c r="Q16" s="184">
        <f t="shared" si="3"/>
        <v>0.17864000000000002</v>
      </c>
      <c r="R16" s="184">
        <f t="shared" si="4"/>
        <v>0.30044000000000004</v>
      </c>
      <c r="S16" s="184">
        <f t="shared" si="5"/>
        <v>0.38976</v>
      </c>
      <c r="T16" s="184">
        <f t="shared" si="6"/>
        <v>1.7661</v>
      </c>
      <c r="U16" s="184">
        <f t="shared" si="7"/>
        <v>1.2789000000000001</v>
      </c>
      <c r="W16" s="745"/>
      <c r="X16" s="745"/>
      <c r="Y16" s="430"/>
    </row>
    <row r="17" spans="1:26" ht="18" customHeight="1" x14ac:dyDescent="0.25">
      <c r="A17" s="314"/>
      <c r="B17" s="316">
        <v>3211120</v>
      </c>
      <c r="C17" s="317" t="s">
        <v>31</v>
      </c>
      <c r="D17" s="184">
        <v>5</v>
      </c>
      <c r="E17" s="183">
        <v>0.21</v>
      </c>
      <c r="F17" s="183">
        <v>0.24</v>
      </c>
      <c r="G17" s="183">
        <v>0.28999999999999998</v>
      </c>
      <c r="H17" s="183">
        <v>0.15</v>
      </c>
      <c r="I17" s="183">
        <v>0.08</v>
      </c>
      <c r="J17" s="183">
        <v>7.0000000000000007E-2</v>
      </c>
      <c r="K17" s="183">
        <v>2.4156</v>
      </c>
      <c r="L17" s="183">
        <v>1.5444</v>
      </c>
      <c r="M17" s="429">
        <v>0.81200000000000006</v>
      </c>
      <c r="N17" s="184">
        <f t="shared" si="0"/>
        <v>0.17052</v>
      </c>
      <c r="O17" s="184">
        <f t="shared" si="1"/>
        <v>0.19488</v>
      </c>
      <c r="P17" s="184">
        <f t="shared" si="2"/>
        <v>0.23547999999999999</v>
      </c>
      <c r="Q17" s="184">
        <f t="shared" si="3"/>
        <v>0.12180000000000001</v>
      </c>
      <c r="R17" s="184">
        <f t="shared" si="4"/>
        <v>6.4960000000000004E-2</v>
      </c>
      <c r="S17" s="184">
        <f t="shared" si="5"/>
        <v>5.6840000000000009E-2</v>
      </c>
      <c r="T17" s="184">
        <f t="shared" si="6"/>
        <v>1.9614672000000002</v>
      </c>
      <c r="U17" s="184">
        <f t="shared" si="7"/>
        <v>1.2540528000000002</v>
      </c>
      <c r="W17" s="745"/>
      <c r="X17" s="745"/>
      <c r="Y17" s="430"/>
    </row>
    <row r="18" spans="1:26" ht="18" customHeight="1" x14ac:dyDescent="0.25">
      <c r="A18" s="314"/>
      <c r="B18" s="316">
        <v>3211117</v>
      </c>
      <c r="C18" s="317" t="s">
        <v>32</v>
      </c>
      <c r="D18" s="184">
        <v>5</v>
      </c>
      <c r="E18" s="183">
        <v>0.25</v>
      </c>
      <c r="F18" s="183">
        <v>1.0000000000000011E-3</v>
      </c>
      <c r="G18" s="183">
        <v>0.09</v>
      </c>
      <c r="H18" s="183">
        <v>0.05</v>
      </c>
      <c r="I18" s="183">
        <v>0.05</v>
      </c>
      <c r="J18" s="183">
        <v>0.1</v>
      </c>
      <c r="K18" s="183">
        <v>2.4970400000000001</v>
      </c>
      <c r="L18" s="183">
        <v>1.9619599999999999</v>
      </c>
      <c r="M18" s="429">
        <v>0.81200000000000006</v>
      </c>
      <c r="N18" s="184">
        <f t="shared" si="0"/>
        <v>0.20300000000000001</v>
      </c>
      <c r="O18" s="184">
        <f t="shared" si="1"/>
        <v>8.1200000000000098E-4</v>
      </c>
      <c r="P18" s="184">
        <f t="shared" si="2"/>
        <v>7.3080000000000006E-2</v>
      </c>
      <c r="Q18" s="184">
        <f t="shared" si="3"/>
        <v>4.0600000000000004E-2</v>
      </c>
      <c r="R18" s="184">
        <f t="shared" si="4"/>
        <v>4.0600000000000004E-2</v>
      </c>
      <c r="S18" s="184">
        <f t="shared" si="5"/>
        <v>8.1200000000000008E-2</v>
      </c>
      <c r="T18" s="184">
        <f t="shared" si="6"/>
        <v>2.0275964800000001</v>
      </c>
      <c r="U18" s="184">
        <f t="shared" si="7"/>
        <v>1.5931115200000001</v>
      </c>
      <c r="W18" s="745"/>
      <c r="X18" s="745"/>
      <c r="Y18" s="430"/>
    </row>
    <row r="19" spans="1:26" ht="18" customHeight="1" x14ac:dyDescent="0.25">
      <c r="A19" s="314"/>
      <c r="B19" s="316">
        <v>3221104</v>
      </c>
      <c r="C19" s="317" t="s">
        <v>33</v>
      </c>
      <c r="D19" s="184">
        <v>20</v>
      </c>
      <c r="E19" s="183">
        <v>1.1000000000000001</v>
      </c>
      <c r="F19" s="183">
        <v>8.370000000000001</v>
      </c>
      <c r="G19" s="183">
        <v>0.08</v>
      </c>
      <c r="H19" s="183">
        <v>0</v>
      </c>
      <c r="I19" s="183">
        <v>2.37</v>
      </c>
      <c r="J19" s="183">
        <v>0.17</v>
      </c>
      <c r="K19" s="183">
        <v>4.983299999999999</v>
      </c>
      <c r="L19" s="183">
        <v>2.926699999999999</v>
      </c>
      <c r="M19" s="429">
        <v>0.81200000000000006</v>
      </c>
      <c r="N19" s="184">
        <f t="shared" si="0"/>
        <v>0.8932000000000001</v>
      </c>
      <c r="O19" s="184">
        <f t="shared" si="1"/>
        <v>6.7964400000000014</v>
      </c>
      <c r="P19" s="184">
        <f t="shared" si="2"/>
        <v>6.4960000000000004E-2</v>
      </c>
      <c r="Q19" s="184">
        <f t="shared" si="3"/>
        <v>0</v>
      </c>
      <c r="R19" s="184">
        <f t="shared" si="4"/>
        <v>1.9244400000000002</v>
      </c>
      <c r="S19" s="184">
        <f t="shared" si="5"/>
        <v>0.13804000000000002</v>
      </c>
      <c r="T19" s="184">
        <f t="shared" si="6"/>
        <v>4.0464395999999994</v>
      </c>
      <c r="U19" s="184">
        <f t="shared" si="7"/>
        <v>2.3764803999999993</v>
      </c>
      <c r="W19" s="745"/>
      <c r="X19" s="745"/>
      <c r="Y19" s="430"/>
    </row>
    <row r="20" spans="1:26" ht="18" customHeight="1" x14ac:dyDescent="0.25">
      <c r="A20" s="314"/>
      <c r="B20" s="316">
        <v>3211115</v>
      </c>
      <c r="C20" s="317" t="s">
        <v>34</v>
      </c>
      <c r="D20" s="184">
        <v>5</v>
      </c>
      <c r="E20" s="183">
        <v>0</v>
      </c>
      <c r="F20" s="183">
        <v>0.12</v>
      </c>
      <c r="G20" s="183">
        <v>0.23</v>
      </c>
      <c r="H20" s="183">
        <v>0.37</v>
      </c>
      <c r="I20" s="183">
        <v>0.4</v>
      </c>
      <c r="J20" s="183">
        <v>0.55000000000000004</v>
      </c>
      <c r="K20" s="183">
        <v>2.0312999999999999</v>
      </c>
      <c r="L20" s="183">
        <v>1.2987</v>
      </c>
      <c r="M20" s="429">
        <v>0.81200000000000006</v>
      </c>
      <c r="N20" s="184">
        <f t="shared" si="0"/>
        <v>0</v>
      </c>
      <c r="O20" s="184">
        <f t="shared" si="1"/>
        <v>9.7439999999999999E-2</v>
      </c>
      <c r="P20" s="184">
        <f t="shared" si="2"/>
        <v>0.18676000000000001</v>
      </c>
      <c r="Q20" s="184">
        <f t="shared" si="3"/>
        <v>0.30044000000000004</v>
      </c>
      <c r="R20" s="184">
        <f t="shared" si="4"/>
        <v>0.32480000000000003</v>
      </c>
      <c r="S20" s="184">
        <f t="shared" si="5"/>
        <v>0.44660000000000005</v>
      </c>
      <c r="T20" s="184">
        <f t="shared" si="6"/>
        <v>1.6494156</v>
      </c>
      <c r="U20" s="184">
        <f t="shared" si="7"/>
        <v>1.0545443999999999</v>
      </c>
      <c r="W20" s="745"/>
      <c r="X20" s="745"/>
      <c r="Y20" s="430"/>
    </row>
    <row r="21" spans="1:26" ht="18" customHeight="1" x14ac:dyDescent="0.25">
      <c r="A21" s="314"/>
      <c r="B21" s="316">
        <v>3211113</v>
      </c>
      <c r="C21" s="317" t="s">
        <v>35</v>
      </c>
      <c r="D21" s="184">
        <v>20</v>
      </c>
      <c r="E21" s="183">
        <v>0.19</v>
      </c>
      <c r="F21" s="183">
        <v>1.67</v>
      </c>
      <c r="G21" s="183">
        <v>1.78</v>
      </c>
      <c r="H21" s="183">
        <v>2.31</v>
      </c>
      <c r="I21" s="183">
        <v>2.78</v>
      </c>
      <c r="J21" s="183">
        <v>2.89</v>
      </c>
      <c r="K21" s="183">
        <v>4.6090000000000009</v>
      </c>
      <c r="L21" s="183">
        <v>3.7709999999999999</v>
      </c>
      <c r="M21" s="429">
        <v>0.81200000000000006</v>
      </c>
      <c r="N21" s="184">
        <f t="shared" si="0"/>
        <v>0.15428</v>
      </c>
      <c r="O21" s="184">
        <f t="shared" si="1"/>
        <v>1.3560400000000001</v>
      </c>
      <c r="P21" s="184">
        <f t="shared" si="2"/>
        <v>1.4453600000000002</v>
      </c>
      <c r="Q21" s="184">
        <f t="shared" si="3"/>
        <v>1.8757200000000003</v>
      </c>
      <c r="R21" s="184">
        <f t="shared" si="4"/>
        <v>2.2573599999999998</v>
      </c>
      <c r="S21" s="184">
        <f t="shared" si="5"/>
        <v>2.3466800000000001</v>
      </c>
      <c r="T21" s="184">
        <f t="shared" si="6"/>
        <v>3.7425080000000008</v>
      </c>
      <c r="U21" s="184">
        <f t="shared" si="7"/>
        <v>3.062052</v>
      </c>
      <c r="W21" s="745"/>
      <c r="X21" s="745"/>
      <c r="Y21" s="430"/>
    </row>
    <row r="22" spans="1:26" ht="18" customHeight="1" x14ac:dyDescent="0.25">
      <c r="A22" s="314"/>
      <c r="B22" s="316">
        <v>3243102</v>
      </c>
      <c r="C22" s="317" t="s">
        <v>36</v>
      </c>
      <c r="D22" s="184">
        <v>40</v>
      </c>
      <c r="E22" s="183">
        <v>0.94</v>
      </c>
      <c r="F22" s="183">
        <v>3.7</v>
      </c>
      <c r="G22" s="183">
        <v>3</v>
      </c>
      <c r="H22" s="183">
        <v>4</v>
      </c>
      <c r="I22" s="183">
        <v>5.89</v>
      </c>
      <c r="J22" s="183">
        <v>4.0199999999999996</v>
      </c>
      <c r="K22" s="183">
        <v>11.2545</v>
      </c>
      <c r="L22" s="183">
        <v>7.1955</v>
      </c>
      <c r="M22" s="429">
        <v>0.81200000000000006</v>
      </c>
      <c r="N22" s="184">
        <f t="shared" si="0"/>
        <v>0.76327999999999996</v>
      </c>
      <c r="O22" s="184">
        <f t="shared" si="1"/>
        <v>3.0044000000000004</v>
      </c>
      <c r="P22" s="184">
        <f t="shared" si="2"/>
        <v>2.4359999999999999</v>
      </c>
      <c r="Q22" s="184">
        <f t="shared" si="3"/>
        <v>3.2480000000000002</v>
      </c>
      <c r="R22" s="184">
        <f t="shared" si="4"/>
        <v>4.78268</v>
      </c>
      <c r="S22" s="184">
        <f t="shared" si="5"/>
        <v>3.26424</v>
      </c>
      <c r="T22" s="184">
        <f t="shared" si="6"/>
        <v>9.1386540000000007</v>
      </c>
      <c r="U22" s="184">
        <f t="shared" si="7"/>
        <v>5.842746</v>
      </c>
      <c r="W22" s="745"/>
      <c r="X22" s="745"/>
      <c r="Y22" s="430"/>
    </row>
    <row r="23" spans="1:26" ht="18" customHeight="1" x14ac:dyDescent="0.25">
      <c r="A23" s="314"/>
      <c r="B23" s="316">
        <v>3243101</v>
      </c>
      <c r="C23" s="317" t="s">
        <v>37</v>
      </c>
      <c r="D23" s="184">
        <v>170</v>
      </c>
      <c r="E23" s="183">
        <v>0.62</v>
      </c>
      <c r="F23" s="183">
        <v>6.99</v>
      </c>
      <c r="G23" s="183">
        <v>18.97</v>
      </c>
      <c r="H23" s="183">
        <v>18</v>
      </c>
      <c r="I23" s="183">
        <v>20</v>
      </c>
      <c r="J23" s="183">
        <v>24.18</v>
      </c>
      <c r="K23" s="183">
        <v>46.306800000000003</v>
      </c>
      <c r="L23" s="183">
        <v>34.933200000000006</v>
      </c>
      <c r="M23" s="429">
        <v>0.72</v>
      </c>
      <c r="N23" s="184">
        <f t="shared" si="0"/>
        <v>0.44639999999999996</v>
      </c>
      <c r="O23" s="184">
        <f t="shared" si="1"/>
        <v>5.0327999999999999</v>
      </c>
      <c r="P23" s="184">
        <f t="shared" si="2"/>
        <v>13.658399999999999</v>
      </c>
      <c r="Q23" s="184">
        <f t="shared" si="3"/>
        <v>12.959999999999999</v>
      </c>
      <c r="R23" s="184">
        <f t="shared" si="4"/>
        <v>14.399999999999999</v>
      </c>
      <c r="S23" s="184">
        <f t="shared" si="5"/>
        <v>17.409599999999998</v>
      </c>
      <c r="T23" s="184">
        <f t="shared" si="6"/>
        <v>33.340896000000001</v>
      </c>
      <c r="U23" s="184">
        <f t="shared" si="7"/>
        <v>25.151904000000005</v>
      </c>
      <c r="W23" s="745"/>
      <c r="X23" s="745"/>
      <c r="Y23" s="430"/>
    </row>
    <row r="24" spans="1:26" ht="28.5" customHeight="1" x14ac:dyDescent="0.25">
      <c r="A24" s="314"/>
      <c r="B24" s="316">
        <v>3221108</v>
      </c>
      <c r="C24" s="317" t="s">
        <v>38</v>
      </c>
      <c r="D24" s="184">
        <v>3</v>
      </c>
      <c r="E24" s="183">
        <v>0.08</v>
      </c>
      <c r="F24" s="183">
        <v>0.749</v>
      </c>
      <c r="G24" s="183">
        <v>0.01</v>
      </c>
      <c r="H24" s="183">
        <v>0.22</v>
      </c>
      <c r="I24" s="183">
        <v>0.1</v>
      </c>
      <c r="J24" s="183">
        <v>0.91</v>
      </c>
      <c r="K24" s="183">
        <v>0.51205000000000012</v>
      </c>
      <c r="L24" s="183">
        <v>0.41894999999999999</v>
      </c>
      <c r="M24" s="429">
        <v>0.90200000000000002</v>
      </c>
      <c r="N24" s="184">
        <f t="shared" si="0"/>
        <v>7.2160000000000002E-2</v>
      </c>
      <c r="O24" s="184">
        <f t="shared" si="1"/>
        <v>0.67559800000000003</v>
      </c>
      <c r="P24" s="184">
        <f t="shared" si="2"/>
        <v>9.0200000000000002E-3</v>
      </c>
      <c r="Q24" s="184">
        <f t="shared" si="3"/>
        <v>0.19844000000000001</v>
      </c>
      <c r="R24" s="184">
        <f t="shared" si="4"/>
        <v>9.0200000000000002E-2</v>
      </c>
      <c r="S24" s="184">
        <f t="shared" si="5"/>
        <v>0.82082000000000011</v>
      </c>
      <c r="T24" s="184">
        <f t="shared" si="6"/>
        <v>0.46186910000000014</v>
      </c>
      <c r="U24" s="184">
        <f t="shared" si="7"/>
        <v>0.37789289999999998</v>
      </c>
      <c r="W24" s="745"/>
      <c r="X24" s="745"/>
      <c r="Y24" s="430"/>
    </row>
    <row r="25" spans="1:26" ht="18" customHeight="1" x14ac:dyDescent="0.25">
      <c r="A25" s="314"/>
      <c r="B25" s="316">
        <v>3255102</v>
      </c>
      <c r="C25" s="317" t="s">
        <v>39</v>
      </c>
      <c r="D25" s="184">
        <v>50</v>
      </c>
      <c r="E25" s="183">
        <v>0.2</v>
      </c>
      <c r="F25" s="183">
        <v>6.9940000000000007</v>
      </c>
      <c r="G25" s="183">
        <v>16.989999999999998</v>
      </c>
      <c r="H25" s="183">
        <v>6</v>
      </c>
      <c r="I25" s="183">
        <v>3.98</v>
      </c>
      <c r="J25" s="183">
        <v>0.5</v>
      </c>
      <c r="K25" s="183">
        <v>9.3549600000000037</v>
      </c>
      <c r="L25" s="183">
        <v>5.9810400000000028</v>
      </c>
      <c r="M25" s="429">
        <v>0.81200000000000006</v>
      </c>
      <c r="N25" s="184">
        <f t="shared" si="0"/>
        <v>0.16240000000000002</v>
      </c>
      <c r="O25" s="184">
        <f t="shared" si="1"/>
        <v>5.6791280000000013</v>
      </c>
      <c r="P25" s="184">
        <f t="shared" si="2"/>
        <v>13.79588</v>
      </c>
      <c r="Q25" s="184">
        <f t="shared" si="3"/>
        <v>4.8719999999999999</v>
      </c>
      <c r="R25" s="184">
        <f t="shared" si="4"/>
        <v>3.2317600000000004</v>
      </c>
      <c r="S25" s="184">
        <f t="shared" si="5"/>
        <v>0.40600000000000003</v>
      </c>
      <c r="T25" s="184">
        <f t="shared" si="6"/>
        <v>7.5962275200000038</v>
      </c>
      <c r="U25" s="184">
        <f t="shared" si="7"/>
        <v>4.8566044800000023</v>
      </c>
      <c r="W25" s="745"/>
      <c r="X25" s="745"/>
      <c r="Y25" s="430"/>
    </row>
    <row r="26" spans="1:26" ht="18" customHeight="1" x14ac:dyDescent="0.25">
      <c r="A26" s="314"/>
      <c r="B26" s="316">
        <v>3255104</v>
      </c>
      <c r="C26" s="317" t="s">
        <v>40</v>
      </c>
      <c r="D26" s="184">
        <v>120</v>
      </c>
      <c r="E26" s="183">
        <v>0.97</v>
      </c>
      <c r="F26" s="183">
        <v>6.9720000000000004</v>
      </c>
      <c r="G26" s="183">
        <v>11.2</v>
      </c>
      <c r="H26" s="183">
        <v>12.79</v>
      </c>
      <c r="I26" s="183">
        <v>17.98</v>
      </c>
      <c r="J26" s="183">
        <v>19.95</v>
      </c>
      <c r="K26" s="183">
        <v>31.586939999999998</v>
      </c>
      <c r="L26" s="183">
        <v>18.55106</v>
      </c>
      <c r="M26" s="429">
        <v>0.81200000000000006</v>
      </c>
      <c r="N26" s="184">
        <f t="shared" si="0"/>
        <v>0.78764000000000001</v>
      </c>
      <c r="O26" s="184">
        <f t="shared" si="1"/>
        <v>5.661264000000001</v>
      </c>
      <c r="P26" s="184">
        <f t="shared" si="2"/>
        <v>9.0944000000000003</v>
      </c>
      <c r="Q26" s="184">
        <f t="shared" si="3"/>
        <v>10.385479999999999</v>
      </c>
      <c r="R26" s="184">
        <f t="shared" si="4"/>
        <v>14.599760000000002</v>
      </c>
      <c r="S26" s="184">
        <f t="shared" si="5"/>
        <v>16.199400000000001</v>
      </c>
      <c r="T26" s="184">
        <f t="shared" si="6"/>
        <v>25.648595280000002</v>
      </c>
      <c r="U26" s="184">
        <f t="shared" si="7"/>
        <v>15.06346072</v>
      </c>
      <c r="W26" s="745"/>
      <c r="X26" s="745"/>
      <c r="Y26" s="430"/>
    </row>
    <row r="27" spans="1:26" ht="18" customHeight="1" x14ac:dyDescent="0.25">
      <c r="A27" s="314"/>
      <c r="B27" s="319">
        <v>3211127</v>
      </c>
      <c r="C27" s="317" t="s">
        <v>41</v>
      </c>
      <c r="D27" s="184">
        <v>2</v>
      </c>
      <c r="E27" s="183">
        <v>0</v>
      </c>
      <c r="F27" s="183">
        <v>0.1</v>
      </c>
      <c r="G27" s="183">
        <v>0.03</v>
      </c>
      <c r="H27" s="183">
        <v>0.05</v>
      </c>
      <c r="I27" s="183">
        <v>0.1</v>
      </c>
      <c r="J27" s="183">
        <v>0.2</v>
      </c>
      <c r="K27" s="183">
        <v>0.88159999999999994</v>
      </c>
      <c r="L27" s="183">
        <v>0.63839999999999997</v>
      </c>
      <c r="M27" s="429">
        <v>0.81200000000000006</v>
      </c>
      <c r="N27" s="184">
        <f t="shared" si="0"/>
        <v>0</v>
      </c>
      <c r="O27" s="184">
        <f t="shared" si="1"/>
        <v>8.1200000000000008E-2</v>
      </c>
      <c r="P27" s="184">
        <f t="shared" si="2"/>
        <v>2.436E-2</v>
      </c>
      <c r="Q27" s="184">
        <f t="shared" si="3"/>
        <v>4.0600000000000004E-2</v>
      </c>
      <c r="R27" s="184">
        <f t="shared" si="4"/>
        <v>8.1200000000000008E-2</v>
      </c>
      <c r="S27" s="184">
        <f t="shared" si="5"/>
        <v>0.16240000000000002</v>
      </c>
      <c r="T27" s="184">
        <f t="shared" si="6"/>
        <v>0.71585920000000003</v>
      </c>
      <c r="U27" s="184">
        <f t="shared" si="7"/>
        <v>0.51838079999999997</v>
      </c>
      <c r="W27" s="745"/>
      <c r="X27" s="745"/>
      <c r="Y27" s="430"/>
    </row>
    <row r="28" spans="1:26" ht="18" customHeight="1" x14ac:dyDescent="0.25">
      <c r="A28" s="314"/>
      <c r="B28" s="320"/>
      <c r="C28" s="317" t="s">
        <v>42</v>
      </c>
      <c r="D28" s="184"/>
      <c r="E28" s="183"/>
      <c r="F28" s="183"/>
      <c r="G28" s="183"/>
      <c r="H28" s="183"/>
      <c r="I28" s="183"/>
      <c r="J28" s="183"/>
      <c r="K28" s="183"/>
      <c r="L28" s="183"/>
      <c r="M28" s="429"/>
      <c r="N28" s="184"/>
      <c r="O28" s="184"/>
      <c r="P28" s="184"/>
      <c r="Q28" s="184"/>
      <c r="R28" s="184"/>
      <c r="S28" s="184"/>
      <c r="T28" s="184"/>
      <c r="U28" s="184"/>
      <c r="W28" s="745"/>
      <c r="X28" s="745"/>
      <c r="Y28" s="430"/>
    </row>
    <row r="29" spans="1:26" ht="45.75" customHeight="1" x14ac:dyDescent="0.25">
      <c r="A29" s="314"/>
      <c r="B29" s="601">
        <v>3231201</v>
      </c>
      <c r="C29" s="317" t="s">
        <v>43</v>
      </c>
      <c r="D29" s="184">
        <v>119</v>
      </c>
      <c r="E29" s="183">
        <v>0</v>
      </c>
      <c r="F29" s="183">
        <v>0</v>
      </c>
      <c r="G29" s="183">
        <v>0</v>
      </c>
      <c r="H29" s="183">
        <v>0</v>
      </c>
      <c r="I29" s="183">
        <v>0</v>
      </c>
      <c r="J29" s="183">
        <v>0</v>
      </c>
      <c r="K29" s="183">
        <v>119</v>
      </c>
      <c r="L29" s="183">
        <v>0</v>
      </c>
      <c r="M29" s="429">
        <v>0.90200000000000002</v>
      </c>
      <c r="N29" s="184">
        <f t="shared" ref="N29:N41" si="8">M29*E29</f>
        <v>0</v>
      </c>
      <c r="O29" s="184">
        <f t="shared" ref="O29:O41" si="9">M29*F29</f>
        <v>0</v>
      </c>
      <c r="P29" s="184">
        <f t="shared" ref="P29:P41" si="10">M29*G29</f>
        <v>0</v>
      </c>
      <c r="Q29" s="184">
        <f t="shared" ref="Q29:Q41" si="11">M29*H29</f>
        <v>0</v>
      </c>
      <c r="R29" s="184">
        <f t="shared" ref="R29:R41" si="12">M29*I29</f>
        <v>0</v>
      </c>
      <c r="S29" s="184">
        <f t="shared" ref="S29:S41" si="13">M29*J29</f>
        <v>0</v>
      </c>
      <c r="T29" s="184">
        <f t="shared" ref="T29:T41" si="14">M29*K29</f>
        <v>107.33800000000001</v>
      </c>
      <c r="U29" s="184">
        <f t="shared" ref="U29:U41" si="15">M29*L29</f>
        <v>0</v>
      </c>
      <c r="W29" s="745"/>
      <c r="X29" s="745"/>
      <c r="Y29" s="430"/>
    </row>
    <row r="30" spans="1:26" ht="48" customHeight="1" x14ac:dyDescent="0.25">
      <c r="A30" s="314"/>
      <c r="B30" s="602">
        <v>3231201</v>
      </c>
      <c r="C30" s="317" t="s">
        <v>44</v>
      </c>
      <c r="D30" s="184">
        <v>536.70000000000005</v>
      </c>
      <c r="E30" s="183">
        <v>0</v>
      </c>
      <c r="F30" s="183">
        <v>9.2200000000000006</v>
      </c>
      <c r="G30" s="183">
        <v>29.86</v>
      </c>
      <c r="H30" s="183">
        <v>86.55</v>
      </c>
      <c r="I30" s="183">
        <v>175.87</v>
      </c>
      <c r="J30" s="183">
        <v>22.21</v>
      </c>
      <c r="K30" s="183">
        <v>127.794</v>
      </c>
      <c r="L30" s="183">
        <v>85.196000000000026</v>
      </c>
      <c r="M30" s="429">
        <v>0.90200000000000002</v>
      </c>
      <c r="N30" s="184">
        <f t="shared" si="8"/>
        <v>0</v>
      </c>
      <c r="O30" s="184">
        <f t="shared" si="9"/>
        <v>8.3164400000000001</v>
      </c>
      <c r="P30" s="184">
        <f t="shared" si="10"/>
        <v>26.933720000000001</v>
      </c>
      <c r="Q30" s="184">
        <f t="shared" si="11"/>
        <v>78.068100000000001</v>
      </c>
      <c r="R30" s="184">
        <f t="shared" si="12"/>
        <v>158.63474000000002</v>
      </c>
      <c r="S30" s="184">
        <f t="shared" si="13"/>
        <v>20.03342</v>
      </c>
      <c r="T30" s="184">
        <f t="shared" si="14"/>
        <v>115.270188</v>
      </c>
      <c r="U30" s="184">
        <f t="shared" si="15"/>
        <v>76.846792000000022</v>
      </c>
      <c r="W30" s="745">
        <f>SUM(E30:L30)</f>
        <v>536.70000000000005</v>
      </c>
      <c r="X30" s="745">
        <f>SUM(N30:U30)</f>
        <v>484.10340000000008</v>
      </c>
      <c r="Y30" s="430">
        <f>M30</f>
        <v>0.90200000000000002</v>
      </c>
      <c r="Z30" s="746">
        <f>W30*Y30</f>
        <v>484.10340000000008</v>
      </c>
    </row>
    <row r="31" spans="1:26" ht="105" customHeight="1" x14ac:dyDescent="0.25">
      <c r="A31" s="314"/>
      <c r="B31" s="602">
        <v>3231201</v>
      </c>
      <c r="C31" s="317" t="s">
        <v>45</v>
      </c>
      <c r="D31" s="184">
        <v>2957.63</v>
      </c>
      <c r="E31" s="183">
        <v>0</v>
      </c>
      <c r="F31" s="183">
        <v>0</v>
      </c>
      <c r="G31" s="183">
        <v>199.49</v>
      </c>
      <c r="H31" s="183">
        <v>524.89</v>
      </c>
      <c r="I31" s="183">
        <v>622.25</v>
      </c>
      <c r="J31" s="183">
        <v>338.12</v>
      </c>
      <c r="K31" s="183">
        <v>801.91440000000011</v>
      </c>
      <c r="L31" s="183">
        <v>470.96560000000011</v>
      </c>
      <c r="M31" s="429">
        <v>0.90200000000000002</v>
      </c>
      <c r="N31" s="184">
        <f t="shared" si="8"/>
        <v>0</v>
      </c>
      <c r="O31" s="184">
        <f t="shared" si="9"/>
        <v>0</v>
      </c>
      <c r="P31" s="184">
        <f t="shared" si="10"/>
        <v>179.93998000000002</v>
      </c>
      <c r="Q31" s="184">
        <f t="shared" si="11"/>
        <v>473.45078000000001</v>
      </c>
      <c r="R31" s="184">
        <f t="shared" si="12"/>
        <v>561.26949999999999</v>
      </c>
      <c r="S31" s="184">
        <f t="shared" si="13"/>
        <v>304.98424</v>
      </c>
      <c r="T31" s="184">
        <f t="shared" si="14"/>
        <v>723.32678880000014</v>
      </c>
      <c r="U31" s="184">
        <f t="shared" si="15"/>
        <v>424.8109712000001</v>
      </c>
      <c r="W31" s="745">
        <f>SUM(E31:L31)</f>
        <v>2957.63</v>
      </c>
      <c r="X31" s="745">
        <f>SUM(N31:U31)</f>
        <v>2667.7822600000004</v>
      </c>
      <c r="Y31" s="430">
        <f>M31</f>
        <v>0.90200000000000002</v>
      </c>
      <c r="Z31" s="746">
        <f>W31*Y31</f>
        <v>2667.78226</v>
      </c>
    </row>
    <row r="32" spans="1:26" ht="120" customHeight="1" x14ac:dyDescent="0.25">
      <c r="A32" s="323"/>
      <c r="B32" s="603">
        <v>3231201</v>
      </c>
      <c r="C32" s="324" t="s">
        <v>46</v>
      </c>
      <c r="D32" s="184">
        <v>1043.6099999999999</v>
      </c>
      <c r="E32" s="183">
        <v>0</v>
      </c>
      <c r="F32" s="183">
        <v>0</v>
      </c>
      <c r="G32" s="183">
        <v>119.7</v>
      </c>
      <c r="H32" s="183">
        <v>224.29</v>
      </c>
      <c r="I32" s="183">
        <v>234.21</v>
      </c>
      <c r="J32" s="183">
        <v>82.97</v>
      </c>
      <c r="K32" s="183">
        <v>210.3419999999999</v>
      </c>
      <c r="L32" s="183">
        <v>172.0979999999999</v>
      </c>
      <c r="M32" s="429">
        <v>0.90200000000000002</v>
      </c>
      <c r="N32" s="184">
        <f t="shared" si="8"/>
        <v>0</v>
      </c>
      <c r="O32" s="184">
        <f t="shared" si="9"/>
        <v>0</v>
      </c>
      <c r="P32" s="184">
        <f t="shared" si="10"/>
        <v>107.96940000000001</v>
      </c>
      <c r="Q32" s="184">
        <f t="shared" si="11"/>
        <v>202.30958000000001</v>
      </c>
      <c r="R32" s="184">
        <f t="shared" si="12"/>
        <v>211.25742000000002</v>
      </c>
      <c r="S32" s="184">
        <f t="shared" si="13"/>
        <v>74.838940000000008</v>
      </c>
      <c r="T32" s="184">
        <f t="shared" si="14"/>
        <v>189.72848399999992</v>
      </c>
      <c r="U32" s="184">
        <f t="shared" si="15"/>
        <v>155.23239599999991</v>
      </c>
      <c r="W32" s="745">
        <f>SUM(E32:L32)</f>
        <v>1043.6099999999999</v>
      </c>
      <c r="X32" s="745">
        <f>SUM(N32:U32)</f>
        <v>941.33621999999991</v>
      </c>
      <c r="Y32" s="430">
        <f>M32</f>
        <v>0.90200000000000002</v>
      </c>
      <c r="Z32" s="746">
        <f>W32*Y32</f>
        <v>941.33621999999991</v>
      </c>
    </row>
    <row r="33" spans="1:26" ht="19.5" customHeight="1" x14ac:dyDescent="0.25">
      <c r="A33" s="314"/>
      <c r="B33" s="602">
        <v>3211109</v>
      </c>
      <c r="C33" s="317" t="s">
        <v>47</v>
      </c>
      <c r="D33" s="184">
        <v>22</v>
      </c>
      <c r="E33" s="183">
        <v>0.25</v>
      </c>
      <c r="F33" s="183">
        <v>2.11</v>
      </c>
      <c r="G33" s="183">
        <v>2.35</v>
      </c>
      <c r="H33" s="183">
        <v>2</v>
      </c>
      <c r="I33" s="183">
        <v>4.25</v>
      </c>
      <c r="J33" s="183">
        <v>3.49</v>
      </c>
      <c r="K33" s="183">
        <v>4.6809999999999992</v>
      </c>
      <c r="L33" s="183">
        <v>2.8690000000000002</v>
      </c>
      <c r="M33" s="429">
        <v>0.90200000000000002</v>
      </c>
      <c r="N33" s="184">
        <f t="shared" si="8"/>
        <v>0.22550000000000001</v>
      </c>
      <c r="O33" s="184">
        <f t="shared" si="9"/>
        <v>1.9032199999999999</v>
      </c>
      <c r="P33" s="184">
        <f t="shared" si="10"/>
        <v>2.1196999999999999</v>
      </c>
      <c r="Q33" s="184">
        <f t="shared" si="11"/>
        <v>1.804</v>
      </c>
      <c r="R33" s="184">
        <f t="shared" si="12"/>
        <v>3.8334999999999999</v>
      </c>
      <c r="S33" s="184">
        <f t="shared" si="13"/>
        <v>3.1479800000000004</v>
      </c>
      <c r="T33" s="184">
        <f t="shared" si="14"/>
        <v>4.2222619999999997</v>
      </c>
      <c r="U33" s="184">
        <f t="shared" si="15"/>
        <v>2.5878380000000001</v>
      </c>
      <c r="W33" s="745"/>
      <c r="X33" s="745"/>
      <c r="Y33" s="430"/>
    </row>
    <row r="34" spans="1:26" ht="15.75" customHeight="1" x14ac:dyDescent="0.25">
      <c r="A34" s="314"/>
      <c r="B34" s="602">
        <v>3256103</v>
      </c>
      <c r="C34" s="317" t="s">
        <v>48</v>
      </c>
      <c r="D34" s="184">
        <v>15</v>
      </c>
      <c r="E34" s="183">
        <v>0</v>
      </c>
      <c r="F34" s="183">
        <v>0.99</v>
      </c>
      <c r="G34" s="183">
        <v>0.75</v>
      </c>
      <c r="H34" s="183">
        <v>1</v>
      </c>
      <c r="I34" s="183">
        <v>1</v>
      </c>
      <c r="J34" s="183">
        <v>3</v>
      </c>
      <c r="K34" s="183">
        <v>4.7907999999999999</v>
      </c>
      <c r="L34" s="183">
        <v>3.4691999999999998</v>
      </c>
      <c r="M34" s="429">
        <v>0.81200000000000006</v>
      </c>
      <c r="N34" s="184">
        <f t="shared" si="8"/>
        <v>0</v>
      </c>
      <c r="O34" s="184">
        <f t="shared" si="9"/>
        <v>0.80388000000000004</v>
      </c>
      <c r="P34" s="184">
        <f t="shared" si="10"/>
        <v>0.60899999999999999</v>
      </c>
      <c r="Q34" s="184">
        <f t="shared" si="11"/>
        <v>0.81200000000000006</v>
      </c>
      <c r="R34" s="184">
        <f t="shared" si="12"/>
        <v>0.81200000000000006</v>
      </c>
      <c r="S34" s="184">
        <f t="shared" si="13"/>
        <v>2.4359999999999999</v>
      </c>
      <c r="T34" s="184">
        <f t="shared" si="14"/>
        <v>3.8901296000000003</v>
      </c>
      <c r="U34" s="184">
        <f t="shared" si="15"/>
        <v>2.8169903999999999</v>
      </c>
      <c r="W34" s="745">
        <f>SUM(E34:L34)</f>
        <v>15</v>
      </c>
      <c r="X34" s="745">
        <f>SUM(N34:U34)</f>
        <v>12.18</v>
      </c>
      <c r="Y34" s="430">
        <f>M34</f>
        <v>0.81200000000000006</v>
      </c>
      <c r="Z34" s="746">
        <f>W34*Y34</f>
        <v>12.180000000000001</v>
      </c>
    </row>
    <row r="35" spans="1:26" ht="27.75" customHeight="1" x14ac:dyDescent="0.25">
      <c r="A35" s="314"/>
      <c r="B35" s="604">
        <v>3257101</v>
      </c>
      <c r="C35" s="317" t="s">
        <v>49</v>
      </c>
      <c r="D35" s="184">
        <v>7901.4</v>
      </c>
      <c r="E35" s="183">
        <v>849.67</v>
      </c>
      <c r="F35" s="183">
        <v>1849.425</v>
      </c>
      <c r="G35" s="183">
        <v>1123.1500000000001</v>
      </c>
      <c r="H35" s="183">
        <v>689.33</v>
      </c>
      <c r="I35" s="183">
        <v>686.43</v>
      </c>
      <c r="J35" s="183">
        <v>450</v>
      </c>
      <c r="K35" s="183">
        <v>1374.57095</v>
      </c>
      <c r="L35" s="183">
        <v>878.82404999999983</v>
      </c>
      <c r="M35" s="429">
        <v>0.90200000000000002</v>
      </c>
      <c r="N35" s="184">
        <f t="shared" si="8"/>
        <v>766.40233999999998</v>
      </c>
      <c r="O35" s="184">
        <f t="shared" si="9"/>
        <v>1668.1813500000001</v>
      </c>
      <c r="P35" s="184">
        <f t="shared" si="10"/>
        <v>1013.0813000000001</v>
      </c>
      <c r="Q35" s="184">
        <f t="shared" si="11"/>
        <v>621.77566000000002</v>
      </c>
      <c r="R35" s="184">
        <f t="shared" si="12"/>
        <v>619.15985999999998</v>
      </c>
      <c r="S35" s="184">
        <f t="shared" si="13"/>
        <v>405.90000000000003</v>
      </c>
      <c r="T35" s="184">
        <f t="shared" si="14"/>
        <v>1239.8629969000001</v>
      </c>
      <c r="U35" s="184">
        <f t="shared" si="15"/>
        <v>792.69929309999986</v>
      </c>
      <c r="W35" s="745">
        <f>SUM(E35:L35)</f>
        <v>7901.4000000000005</v>
      </c>
      <c r="X35" s="745">
        <f>SUM(N35:U35)</f>
        <v>7127.0627999999997</v>
      </c>
      <c r="Y35" s="430">
        <f>M35</f>
        <v>0.90200000000000002</v>
      </c>
      <c r="Z35" s="746">
        <f>W35*Y35</f>
        <v>7127.0628000000006</v>
      </c>
    </row>
    <row r="36" spans="1:26" ht="45.75" customHeight="1" x14ac:dyDescent="0.25">
      <c r="A36" s="314"/>
      <c r="B36" s="605">
        <v>3111332</v>
      </c>
      <c r="C36" s="317" t="s">
        <v>53</v>
      </c>
      <c r="D36" s="184">
        <v>30</v>
      </c>
      <c r="E36" s="183">
        <v>0.4</v>
      </c>
      <c r="F36" s="183">
        <v>1.33</v>
      </c>
      <c r="G36" s="183">
        <v>1.5</v>
      </c>
      <c r="H36" s="183">
        <v>4.5</v>
      </c>
      <c r="I36" s="183">
        <v>5</v>
      </c>
      <c r="J36" s="183">
        <v>3</v>
      </c>
      <c r="K36" s="183">
        <v>8.2765999999999984</v>
      </c>
      <c r="L36" s="183">
        <v>5.9933999999999994</v>
      </c>
      <c r="M36" s="429">
        <v>0.90200000000000002</v>
      </c>
      <c r="N36" s="184">
        <f t="shared" si="8"/>
        <v>0.36080000000000001</v>
      </c>
      <c r="O36" s="184">
        <f t="shared" si="9"/>
        <v>1.1996600000000002</v>
      </c>
      <c r="P36" s="184">
        <f t="shared" si="10"/>
        <v>1.353</v>
      </c>
      <c r="Q36" s="184">
        <f t="shared" si="11"/>
        <v>4.0590000000000002</v>
      </c>
      <c r="R36" s="184">
        <f t="shared" si="12"/>
        <v>4.51</v>
      </c>
      <c r="S36" s="184">
        <f t="shared" si="13"/>
        <v>2.706</v>
      </c>
      <c r="T36" s="184">
        <f t="shared" si="14"/>
        <v>7.4654931999999992</v>
      </c>
      <c r="U36" s="184">
        <f t="shared" si="15"/>
        <v>5.4060467999999995</v>
      </c>
      <c r="W36" s="745">
        <f>SUM(E36:L36)</f>
        <v>30</v>
      </c>
      <c r="X36" s="745">
        <f>SUM(N36:U36)</f>
        <v>27.059999999999995</v>
      </c>
      <c r="Y36" s="430">
        <f>M36</f>
        <v>0.90200000000000002</v>
      </c>
      <c r="Z36" s="746">
        <f>W36*Y36</f>
        <v>27.060000000000002</v>
      </c>
    </row>
    <row r="37" spans="1:26" ht="21" customHeight="1" x14ac:dyDescent="0.25">
      <c r="A37" s="314"/>
      <c r="B37" s="604">
        <v>3111332</v>
      </c>
      <c r="C37" s="317" t="s">
        <v>54</v>
      </c>
      <c r="D37" s="184">
        <v>10</v>
      </c>
      <c r="E37" s="183">
        <v>0</v>
      </c>
      <c r="F37" s="183">
        <v>0</v>
      </c>
      <c r="G37" s="183">
        <v>0.27</v>
      </c>
      <c r="H37" s="183">
        <v>0.25</v>
      </c>
      <c r="I37" s="183">
        <v>0.77</v>
      </c>
      <c r="J37" s="183">
        <v>0.41</v>
      </c>
      <c r="K37" s="183">
        <v>8.3000000000000007</v>
      </c>
      <c r="L37" s="183">
        <v>0</v>
      </c>
      <c r="M37" s="429">
        <v>0.90200000000000002</v>
      </c>
      <c r="N37" s="184">
        <f t="shared" si="8"/>
        <v>0</v>
      </c>
      <c r="O37" s="184">
        <f t="shared" si="9"/>
        <v>0</v>
      </c>
      <c r="P37" s="184">
        <f t="shared" si="10"/>
        <v>0.24354000000000003</v>
      </c>
      <c r="Q37" s="184">
        <f t="shared" si="11"/>
        <v>0.22550000000000001</v>
      </c>
      <c r="R37" s="184">
        <f t="shared" si="12"/>
        <v>0.69454000000000005</v>
      </c>
      <c r="S37" s="184">
        <f t="shared" si="13"/>
        <v>0.36981999999999998</v>
      </c>
      <c r="T37" s="184">
        <f t="shared" si="14"/>
        <v>7.486600000000001</v>
      </c>
      <c r="U37" s="184">
        <f t="shared" si="15"/>
        <v>0</v>
      </c>
      <c r="W37" s="745"/>
      <c r="X37" s="745"/>
      <c r="Y37" s="430"/>
    </row>
    <row r="38" spans="1:26" ht="19.5" customHeight="1" x14ac:dyDescent="0.25">
      <c r="A38" s="314"/>
      <c r="B38" s="604">
        <v>3111332</v>
      </c>
      <c r="C38" s="317" t="s">
        <v>55</v>
      </c>
      <c r="D38" s="184">
        <v>10</v>
      </c>
      <c r="E38" s="183">
        <v>0</v>
      </c>
      <c r="F38" s="183">
        <v>0</v>
      </c>
      <c r="G38" s="183">
        <v>0.3</v>
      </c>
      <c r="H38" s="183">
        <v>0.25</v>
      </c>
      <c r="I38" s="183">
        <v>0.75</v>
      </c>
      <c r="J38" s="183">
        <v>0.41</v>
      </c>
      <c r="K38" s="183">
        <v>4.1449999999999996</v>
      </c>
      <c r="L38" s="183">
        <v>4.1449999999999996</v>
      </c>
      <c r="M38" s="429">
        <v>0.90200000000000002</v>
      </c>
      <c r="N38" s="184">
        <f t="shared" si="8"/>
        <v>0</v>
      </c>
      <c r="O38" s="184">
        <f t="shared" si="9"/>
        <v>0</v>
      </c>
      <c r="P38" s="184">
        <f t="shared" si="10"/>
        <v>0.27060000000000001</v>
      </c>
      <c r="Q38" s="184">
        <f t="shared" si="11"/>
        <v>0.22550000000000001</v>
      </c>
      <c r="R38" s="184">
        <f t="shared" si="12"/>
        <v>0.67649999999999999</v>
      </c>
      <c r="S38" s="184">
        <f t="shared" si="13"/>
        <v>0.36981999999999998</v>
      </c>
      <c r="T38" s="184">
        <f t="shared" si="14"/>
        <v>3.7387899999999998</v>
      </c>
      <c r="U38" s="184">
        <f t="shared" si="15"/>
        <v>3.7387899999999998</v>
      </c>
      <c r="W38" s="745"/>
      <c r="X38" s="745"/>
      <c r="Y38" s="430"/>
    </row>
    <row r="39" spans="1:26" ht="19.5" customHeight="1" x14ac:dyDescent="0.25">
      <c r="A39" s="314"/>
      <c r="B39" s="605">
        <v>3257104</v>
      </c>
      <c r="C39" s="317" t="s">
        <v>56</v>
      </c>
      <c r="D39" s="184">
        <v>162</v>
      </c>
      <c r="E39" s="183">
        <v>0</v>
      </c>
      <c r="F39" s="183">
        <v>7.62</v>
      </c>
      <c r="G39" s="183">
        <v>17.47</v>
      </c>
      <c r="H39" s="183">
        <v>30</v>
      </c>
      <c r="I39" s="183">
        <v>29.93</v>
      </c>
      <c r="J39" s="183">
        <v>30</v>
      </c>
      <c r="K39" s="183">
        <v>26.77859999999999</v>
      </c>
      <c r="L39" s="183">
        <v>20.2014</v>
      </c>
      <c r="M39" s="429">
        <v>0.90200000000000002</v>
      </c>
      <c r="N39" s="184">
        <f t="shared" si="8"/>
        <v>0</v>
      </c>
      <c r="O39" s="184">
        <f t="shared" si="9"/>
        <v>6.87324</v>
      </c>
      <c r="P39" s="184">
        <f t="shared" si="10"/>
        <v>15.75794</v>
      </c>
      <c r="Q39" s="184">
        <f t="shared" si="11"/>
        <v>27.060000000000002</v>
      </c>
      <c r="R39" s="184">
        <f t="shared" si="12"/>
        <v>26.996860000000002</v>
      </c>
      <c r="S39" s="184">
        <f t="shared" si="13"/>
        <v>27.060000000000002</v>
      </c>
      <c r="T39" s="184">
        <f t="shared" si="14"/>
        <v>24.154297199999991</v>
      </c>
      <c r="U39" s="184">
        <f t="shared" si="15"/>
        <v>18.221662800000001</v>
      </c>
      <c r="W39" s="745"/>
      <c r="X39" s="745"/>
      <c r="Y39" s="430"/>
    </row>
    <row r="40" spans="1:26" ht="17.25" customHeight="1" x14ac:dyDescent="0.25">
      <c r="A40" s="314"/>
      <c r="B40" s="605">
        <v>3255101</v>
      </c>
      <c r="C40" s="317" t="s">
        <v>57</v>
      </c>
      <c r="D40" s="184">
        <v>60</v>
      </c>
      <c r="E40" s="183">
        <v>0.49</v>
      </c>
      <c r="F40" s="183">
        <v>1.4990000000000001</v>
      </c>
      <c r="G40" s="183">
        <v>4.5</v>
      </c>
      <c r="H40" s="183">
        <v>6.48</v>
      </c>
      <c r="I40" s="183">
        <v>7.5</v>
      </c>
      <c r="J40" s="183">
        <v>10</v>
      </c>
      <c r="K40" s="183">
        <v>16.242049999999999</v>
      </c>
      <c r="L40" s="183">
        <v>13.28895</v>
      </c>
      <c r="M40" s="429">
        <v>0.90200000000000002</v>
      </c>
      <c r="N40" s="184">
        <f t="shared" si="8"/>
        <v>0.44197999999999998</v>
      </c>
      <c r="O40" s="184">
        <f t="shared" si="9"/>
        <v>1.3520980000000002</v>
      </c>
      <c r="P40" s="184">
        <f t="shared" si="10"/>
        <v>4.0590000000000002</v>
      </c>
      <c r="Q40" s="184">
        <f t="shared" si="11"/>
        <v>5.8449600000000004</v>
      </c>
      <c r="R40" s="184">
        <f t="shared" si="12"/>
        <v>6.7650000000000006</v>
      </c>
      <c r="S40" s="184">
        <f t="shared" si="13"/>
        <v>9.02</v>
      </c>
      <c r="T40" s="184">
        <f t="shared" si="14"/>
        <v>14.650329099999999</v>
      </c>
      <c r="U40" s="184">
        <f t="shared" si="15"/>
        <v>11.9866329</v>
      </c>
      <c r="W40" s="745">
        <f>SUM(E40:L40)</f>
        <v>60</v>
      </c>
      <c r="X40" s="745">
        <f>SUM(N40:U40)</f>
        <v>54.120000000000005</v>
      </c>
      <c r="Y40" s="430">
        <f>M40</f>
        <v>0.90200000000000002</v>
      </c>
      <c r="Z40" s="746">
        <f>W40*Y40</f>
        <v>54.120000000000005</v>
      </c>
    </row>
    <row r="41" spans="1:26" ht="27" customHeight="1" x14ac:dyDescent="0.25">
      <c r="A41" s="314"/>
      <c r="B41" s="606">
        <v>3256101</v>
      </c>
      <c r="C41" s="317" t="s">
        <v>58</v>
      </c>
      <c r="D41" s="184">
        <v>1700</v>
      </c>
      <c r="E41" s="183">
        <v>0</v>
      </c>
      <c r="F41" s="183">
        <v>84.31</v>
      </c>
      <c r="G41" s="183">
        <v>227.97</v>
      </c>
      <c r="H41" s="183">
        <v>263.24</v>
      </c>
      <c r="I41" s="183">
        <v>299.93</v>
      </c>
      <c r="J41" s="183">
        <v>299.95999999999998</v>
      </c>
      <c r="K41" s="183">
        <v>299.01629999999989</v>
      </c>
      <c r="L41" s="183">
        <v>225.5737</v>
      </c>
      <c r="M41" s="429">
        <v>0.86</v>
      </c>
      <c r="N41" s="184">
        <f t="shared" si="8"/>
        <v>0</v>
      </c>
      <c r="O41" s="184">
        <f t="shared" si="9"/>
        <v>72.506600000000006</v>
      </c>
      <c r="P41" s="184">
        <f t="shared" si="10"/>
        <v>196.05420000000001</v>
      </c>
      <c r="Q41" s="184">
        <f t="shared" si="11"/>
        <v>226.38640000000001</v>
      </c>
      <c r="R41" s="184">
        <f t="shared" si="12"/>
        <v>257.93979999999999</v>
      </c>
      <c r="S41" s="184">
        <f t="shared" si="13"/>
        <v>257.96559999999999</v>
      </c>
      <c r="T41" s="184">
        <f t="shared" si="14"/>
        <v>257.15401799999989</v>
      </c>
      <c r="U41" s="184">
        <f t="shared" si="15"/>
        <v>193.993382</v>
      </c>
      <c r="W41" s="745"/>
      <c r="X41" s="745">
        <f>SUM(N41:U41)</f>
        <v>1462</v>
      </c>
      <c r="Y41" s="430">
        <f>M41</f>
        <v>0.86</v>
      </c>
    </row>
    <row r="42" spans="1:26" ht="17.25" customHeight="1" x14ac:dyDescent="0.25">
      <c r="A42" s="314"/>
      <c r="B42" s="315"/>
      <c r="C42" s="326" t="s">
        <v>145</v>
      </c>
      <c r="D42" s="184"/>
      <c r="E42" s="183"/>
      <c r="F42" s="183"/>
      <c r="G42" s="183"/>
      <c r="H42" s="183"/>
      <c r="I42" s="183"/>
      <c r="J42" s="183"/>
      <c r="K42" s="183"/>
      <c r="L42" s="183"/>
      <c r="M42" s="429"/>
      <c r="N42" s="429"/>
      <c r="O42" s="429"/>
      <c r="P42" s="429"/>
      <c r="Q42" s="429"/>
      <c r="R42" s="184"/>
      <c r="S42" s="184"/>
      <c r="T42" s="184"/>
      <c r="U42" s="184"/>
      <c r="W42" s="745"/>
      <c r="X42" s="745"/>
      <c r="Y42" s="430"/>
    </row>
    <row r="43" spans="1:26" ht="17.25" customHeight="1" x14ac:dyDescent="0.25">
      <c r="A43" s="314"/>
      <c r="B43" s="316">
        <v>3258101</v>
      </c>
      <c r="C43" s="326" t="s">
        <v>60</v>
      </c>
      <c r="D43" s="184">
        <v>125</v>
      </c>
      <c r="E43" s="183">
        <v>0.98</v>
      </c>
      <c r="F43" s="183">
        <v>5.9670000000000014</v>
      </c>
      <c r="G43" s="183">
        <v>12</v>
      </c>
      <c r="H43" s="183">
        <v>21.99</v>
      </c>
      <c r="I43" s="183">
        <v>20.46</v>
      </c>
      <c r="J43" s="183">
        <v>14.97</v>
      </c>
      <c r="K43" s="183">
        <v>26.748149999999999</v>
      </c>
      <c r="L43" s="183">
        <v>21.88485</v>
      </c>
      <c r="M43" s="429">
        <v>0.86</v>
      </c>
      <c r="N43" s="184">
        <f t="shared" ref="N43:N49" si="16">M43*E43</f>
        <v>0.84279999999999999</v>
      </c>
      <c r="O43" s="184">
        <f t="shared" ref="O43:O49" si="17">M43*F43</f>
        <v>5.1316200000000007</v>
      </c>
      <c r="P43" s="184">
        <f t="shared" ref="P43:P49" si="18">M43*G43</f>
        <v>10.32</v>
      </c>
      <c r="Q43" s="184">
        <f t="shared" ref="Q43:Q49" si="19">M43*H43</f>
        <v>18.911399999999997</v>
      </c>
      <c r="R43" s="184">
        <f t="shared" ref="R43:R49" si="20">M43*I43</f>
        <v>17.595600000000001</v>
      </c>
      <c r="S43" s="184">
        <f t="shared" ref="S43:S49" si="21">M43*J43</f>
        <v>12.8742</v>
      </c>
      <c r="T43" s="184">
        <f t="shared" ref="T43:T49" si="22">M43*K43</f>
        <v>23.003408999999998</v>
      </c>
      <c r="U43" s="184">
        <f t="shared" ref="U43:U49" si="23">M43*L43</f>
        <v>18.820971</v>
      </c>
      <c r="W43" s="745"/>
      <c r="X43" s="745"/>
      <c r="Y43" s="430"/>
    </row>
    <row r="44" spans="1:26" ht="17.25" customHeight="1" x14ac:dyDescent="0.25">
      <c r="A44" s="314"/>
      <c r="B44" s="316">
        <v>3258102</v>
      </c>
      <c r="C44" s="326" t="s">
        <v>62</v>
      </c>
      <c r="D44" s="184">
        <v>10</v>
      </c>
      <c r="E44" s="183">
        <v>0</v>
      </c>
      <c r="F44" s="183">
        <v>0.49</v>
      </c>
      <c r="G44" s="183">
        <v>0.74</v>
      </c>
      <c r="H44" s="183">
        <v>0.98</v>
      </c>
      <c r="I44" s="183">
        <v>0.99</v>
      </c>
      <c r="J44" s="183">
        <v>1.1100000000000001</v>
      </c>
      <c r="K44" s="183">
        <v>3.4140000000000001</v>
      </c>
      <c r="L44" s="183">
        <v>2.2759999999999998</v>
      </c>
      <c r="M44" s="429">
        <v>0.86</v>
      </c>
      <c r="N44" s="184">
        <f t="shared" si="16"/>
        <v>0</v>
      </c>
      <c r="O44" s="184">
        <f t="shared" si="17"/>
        <v>0.4214</v>
      </c>
      <c r="P44" s="184">
        <f t="shared" si="18"/>
        <v>0.63639999999999997</v>
      </c>
      <c r="Q44" s="184">
        <f t="shared" si="19"/>
        <v>0.84279999999999999</v>
      </c>
      <c r="R44" s="184">
        <f t="shared" si="20"/>
        <v>0.85139999999999993</v>
      </c>
      <c r="S44" s="184">
        <f t="shared" si="21"/>
        <v>0.95460000000000012</v>
      </c>
      <c r="T44" s="184">
        <f t="shared" si="22"/>
        <v>2.9360400000000002</v>
      </c>
      <c r="U44" s="184">
        <f t="shared" si="23"/>
        <v>1.9573599999999998</v>
      </c>
      <c r="W44" s="745"/>
      <c r="X44" s="745"/>
      <c r="Y44" s="430"/>
    </row>
    <row r="45" spans="1:26" ht="17.25" customHeight="1" x14ac:dyDescent="0.25">
      <c r="A45" s="314"/>
      <c r="B45" s="316">
        <v>3258103</v>
      </c>
      <c r="C45" s="326" t="s">
        <v>63</v>
      </c>
      <c r="D45" s="184">
        <v>15</v>
      </c>
      <c r="E45" s="183">
        <v>0</v>
      </c>
      <c r="F45" s="183">
        <v>0.5</v>
      </c>
      <c r="G45" s="183">
        <v>0.85</v>
      </c>
      <c r="H45" s="183">
        <v>2</v>
      </c>
      <c r="I45" s="183">
        <v>1.99</v>
      </c>
      <c r="J45" s="183">
        <v>3</v>
      </c>
      <c r="K45" s="183">
        <v>3.9293999999999998</v>
      </c>
      <c r="L45" s="183">
        <v>2.7305999999999999</v>
      </c>
      <c r="M45" s="429">
        <v>0.86</v>
      </c>
      <c r="N45" s="184">
        <f t="shared" si="16"/>
        <v>0</v>
      </c>
      <c r="O45" s="184">
        <f t="shared" si="17"/>
        <v>0.43</v>
      </c>
      <c r="P45" s="184">
        <f t="shared" si="18"/>
        <v>0.73099999999999998</v>
      </c>
      <c r="Q45" s="184">
        <f t="shared" si="19"/>
        <v>1.72</v>
      </c>
      <c r="R45" s="184">
        <f t="shared" si="20"/>
        <v>1.7114</v>
      </c>
      <c r="S45" s="184">
        <f t="shared" si="21"/>
        <v>2.58</v>
      </c>
      <c r="T45" s="184">
        <f t="shared" si="22"/>
        <v>3.3792839999999997</v>
      </c>
      <c r="U45" s="184">
        <f t="shared" si="23"/>
        <v>2.3483160000000001</v>
      </c>
      <c r="W45" s="745"/>
      <c r="X45" s="745"/>
      <c r="Y45" s="430"/>
    </row>
    <row r="46" spans="1:26" ht="16.5" customHeight="1" x14ac:dyDescent="0.25">
      <c r="A46" s="314"/>
      <c r="B46" s="316">
        <v>3258105</v>
      </c>
      <c r="C46" s="326" t="s">
        <v>64</v>
      </c>
      <c r="D46" s="184">
        <v>10</v>
      </c>
      <c r="E46" s="183">
        <v>0</v>
      </c>
      <c r="F46" s="183">
        <v>0.22</v>
      </c>
      <c r="G46" s="183">
        <v>0.01</v>
      </c>
      <c r="H46" s="183">
        <v>0.5</v>
      </c>
      <c r="I46" s="183">
        <v>0.5</v>
      </c>
      <c r="J46" s="183">
        <v>1.99</v>
      </c>
      <c r="K46" s="183">
        <v>4.1357999999999997</v>
      </c>
      <c r="L46" s="183">
        <v>2.6442000000000001</v>
      </c>
      <c r="M46" s="429">
        <v>0.86</v>
      </c>
      <c r="N46" s="184">
        <f t="shared" si="16"/>
        <v>0</v>
      </c>
      <c r="O46" s="184">
        <f t="shared" si="17"/>
        <v>0.18920000000000001</v>
      </c>
      <c r="P46" s="184">
        <f t="shared" si="18"/>
        <v>8.6E-3</v>
      </c>
      <c r="Q46" s="184">
        <f t="shared" si="19"/>
        <v>0.43</v>
      </c>
      <c r="R46" s="184">
        <f t="shared" si="20"/>
        <v>0.43</v>
      </c>
      <c r="S46" s="184">
        <f t="shared" si="21"/>
        <v>1.7114</v>
      </c>
      <c r="T46" s="184">
        <f t="shared" si="22"/>
        <v>3.5567879999999996</v>
      </c>
      <c r="U46" s="184">
        <f t="shared" si="23"/>
        <v>2.2740119999999999</v>
      </c>
      <c r="W46" s="745">
        <f>SUM(E46:L46)</f>
        <v>10</v>
      </c>
      <c r="X46" s="745">
        <f>SUM(N46:U46)</f>
        <v>8.6</v>
      </c>
      <c r="Y46" s="430">
        <f>M46</f>
        <v>0.86</v>
      </c>
      <c r="Z46" s="746">
        <f>W46*Y46</f>
        <v>8.6</v>
      </c>
    </row>
    <row r="47" spans="1:26" ht="21.75" customHeight="1" x14ac:dyDescent="0.25">
      <c r="A47" s="314"/>
      <c r="B47" s="327">
        <v>3258107</v>
      </c>
      <c r="C47" s="57" t="s">
        <v>65</v>
      </c>
      <c r="D47" s="184">
        <v>25</v>
      </c>
      <c r="E47" s="183">
        <v>0</v>
      </c>
      <c r="F47" s="183">
        <v>0</v>
      </c>
      <c r="G47" s="183">
        <v>0</v>
      </c>
      <c r="H47" s="183">
        <v>9.98</v>
      </c>
      <c r="I47" s="183">
        <v>10</v>
      </c>
      <c r="J47" s="183">
        <v>0</v>
      </c>
      <c r="K47" s="183">
        <v>2.9618000000000002</v>
      </c>
      <c r="L47" s="183">
        <v>2.0581999999999998</v>
      </c>
      <c r="M47" s="429">
        <v>0.76500000000000001</v>
      </c>
      <c r="N47" s="184">
        <f t="shared" si="16"/>
        <v>0</v>
      </c>
      <c r="O47" s="184">
        <f t="shared" si="17"/>
        <v>0</v>
      </c>
      <c r="P47" s="184">
        <f t="shared" si="18"/>
        <v>0</v>
      </c>
      <c r="Q47" s="184">
        <f t="shared" si="19"/>
        <v>7.6347000000000005</v>
      </c>
      <c r="R47" s="184">
        <f t="shared" si="20"/>
        <v>7.65</v>
      </c>
      <c r="S47" s="184">
        <f t="shared" si="21"/>
        <v>0</v>
      </c>
      <c r="T47" s="184">
        <f t="shared" si="22"/>
        <v>2.2657770000000004</v>
      </c>
      <c r="U47" s="184">
        <f t="shared" si="23"/>
        <v>1.5745229999999999</v>
      </c>
      <c r="W47" s="745">
        <f>SUM(E47:L47)</f>
        <v>25</v>
      </c>
      <c r="X47" s="745">
        <f>SUM(N47:U47)</f>
        <v>19.125</v>
      </c>
      <c r="Y47" s="430">
        <f>M47</f>
        <v>0.76500000000000001</v>
      </c>
      <c r="Z47" s="746">
        <f>W47*Y47</f>
        <v>19.125</v>
      </c>
    </row>
    <row r="48" spans="1:26" ht="27.75" customHeight="1" x14ac:dyDescent="0.25">
      <c r="A48" s="314"/>
      <c r="B48" s="327">
        <v>3258106</v>
      </c>
      <c r="C48" s="57" t="s">
        <v>66</v>
      </c>
      <c r="D48" s="184">
        <v>40</v>
      </c>
      <c r="E48" s="183">
        <v>0</v>
      </c>
      <c r="F48" s="183">
        <v>0</v>
      </c>
      <c r="G48" s="183">
        <v>0</v>
      </c>
      <c r="H48" s="183">
        <v>8.9499999999999993</v>
      </c>
      <c r="I48" s="183">
        <v>5.58</v>
      </c>
      <c r="J48" s="183">
        <v>4.95</v>
      </c>
      <c r="K48" s="183">
        <v>11.9016</v>
      </c>
      <c r="L48" s="183">
        <v>8.6183999999999994</v>
      </c>
      <c r="M48" s="429">
        <v>0.76500000000000001</v>
      </c>
      <c r="N48" s="184">
        <f t="shared" si="16"/>
        <v>0</v>
      </c>
      <c r="O48" s="184">
        <f t="shared" si="17"/>
        <v>0</v>
      </c>
      <c r="P48" s="184">
        <f t="shared" si="18"/>
        <v>0</v>
      </c>
      <c r="Q48" s="184">
        <f t="shared" si="19"/>
        <v>6.8467499999999992</v>
      </c>
      <c r="R48" s="184">
        <f t="shared" si="20"/>
        <v>4.2686999999999999</v>
      </c>
      <c r="S48" s="184">
        <f t="shared" si="21"/>
        <v>3.7867500000000001</v>
      </c>
      <c r="T48" s="184">
        <f t="shared" si="22"/>
        <v>9.1047240000000009</v>
      </c>
      <c r="U48" s="184">
        <f t="shared" si="23"/>
        <v>6.5930759999999999</v>
      </c>
      <c r="W48" s="745">
        <f>SUM(E48:L48)</f>
        <v>40</v>
      </c>
      <c r="X48" s="745">
        <f>SUM(N48:U48)</f>
        <v>30.599999999999998</v>
      </c>
      <c r="Y48" s="430">
        <f>M48</f>
        <v>0.76500000000000001</v>
      </c>
      <c r="Z48" s="746">
        <f>W48*Y48</f>
        <v>30.6</v>
      </c>
    </row>
    <row r="49" spans="1:26" ht="16.5" customHeight="1" x14ac:dyDescent="0.25">
      <c r="A49" s="314"/>
      <c r="B49" s="316">
        <v>3258105</v>
      </c>
      <c r="C49" s="326" t="s">
        <v>67</v>
      </c>
      <c r="D49" s="184">
        <v>20</v>
      </c>
      <c r="E49" s="183">
        <v>0</v>
      </c>
      <c r="F49" s="183">
        <v>0.09</v>
      </c>
      <c r="G49" s="183">
        <v>0.3</v>
      </c>
      <c r="H49" s="183">
        <v>0.5</v>
      </c>
      <c r="I49" s="183">
        <v>0.5</v>
      </c>
      <c r="J49" s="183">
        <v>2</v>
      </c>
      <c r="K49" s="183">
        <v>9.1355000000000004</v>
      </c>
      <c r="L49" s="183">
        <v>7.4744999999999999</v>
      </c>
      <c r="M49" s="429">
        <v>0.86</v>
      </c>
      <c r="N49" s="184">
        <f t="shared" si="16"/>
        <v>0</v>
      </c>
      <c r="O49" s="184">
        <f t="shared" si="17"/>
        <v>7.7399999999999997E-2</v>
      </c>
      <c r="P49" s="184">
        <f t="shared" si="18"/>
        <v>0.25800000000000001</v>
      </c>
      <c r="Q49" s="184">
        <f t="shared" si="19"/>
        <v>0.43</v>
      </c>
      <c r="R49" s="184">
        <f t="shared" si="20"/>
        <v>0.43</v>
      </c>
      <c r="S49" s="184">
        <f t="shared" si="21"/>
        <v>1.72</v>
      </c>
      <c r="T49" s="184">
        <f t="shared" si="22"/>
        <v>7.8565300000000002</v>
      </c>
      <c r="U49" s="184">
        <f t="shared" si="23"/>
        <v>6.42807</v>
      </c>
      <c r="W49" s="745"/>
      <c r="X49" s="745"/>
      <c r="Y49" s="430"/>
    </row>
    <row r="50" spans="1:26" ht="16.5" customHeight="1" x14ac:dyDescent="0.25">
      <c r="A50" s="314"/>
      <c r="B50" s="607"/>
      <c r="C50" s="326" t="s">
        <v>103</v>
      </c>
      <c r="D50" s="184"/>
      <c r="E50" s="183"/>
      <c r="F50" s="183"/>
      <c r="G50" s="183"/>
      <c r="H50" s="183"/>
      <c r="I50" s="183"/>
      <c r="J50" s="183"/>
      <c r="K50" s="183"/>
      <c r="L50" s="183"/>
      <c r="M50" s="429"/>
      <c r="N50" s="184"/>
      <c r="O50" s="184"/>
      <c r="P50" s="184"/>
      <c r="Q50" s="184"/>
      <c r="R50" s="184"/>
      <c r="S50" s="184"/>
      <c r="T50" s="184"/>
      <c r="U50" s="184"/>
      <c r="W50" s="745"/>
      <c r="X50" s="745"/>
      <c r="Y50" s="430"/>
    </row>
    <row r="51" spans="1:26" ht="33.75" customHeight="1" x14ac:dyDescent="0.25">
      <c r="A51" s="314"/>
      <c r="B51" s="717">
        <v>3258114</v>
      </c>
      <c r="C51" s="328" t="s">
        <v>68</v>
      </c>
      <c r="D51" s="184">
        <v>404.24</v>
      </c>
      <c r="E51" s="183">
        <v>0</v>
      </c>
      <c r="F51" s="183">
        <v>0</v>
      </c>
      <c r="G51" s="183">
        <v>59.7</v>
      </c>
      <c r="H51" s="183">
        <v>24.34</v>
      </c>
      <c r="I51" s="183">
        <v>10.99</v>
      </c>
      <c r="J51" s="183">
        <v>33.17</v>
      </c>
      <c r="K51" s="183">
        <v>173.90520000000001</v>
      </c>
      <c r="L51" s="183">
        <v>102.1348</v>
      </c>
      <c r="M51" s="429">
        <v>0.81200000000000006</v>
      </c>
      <c r="N51" s="184">
        <f>M51*E51</f>
        <v>0</v>
      </c>
      <c r="O51" s="184">
        <f>M51*F51</f>
        <v>0</v>
      </c>
      <c r="P51" s="184">
        <f>M51*G51</f>
        <v>48.476400000000005</v>
      </c>
      <c r="Q51" s="184">
        <f>M51*H51</f>
        <v>19.76408</v>
      </c>
      <c r="R51" s="184">
        <f>M51*I51</f>
        <v>8.9238800000000005</v>
      </c>
      <c r="S51" s="184">
        <f>M51*J51</f>
        <v>26.934040000000003</v>
      </c>
      <c r="T51" s="184">
        <f>M51*K51</f>
        <v>141.21102240000002</v>
      </c>
      <c r="U51" s="184">
        <f>M51*L51</f>
        <v>82.933457600000011</v>
      </c>
      <c r="W51" s="745">
        <f>SUM(E51:L51)</f>
        <v>404.23999999999995</v>
      </c>
      <c r="X51" s="745">
        <f>SUM(N51:U51)</f>
        <v>328.24288000000001</v>
      </c>
      <c r="Y51" s="430">
        <f>M51</f>
        <v>0.81200000000000006</v>
      </c>
      <c r="Z51" s="746">
        <f>W51*Y51</f>
        <v>328.24287999999996</v>
      </c>
    </row>
    <row r="52" spans="1:26" ht="17.25" customHeight="1" x14ac:dyDescent="0.25">
      <c r="A52" s="314"/>
      <c r="B52" s="329">
        <v>3258128</v>
      </c>
      <c r="C52" s="92" t="s">
        <v>69</v>
      </c>
      <c r="D52" s="184">
        <v>5</v>
      </c>
      <c r="E52" s="183">
        <v>0</v>
      </c>
      <c r="F52" s="183">
        <v>0.9</v>
      </c>
      <c r="G52" s="183">
        <v>0</v>
      </c>
      <c r="H52" s="183">
        <v>0.75</v>
      </c>
      <c r="I52" s="183">
        <v>0.74</v>
      </c>
      <c r="J52" s="183">
        <v>0.38</v>
      </c>
      <c r="K52" s="183">
        <v>1.3603000000000001</v>
      </c>
      <c r="L52" s="183">
        <v>0.86970000000000025</v>
      </c>
      <c r="M52" s="429">
        <v>0.81200000000000006</v>
      </c>
      <c r="N52" s="184">
        <f>M52*E52</f>
        <v>0</v>
      </c>
      <c r="O52" s="184">
        <f>M52*F52</f>
        <v>0.73080000000000012</v>
      </c>
      <c r="P52" s="184">
        <f>M52*G52</f>
        <v>0</v>
      </c>
      <c r="Q52" s="184">
        <f>M52*H52</f>
        <v>0.60899999999999999</v>
      </c>
      <c r="R52" s="184">
        <f>M52*I52</f>
        <v>0.60088000000000008</v>
      </c>
      <c r="S52" s="184">
        <f>M52*J52</f>
        <v>0.30856</v>
      </c>
      <c r="T52" s="184">
        <f>M52*K52</f>
        <v>1.1045636000000001</v>
      </c>
      <c r="U52" s="184">
        <f>M52*L52</f>
        <v>0.70619640000000028</v>
      </c>
      <c r="W52" s="745">
        <f>SUM(E52:L52)</f>
        <v>5</v>
      </c>
      <c r="X52" s="745">
        <f>SUM(N52:U52)</f>
        <v>4.0600000000000005</v>
      </c>
      <c r="Y52" s="430">
        <f>M52</f>
        <v>0.81200000000000006</v>
      </c>
      <c r="Z52" s="746">
        <f>W52*Y52</f>
        <v>4.0600000000000005</v>
      </c>
    </row>
    <row r="53" spans="1:26" ht="17.25" customHeight="1" x14ac:dyDescent="0.25">
      <c r="A53" s="314"/>
      <c r="B53" s="329">
        <v>3258107</v>
      </c>
      <c r="C53" s="71" t="s">
        <v>70</v>
      </c>
      <c r="D53" s="184">
        <v>40</v>
      </c>
      <c r="E53" s="183">
        <v>0</v>
      </c>
      <c r="F53" s="183">
        <v>0</v>
      </c>
      <c r="G53" s="183">
        <v>0</v>
      </c>
      <c r="H53" s="183">
        <v>2.5</v>
      </c>
      <c r="I53" s="183">
        <v>4.9800000000000004</v>
      </c>
      <c r="J53" s="183">
        <v>1.49</v>
      </c>
      <c r="K53" s="183">
        <v>17.376799999999999</v>
      </c>
      <c r="L53" s="183">
        <v>13.6532</v>
      </c>
      <c r="M53" s="429">
        <v>0.90200000000000002</v>
      </c>
      <c r="N53" s="184">
        <f>M53*E53</f>
        <v>0</v>
      </c>
      <c r="O53" s="184">
        <f>M53*F53</f>
        <v>0</v>
      </c>
      <c r="P53" s="184">
        <f>M53*G53</f>
        <v>0</v>
      </c>
      <c r="Q53" s="184">
        <f>M53*H53</f>
        <v>2.2549999999999999</v>
      </c>
      <c r="R53" s="184">
        <f>M53*I53</f>
        <v>4.4919600000000006</v>
      </c>
      <c r="S53" s="184">
        <f>M53*J53</f>
        <v>1.34398</v>
      </c>
      <c r="T53" s="184">
        <f>M53*K53</f>
        <v>15.6738736</v>
      </c>
      <c r="U53" s="184">
        <f>M53*L53</f>
        <v>12.3151864</v>
      </c>
      <c r="W53" s="745">
        <f>SUM(E53:L53)</f>
        <v>40</v>
      </c>
      <c r="X53" s="745">
        <f>SUM(N53:U53)</f>
        <v>36.08</v>
      </c>
      <c r="Y53" s="430">
        <f>M53</f>
        <v>0.90200000000000002</v>
      </c>
      <c r="Z53" s="746">
        <f>W53*Y53</f>
        <v>36.08</v>
      </c>
    </row>
    <row r="54" spans="1:26" ht="16.5" customHeight="1" x14ac:dyDescent="0.25">
      <c r="A54" s="323"/>
      <c r="B54" s="888" t="s">
        <v>200</v>
      </c>
      <c r="C54" s="820"/>
      <c r="D54" s="330">
        <f t="shared" ref="D54:L54" si="24">SUM(D8:D53)</f>
        <v>19100.930000000004</v>
      </c>
      <c r="E54" s="330">
        <f t="shared" si="24"/>
        <v>1081.0900000000001</v>
      </c>
      <c r="F54" s="330">
        <f t="shared" si="24"/>
        <v>2493.7369999999996</v>
      </c>
      <c r="G54" s="330">
        <f t="shared" si="24"/>
        <v>2227.87</v>
      </c>
      <c r="H54" s="330">
        <f t="shared" si="24"/>
        <v>2364.8599999999997</v>
      </c>
      <c r="I54" s="330">
        <f t="shared" si="24"/>
        <v>2487.2899999999986</v>
      </c>
      <c r="J54" s="330">
        <f t="shared" si="24"/>
        <v>1601.5100000000004</v>
      </c>
      <c r="K54" s="330">
        <f t="shared" si="24"/>
        <v>4162.978540000001</v>
      </c>
      <c r="L54" s="330">
        <f t="shared" si="24"/>
        <v>2681.5944599999993</v>
      </c>
      <c r="M54" s="330"/>
      <c r="N54" s="330">
        <f t="shared" ref="N54:U54" si="25">SUM(N8:N53)</f>
        <v>954.50427999999999</v>
      </c>
      <c r="O54" s="330">
        <f t="shared" si="25"/>
        <v>2198.2426300000002</v>
      </c>
      <c r="P54" s="330">
        <f t="shared" si="25"/>
        <v>1955.12886</v>
      </c>
      <c r="Q54" s="330">
        <f t="shared" si="25"/>
        <v>2076.90769</v>
      </c>
      <c r="R54" s="330">
        <f t="shared" si="25"/>
        <v>2194.3754799999997</v>
      </c>
      <c r="S54" s="330">
        <f t="shared" si="25"/>
        <v>1400.9975499999996</v>
      </c>
      <c r="T54" s="330">
        <f t="shared" si="25"/>
        <v>3644.9698007799998</v>
      </c>
      <c r="U54" s="330">
        <f t="shared" si="25"/>
        <v>2341.7044692200002</v>
      </c>
      <c r="W54" s="745">
        <f>SUM(E54:L54)</f>
        <v>19100.93</v>
      </c>
      <c r="X54" s="745">
        <f>SUM(N54:U54)</f>
        <v>16766.830760000001</v>
      </c>
      <c r="Y54" s="430">
        <f>M54</f>
        <v>0</v>
      </c>
      <c r="Z54" s="745">
        <f>SUM(Z8:Z53)</f>
        <v>11740.352560000001</v>
      </c>
    </row>
    <row r="55" spans="1:26" ht="16.5" customHeight="1" x14ac:dyDescent="0.25">
      <c r="A55" s="331"/>
      <c r="B55" s="888" t="s">
        <v>73</v>
      </c>
      <c r="C55" s="820"/>
      <c r="D55" s="184"/>
      <c r="E55" s="183"/>
      <c r="F55" s="183"/>
      <c r="G55" s="183"/>
      <c r="H55" s="183"/>
      <c r="I55" s="183"/>
      <c r="J55" s="183"/>
      <c r="K55" s="183"/>
      <c r="L55" s="183"/>
      <c r="M55" s="429"/>
      <c r="N55" s="429"/>
      <c r="O55" s="429"/>
      <c r="P55" s="429"/>
      <c r="Q55" s="429"/>
      <c r="R55" s="184"/>
      <c r="S55" s="184"/>
      <c r="T55" s="184"/>
      <c r="U55" s="184"/>
      <c r="W55" s="745"/>
      <c r="X55" s="745"/>
      <c r="Y55" s="430"/>
    </row>
    <row r="56" spans="1:26" ht="15.75" customHeight="1" x14ac:dyDescent="0.25">
      <c r="A56" s="314"/>
      <c r="B56" s="315"/>
      <c r="C56" s="326" t="s">
        <v>74</v>
      </c>
      <c r="D56" s="184"/>
      <c r="E56" s="183"/>
      <c r="F56" s="183"/>
      <c r="G56" s="183"/>
      <c r="H56" s="183"/>
      <c r="I56" s="183"/>
      <c r="J56" s="183"/>
      <c r="K56" s="183"/>
      <c r="L56" s="183"/>
      <c r="M56" s="429"/>
      <c r="N56" s="184"/>
      <c r="O56" s="184"/>
      <c r="P56" s="184"/>
      <c r="Q56" s="184"/>
      <c r="R56" s="184"/>
      <c r="S56" s="184"/>
      <c r="T56" s="184"/>
      <c r="U56" s="184"/>
      <c r="W56" s="745"/>
      <c r="X56" s="745"/>
      <c r="Y56" s="430"/>
    </row>
    <row r="57" spans="1:26" ht="14.25" customHeight="1" x14ac:dyDescent="0.25">
      <c r="A57" s="314"/>
      <c r="B57" s="320"/>
      <c r="C57" s="743" t="s">
        <v>75</v>
      </c>
      <c r="D57" s="184"/>
      <c r="E57" s="183"/>
      <c r="F57" s="183"/>
      <c r="G57" s="183"/>
      <c r="H57" s="183"/>
      <c r="I57" s="183"/>
      <c r="J57" s="183"/>
      <c r="K57" s="183"/>
      <c r="L57" s="183"/>
      <c r="M57" s="429"/>
      <c r="N57" s="184"/>
      <c r="O57" s="184"/>
      <c r="P57" s="184"/>
      <c r="Q57" s="184"/>
      <c r="R57" s="184"/>
      <c r="S57" s="184"/>
      <c r="T57" s="184"/>
      <c r="U57" s="184"/>
      <c r="W57" s="745">
        <f>SUM(E57:L57)</f>
        <v>0</v>
      </c>
      <c r="X57" s="745">
        <f>SUM(N57:U57)</f>
        <v>0</v>
      </c>
      <c r="Y57" s="430">
        <f>M57</f>
        <v>0</v>
      </c>
      <c r="Z57" s="746">
        <f>W57*Y57</f>
        <v>0</v>
      </c>
    </row>
    <row r="58" spans="1:26" ht="116.25" customHeight="1" x14ac:dyDescent="0.25">
      <c r="A58" s="314"/>
      <c r="B58" s="321">
        <v>4112101</v>
      </c>
      <c r="C58" s="332" t="s">
        <v>76</v>
      </c>
      <c r="D58" s="184">
        <v>702.5</v>
      </c>
      <c r="E58" s="183">
        <v>346.3</v>
      </c>
      <c r="F58" s="183">
        <v>138.6</v>
      </c>
      <c r="G58" s="183">
        <v>0</v>
      </c>
      <c r="H58" s="183">
        <v>122</v>
      </c>
      <c r="I58" s="183">
        <v>0</v>
      </c>
      <c r="J58" s="183">
        <v>0</v>
      </c>
      <c r="K58" s="183">
        <v>95.600000000000023</v>
      </c>
      <c r="L58" s="183">
        <v>0</v>
      </c>
      <c r="M58" s="429">
        <v>0.68</v>
      </c>
      <c r="N58" s="184">
        <f>M58*E58</f>
        <v>235.48400000000004</v>
      </c>
      <c r="O58" s="184">
        <f>M58*F58</f>
        <v>94.248000000000005</v>
      </c>
      <c r="P58" s="184">
        <f>M58*G58</f>
        <v>0</v>
      </c>
      <c r="Q58" s="184">
        <f>M58*H58</f>
        <v>82.960000000000008</v>
      </c>
      <c r="R58" s="184">
        <f>M58*I58</f>
        <v>0</v>
      </c>
      <c r="S58" s="184">
        <f>M58*J58</f>
        <v>0</v>
      </c>
      <c r="T58" s="184">
        <f>M58*K58</f>
        <v>65.008000000000024</v>
      </c>
      <c r="U58" s="184">
        <f>M58*L58</f>
        <v>0</v>
      </c>
      <c r="V58" s="311"/>
      <c r="W58" s="745">
        <f>SUM(E58:L58)</f>
        <v>702.5</v>
      </c>
      <c r="X58" s="745">
        <f>SUM(N58:U58)</f>
        <v>477.70000000000005</v>
      </c>
      <c r="Y58" s="430">
        <f>M58</f>
        <v>0.68</v>
      </c>
      <c r="Z58" s="746">
        <f>W58*Y58</f>
        <v>477.70000000000005</v>
      </c>
    </row>
    <row r="59" spans="1:26" ht="52.5" customHeight="1" x14ac:dyDescent="0.25">
      <c r="A59" s="314"/>
      <c r="B59" s="322">
        <v>4112101</v>
      </c>
      <c r="C59" s="328" t="s">
        <v>78</v>
      </c>
      <c r="D59" s="184">
        <v>68.25</v>
      </c>
      <c r="E59" s="183">
        <v>5.83</v>
      </c>
      <c r="F59" s="183">
        <v>26.31</v>
      </c>
      <c r="G59" s="183">
        <v>10.08</v>
      </c>
      <c r="H59" s="183">
        <v>8</v>
      </c>
      <c r="I59" s="183">
        <v>0</v>
      </c>
      <c r="J59" s="183">
        <v>0</v>
      </c>
      <c r="K59" s="183">
        <v>18.03</v>
      </c>
      <c r="L59" s="183">
        <v>0</v>
      </c>
      <c r="M59" s="429">
        <v>0.68</v>
      </c>
      <c r="N59" s="184">
        <f>M59*E59</f>
        <v>3.9644000000000004</v>
      </c>
      <c r="O59" s="184">
        <f>M59*F59</f>
        <v>17.890799999999999</v>
      </c>
      <c r="P59" s="184">
        <f>M59*G59</f>
        <v>6.8544000000000009</v>
      </c>
      <c r="Q59" s="184">
        <f>M59*H59</f>
        <v>5.44</v>
      </c>
      <c r="R59" s="184">
        <f>M59*I59</f>
        <v>0</v>
      </c>
      <c r="S59" s="184">
        <f>M59*J59</f>
        <v>0</v>
      </c>
      <c r="T59" s="184">
        <f>M59*K59</f>
        <v>12.260400000000002</v>
      </c>
      <c r="U59" s="184">
        <f>M59*L59</f>
        <v>0</v>
      </c>
      <c r="V59" s="311"/>
      <c r="W59" s="745">
        <f>SUM(E59:L59)</f>
        <v>68.25</v>
      </c>
      <c r="X59" s="745">
        <f>SUM(N59:U59)</f>
        <v>46.410000000000004</v>
      </c>
      <c r="Y59" s="430">
        <f>M59</f>
        <v>0.68</v>
      </c>
      <c r="Z59" s="746">
        <f>W59*Y59</f>
        <v>46.410000000000004</v>
      </c>
    </row>
    <row r="60" spans="1:26" ht="17.25" customHeight="1" x14ac:dyDescent="0.25">
      <c r="A60" s="314"/>
      <c r="B60" s="608"/>
      <c r="C60" s="326" t="s">
        <v>79</v>
      </c>
      <c r="D60" s="184"/>
      <c r="E60" s="183"/>
      <c r="F60" s="183"/>
      <c r="G60" s="183"/>
      <c r="H60" s="183"/>
      <c r="I60" s="183"/>
      <c r="J60" s="183"/>
      <c r="K60" s="183"/>
      <c r="L60" s="183"/>
      <c r="M60" s="429"/>
      <c r="N60" s="184"/>
      <c r="O60" s="184"/>
      <c r="P60" s="184"/>
      <c r="Q60" s="184"/>
      <c r="R60" s="184"/>
      <c r="S60" s="184"/>
      <c r="T60" s="184"/>
      <c r="U60" s="184"/>
      <c r="W60" s="745"/>
      <c r="X60" s="745"/>
      <c r="Y60" s="430"/>
    </row>
    <row r="61" spans="1:26" ht="27" customHeight="1" x14ac:dyDescent="0.25">
      <c r="A61" s="314"/>
      <c r="B61" s="717">
        <v>4112102</v>
      </c>
      <c r="C61" s="328" t="s">
        <v>80</v>
      </c>
      <c r="D61" s="184">
        <v>90</v>
      </c>
      <c r="E61" s="183">
        <v>0</v>
      </c>
      <c r="F61" s="183">
        <v>0</v>
      </c>
      <c r="G61" s="183">
        <v>40.29</v>
      </c>
      <c r="H61" s="183">
        <v>21</v>
      </c>
      <c r="I61" s="183">
        <v>0</v>
      </c>
      <c r="J61" s="183">
        <v>0</v>
      </c>
      <c r="K61" s="183">
        <v>28.71</v>
      </c>
      <c r="L61" s="183">
        <v>0</v>
      </c>
      <c r="M61" s="429">
        <v>0.68</v>
      </c>
      <c r="N61" s="184">
        <f>M61*E61</f>
        <v>0</v>
      </c>
      <c r="O61" s="184">
        <f>M61*F61</f>
        <v>0</v>
      </c>
      <c r="P61" s="184">
        <f>M61*G61</f>
        <v>27.397200000000002</v>
      </c>
      <c r="Q61" s="184">
        <f>M61*H61</f>
        <v>14.280000000000001</v>
      </c>
      <c r="R61" s="184">
        <f>M61*I61</f>
        <v>0</v>
      </c>
      <c r="S61" s="184">
        <f>M61*J61</f>
        <v>0</v>
      </c>
      <c r="T61" s="184">
        <f>M61*K61</f>
        <v>19.522800000000004</v>
      </c>
      <c r="U61" s="184">
        <f>M61*L61</f>
        <v>0</v>
      </c>
      <c r="V61" s="311"/>
      <c r="W61" s="745"/>
      <c r="X61" s="745"/>
      <c r="Y61" s="430"/>
    </row>
    <row r="62" spans="1:26" ht="17.25" customHeight="1" x14ac:dyDescent="0.25">
      <c r="A62" s="314"/>
      <c r="B62" s="607"/>
      <c r="C62" s="328" t="s">
        <v>153</v>
      </c>
      <c r="D62" s="184"/>
      <c r="E62" s="183"/>
      <c r="F62" s="183"/>
      <c r="G62" s="183"/>
      <c r="H62" s="183"/>
      <c r="I62" s="183"/>
      <c r="J62" s="183"/>
      <c r="K62" s="183"/>
      <c r="L62" s="183"/>
      <c r="M62" s="429"/>
      <c r="N62" s="184"/>
      <c r="O62" s="184"/>
      <c r="P62" s="184"/>
      <c r="Q62" s="184"/>
      <c r="R62" s="184"/>
      <c r="S62" s="184"/>
      <c r="T62" s="184"/>
      <c r="U62" s="184"/>
      <c r="W62" s="745"/>
      <c r="X62" s="745"/>
      <c r="Y62" s="430"/>
    </row>
    <row r="63" spans="1:26" ht="51.75" customHeight="1" x14ac:dyDescent="0.25">
      <c r="A63" s="314"/>
      <c r="B63" s="718">
        <v>4112316</v>
      </c>
      <c r="C63" s="328" t="s">
        <v>81</v>
      </c>
      <c r="D63" s="184">
        <v>8.9700000000000006</v>
      </c>
      <c r="E63" s="183">
        <v>3.73</v>
      </c>
      <c r="F63" s="183">
        <v>2.74</v>
      </c>
      <c r="G63" s="183">
        <v>2.5</v>
      </c>
      <c r="H63" s="183">
        <v>0</v>
      </c>
      <c r="I63" s="183">
        <v>0</v>
      </c>
      <c r="J63" s="183">
        <v>0</v>
      </c>
      <c r="K63" s="183">
        <v>0</v>
      </c>
      <c r="L63" s="183">
        <v>0</v>
      </c>
      <c r="M63" s="429">
        <v>0.81200000000000006</v>
      </c>
      <c r="N63" s="184">
        <f>M63*E63</f>
        <v>3.0287600000000001</v>
      </c>
      <c r="O63" s="184">
        <f>M63*F63</f>
        <v>2.2248800000000002</v>
      </c>
      <c r="P63" s="184">
        <f>M63*G63</f>
        <v>2.0300000000000002</v>
      </c>
      <c r="Q63" s="184">
        <f>M63*H63</f>
        <v>0</v>
      </c>
      <c r="R63" s="184">
        <f>M63*I63</f>
        <v>0</v>
      </c>
      <c r="S63" s="184">
        <f>M63*J63</f>
        <v>0</v>
      </c>
      <c r="T63" s="184">
        <f>M63*K63</f>
        <v>0</v>
      </c>
      <c r="U63" s="184">
        <f>M63*L63</f>
        <v>0</v>
      </c>
      <c r="V63" s="311"/>
      <c r="W63" s="745">
        <f>SUM(E63:L63)</f>
        <v>8.9700000000000006</v>
      </c>
      <c r="X63" s="745">
        <f>SUM(N63:U63)</f>
        <v>7.283640000000001</v>
      </c>
      <c r="Y63" s="430">
        <f>M63</f>
        <v>0.81200000000000006</v>
      </c>
      <c r="Z63" s="746">
        <f>W63*Y63</f>
        <v>7.283640000000001</v>
      </c>
    </row>
    <row r="64" spans="1:26" ht="43.5" customHeight="1" x14ac:dyDescent="0.25">
      <c r="A64" s="314"/>
      <c r="B64" s="717">
        <v>4112316</v>
      </c>
      <c r="C64" s="328" t="s">
        <v>82</v>
      </c>
      <c r="D64" s="184">
        <v>1</v>
      </c>
      <c r="E64" s="183">
        <v>0.79</v>
      </c>
      <c r="F64" s="183">
        <v>0</v>
      </c>
      <c r="G64" s="183">
        <v>0</v>
      </c>
      <c r="H64" s="183">
        <v>0</v>
      </c>
      <c r="I64" s="183">
        <v>0</v>
      </c>
      <c r="J64" s="183">
        <v>0</v>
      </c>
      <c r="K64" s="183">
        <v>0.21</v>
      </c>
      <c r="L64" s="183">
        <v>0</v>
      </c>
      <c r="M64" s="429">
        <v>0.81200000000000006</v>
      </c>
      <c r="N64" s="184">
        <f>M64*E64</f>
        <v>0.64148000000000005</v>
      </c>
      <c r="O64" s="184">
        <f>M64*F64</f>
        <v>0</v>
      </c>
      <c r="P64" s="184">
        <f>M64*G64</f>
        <v>0</v>
      </c>
      <c r="Q64" s="184">
        <f>M64*H64</f>
        <v>0</v>
      </c>
      <c r="R64" s="184">
        <f>M64*I64</f>
        <v>0</v>
      </c>
      <c r="S64" s="184">
        <f>M64*J64</f>
        <v>0</v>
      </c>
      <c r="T64" s="184">
        <f>M64*K64</f>
        <v>0.17052</v>
      </c>
      <c r="U64" s="184">
        <f>M64*L64</f>
        <v>0</v>
      </c>
      <c r="V64" s="311"/>
      <c r="W64" s="745">
        <f>SUM(E64:L64)</f>
        <v>1</v>
      </c>
      <c r="X64" s="745">
        <f>SUM(N64:U64)</f>
        <v>0.81200000000000006</v>
      </c>
      <c r="Y64" s="430">
        <f>M64</f>
        <v>0.81200000000000006</v>
      </c>
      <c r="Z64" s="746">
        <f>W64*Y64</f>
        <v>0.81200000000000006</v>
      </c>
    </row>
    <row r="65" spans="1:26" ht="16.5" customHeight="1" x14ac:dyDescent="0.25">
      <c r="A65" s="314"/>
      <c r="B65" s="607"/>
      <c r="C65" s="328" t="s">
        <v>67</v>
      </c>
      <c r="D65" s="184"/>
      <c r="E65" s="183"/>
      <c r="F65" s="183"/>
      <c r="G65" s="183"/>
      <c r="H65" s="183"/>
      <c r="I65" s="183"/>
      <c r="J65" s="183"/>
      <c r="K65" s="183"/>
      <c r="L65" s="183"/>
      <c r="M65" s="429"/>
      <c r="N65" s="184"/>
      <c r="O65" s="184"/>
      <c r="P65" s="184"/>
      <c r="Q65" s="184"/>
      <c r="R65" s="184"/>
      <c r="S65" s="184"/>
      <c r="T65" s="184"/>
      <c r="U65" s="184"/>
      <c r="W65" s="745"/>
      <c r="X65" s="745"/>
      <c r="Y65" s="430"/>
    </row>
    <row r="66" spans="1:26" ht="55.5" customHeight="1" x14ac:dyDescent="0.25">
      <c r="A66" s="314"/>
      <c r="B66" s="718">
        <v>4112304</v>
      </c>
      <c r="C66" s="328" t="s">
        <v>83</v>
      </c>
      <c r="D66" s="184">
        <v>20.5</v>
      </c>
      <c r="E66" s="183">
        <v>0</v>
      </c>
      <c r="F66" s="183">
        <v>5.55</v>
      </c>
      <c r="G66" s="183">
        <v>11.15</v>
      </c>
      <c r="H66" s="183">
        <v>3.8</v>
      </c>
      <c r="I66" s="183">
        <v>0</v>
      </c>
      <c r="J66" s="183">
        <v>0</v>
      </c>
      <c r="K66" s="183">
        <v>0</v>
      </c>
      <c r="L66" s="183">
        <v>0</v>
      </c>
      <c r="M66" s="429">
        <v>0.68</v>
      </c>
      <c r="N66" s="184">
        <f>M66*E66</f>
        <v>0</v>
      </c>
      <c r="O66" s="184">
        <f>M66*F66</f>
        <v>3.774</v>
      </c>
      <c r="P66" s="184">
        <f>M66*G66</f>
        <v>7.5820000000000007</v>
      </c>
      <c r="Q66" s="184">
        <f>M66*H66</f>
        <v>2.5840000000000001</v>
      </c>
      <c r="R66" s="184">
        <f>M66*I66</f>
        <v>0</v>
      </c>
      <c r="S66" s="184">
        <f>M66*J66</f>
        <v>0</v>
      </c>
      <c r="T66" s="184">
        <f>M66*K66</f>
        <v>0</v>
      </c>
      <c r="U66" s="184">
        <f>M66*L66</f>
        <v>0</v>
      </c>
      <c r="V66" s="311"/>
      <c r="W66" s="745">
        <f>SUM(E66:L66)</f>
        <v>20.5</v>
      </c>
      <c r="X66" s="745">
        <f>SUM(N66:U66)</f>
        <v>13.940000000000001</v>
      </c>
      <c r="Y66" s="430">
        <f>M66</f>
        <v>0.68</v>
      </c>
      <c r="Z66" s="746">
        <f>W66*Y66</f>
        <v>13.940000000000001</v>
      </c>
    </row>
    <row r="67" spans="1:26" ht="53.25" customHeight="1" x14ac:dyDescent="0.25">
      <c r="A67" s="314"/>
      <c r="B67" s="718">
        <v>4112304</v>
      </c>
      <c r="C67" s="328" t="s">
        <v>84</v>
      </c>
      <c r="D67" s="184">
        <v>3</v>
      </c>
      <c r="E67" s="183">
        <v>0</v>
      </c>
      <c r="F67" s="183">
        <v>0</v>
      </c>
      <c r="G67" s="183">
        <v>0</v>
      </c>
      <c r="H67" s="183">
        <v>3</v>
      </c>
      <c r="I67" s="183">
        <v>0</v>
      </c>
      <c r="J67" s="183">
        <v>0</v>
      </c>
      <c r="K67" s="183">
        <v>0</v>
      </c>
      <c r="L67" s="183">
        <v>0</v>
      </c>
      <c r="M67" s="429">
        <v>0.68</v>
      </c>
      <c r="N67" s="184">
        <f>M67*E67</f>
        <v>0</v>
      </c>
      <c r="O67" s="184">
        <f>M67*F67</f>
        <v>0</v>
      </c>
      <c r="P67" s="184">
        <f>M67*G67</f>
        <v>0</v>
      </c>
      <c r="Q67" s="184">
        <f>M67*H67</f>
        <v>2.04</v>
      </c>
      <c r="R67" s="184">
        <f>M67*I67</f>
        <v>0</v>
      </c>
      <c r="S67" s="184">
        <f>M67*J67</f>
        <v>0</v>
      </c>
      <c r="T67" s="184">
        <f>M67*K67</f>
        <v>0</v>
      </c>
      <c r="U67" s="184">
        <f>M67*L67</f>
        <v>0</v>
      </c>
      <c r="V67" s="311"/>
      <c r="W67" s="745">
        <f>SUM(E67:L67)</f>
        <v>3</v>
      </c>
      <c r="X67" s="745">
        <f>SUM(N67:U67)</f>
        <v>2.04</v>
      </c>
      <c r="Y67" s="430">
        <f>M67</f>
        <v>0.68</v>
      </c>
      <c r="Z67" s="746">
        <f>W67*Y67</f>
        <v>2.04</v>
      </c>
    </row>
    <row r="68" spans="1:26" ht="30" customHeight="1" x14ac:dyDescent="0.25">
      <c r="A68" s="314"/>
      <c r="B68" s="717">
        <v>4112304</v>
      </c>
      <c r="C68" s="328" t="s">
        <v>85</v>
      </c>
      <c r="D68" s="184">
        <v>50</v>
      </c>
      <c r="E68" s="183">
        <v>0</v>
      </c>
      <c r="F68" s="183">
        <v>0</v>
      </c>
      <c r="G68" s="183">
        <v>0</v>
      </c>
      <c r="H68" s="183">
        <v>7.89</v>
      </c>
      <c r="I68" s="183">
        <v>1.6</v>
      </c>
      <c r="J68" s="183">
        <v>5</v>
      </c>
      <c r="K68" s="183">
        <v>35.51</v>
      </c>
      <c r="L68" s="183">
        <v>0</v>
      </c>
      <c r="M68" s="429">
        <v>0.68</v>
      </c>
      <c r="N68" s="184">
        <f>M68*E68</f>
        <v>0</v>
      </c>
      <c r="O68" s="184">
        <f>M68*F68</f>
        <v>0</v>
      </c>
      <c r="P68" s="184">
        <f>M68*G68</f>
        <v>0</v>
      </c>
      <c r="Q68" s="184">
        <f>M68*H68</f>
        <v>5.3651999999999997</v>
      </c>
      <c r="R68" s="184">
        <f>M68*I68</f>
        <v>1.0880000000000001</v>
      </c>
      <c r="S68" s="184">
        <f>M68*J68</f>
        <v>3.4000000000000004</v>
      </c>
      <c r="T68" s="184">
        <f>M68*K68</f>
        <v>24.146799999999999</v>
      </c>
      <c r="U68" s="184">
        <f>M68*L68</f>
        <v>0</v>
      </c>
      <c r="V68" s="311"/>
      <c r="W68" s="745">
        <f>SUM(E68:L68)</f>
        <v>50</v>
      </c>
      <c r="X68" s="745">
        <f>SUM(N68:U68)</f>
        <v>34</v>
      </c>
      <c r="Y68" s="430">
        <f>M68</f>
        <v>0.68</v>
      </c>
      <c r="Z68" s="746">
        <f>W68*Y68</f>
        <v>34</v>
      </c>
    </row>
    <row r="69" spans="1:26" ht="24.75" customHeight="1" x14ac:dyDescent="0.25">
      <c r="A69" s="314"/>
      <c r="B69" s="607"/>
      <c r="C69" s="328" t="s">
        <v>87</v>
      </c>
      <c r="D69" s="184"/>
      <c r="E69" s="183"/>
      <c r="F69" s="183"/>
      <c r="G69" s="183"/>
      <c r="H69" s="183"/>
      <c r="I69" s="183"/>
      <c r="J69" s="183"/>
      <c r="K69" s="183"/>
      <c r="L69" s="183"/>
      <c r="M69" s="429"/>
      <c r="N69" s="184"/>
      <c r="O69" s="184"/>
      <c r="P69" s="184"/>
      <c r="Q69" s="184"/>
      <c r="R69" s="184"/>
      <c r="S69" s="184"/>
      <c r="T69" s="184"/>
      <c r="U69" s="184"/>
      <c r="V69" s="311"/>
      <c r="W69" s="745"/>
      <c r="X69" s="745"/>
      <c r="Y69" s="430"/>
    </row>
    <row r="70" spans="1:26" ht="58.5" customHeight="1" x14ac:dyDescent="0.25">
      <c r="A70" s="314"/>
      <c r="B70" s="718">
        <v>4112202</v>
      </c>
      <c r="C70" s="328" t="s">
        <v>88</v>
      </c>
      <c r="D70" s="184">
        <v>22.5</v>
      </c>
      <c r="E70" s="183">
        <v>3.88</v>
      </c>
      <c r="F70" s="183">
        <v>7.14</v>
      </c>
      <c r="G70" s="183">
        <v>6.18</v>
      </c>
      <c r="H70" s="183">
        <v>2.27</v>
      </c>
      <c r="I70" s="183">
        <v>0</v>
      </c>
      <c r="J70" s="183">
        <v>0</v>
      </c>
      <c r="K70" s="183">
        <v>3.0300000000000011</v>
      </c>
      <c r="L70" s="183">
        <v>0</v>
      </c>
      <c r="M70" s="429">
        <v>0.81200000000000006</v>
      </c>
      <c r="N70" s="184">
        <f t="shared" ref="N70:N75" si="26">M70*E70</f>
        <v>3.15056</v>
      </c>
      <c r="O70" s="184">
        <f t="shared" ref="O70:O75" si="27">M70*F70</f>
        <v>5.7976799999999997</v>
      </c>
      <c r="P70" s="184">
        <f t="shared" ref="P70:P75" si="28">M70*G70</f>
        <v>5.01816</v>
      </c>
      <c r="Q70" s="184">
        <f t="shared" ref="Q70:Q75" si="29">M70*H70</f>
        <v>1.8432400000000002</v>
      </c>
      <c r="R70" s="184">
        <f t="shared" ref="R70:R75" si="30">M70*I70</f>
        <v>0</v>
      </c>
      <c r="S70" s="184">
        <f t="shared" ref="S70:S75" si="31">M70*J70</f>
        <v>0</v>
      </c>
      <c r="T70" s="184">
        <f t="shared" ref="T70:T75" si="32">M70*K70</f>
        <v>2.460360000000001</v>
      </c>
      <c r="U70" s="184">
        <f t="shared" ref="U70:U75" si="33">M70*L70</f>
        <v>0</v>
      </c>
      <c r="V70" s="311"/>
      <c r="W70" s="745">
        <f>SUM(E70:L70)</f>
        <v>22.5</v>
      </c>
      <c r="X70" s="745">
        <f>SUM(N70:U70)</f>
        <v>18.27</v>
      </c>
      <c r="Y70" s="430">
        <f>M70</f>
        <v>0.81200000000000006</v>
      </c>
      <c r="Z70" s="746">
        <f>W70*Y70</f>
        <v>18.27</v>
      </c>
    </row>
    <row r="71" spans="1:26" ht="60.75" customHeight="1" x14ac:dyDescent="0.25">
      <c r="A71" s="314"/>
      <c r="B71" s="718">
        <v>4112202</v>
      </c>
      <c r="C71" s="328" t="s">
        <v>89</v>
      </c>
      <c r="D71" s="184">
        <v>13.75</v>
      </c>
      <c r="E71" s="183">
        <v>3.7440000000000002</v>
      </c>
      <c r="F71" s="183">
        <v>0</v>
      </c>
      <c r="G71" s="183">
        <v>2.9860000000000002</v>
      </c>
      <c r="H71" s="183">
        <v>3.15</v>
      </c>
      <c r="I71" s="183">
        <v>0</v>
      </c>
      <c r="J71" s="183">
        <v>0</v>
      </c>
      <c r="K71" s="183">
        <v>3.8699999999999992</v>
      </c>
      <c r="L71" s="183">
        <v>0</v>
      </c>
      <c r="M71" s="429">
        <v>0.81200000000000006</v>
      </c>
      <c r="N71" s="184">
        <f t="shared" si="26"/>
        <v>3.0401280000000002</v>
      </c>
      <c r="O71" s="184">
        <f t="shared" si="27"/>
        <v>0</v>
      </c>
      <c r="P71" s="184">
        <f t="shared" si="28"/>
        <v>2.4246320000000003</v>
      </c>
      <c r="Q71" s="184">
        <f t="shared" si="29"/>
        <v>2.5578000000000003</v>
      </c>
      <c r="R71" s="184">
        <f t="shared" si="30"/>
        <v>0</v>
      </c>
      <c r="S71" s="184">
        <f t="shared" si="31"/>
        <v>0</v>
      </c>
      <c r="T71" s="184">
        <f t="shared" si="32"/>
        <v>3.1424399999999997</v>
      </c>
      <c r="U71" s="184">
        <f t="shared" si="33"/>
        <v>0</v>
      </c>
      <c r="V71" s="311"/>
      <c r="W71" s="745">
        <f>SUM(E71:L71)</f>
        <v>13.75</v>
      </c>
      <c r="X71" s="745">
        <f>SUM(N71:U71)</f>
        <v>11.164999999999999</v>
      </c>
      <c r="Y71" s="430">
        <f>M71</f>
        <v>0.81200000000000006</v>
      </c>
      <c r="Z71" s="746">
        <f>W71*Y71</f>
        <v>11.165000000000001</v>
      </c>
    </row>
    <row r="72" spans="1:26" ht="24" customHeight="1" x14ac:dyDescent="0.25">
      <c r="A72" s="314"/>
      <c r="B72" s="718">
        <v>4112202</v>
      </c>
      <c r="C72" s="328" t="s">
        <v>90</v>
      </c>
      <c r="D72" s="184">
        <v>1.5</v>
      </c>
      <c r="E72" s="183">
        <v>0</v>
      </c>
      <c r="F72" s="183">
        <v>0.2</v>
      </c>
      <c r="G72" s="183">
        <v>0</v>
      </c>
      <c r="H72" s="183">
        <v>0</v>
      </c>
      <c r="I72" s="183">
        <v>0</v>
      </c>
      <c r="J72" s="183">
        <v>0</v>
      </c>
      <c r="K72" s="183">
        <v>1.3</v>
      </c>
      <c r="L72" s="183">
        <v>0</v>
      </c>
      <c r="M72" s="429">
        <v>0.81200000000000006</v>
      </c>
      <c r="N72" s="184">
        <f t="shared" si="26"/>
        <v>0</v>
      </c>
      <c r="O72" s="184">
        <f t="shared" si="27"/>
        <v>0.16240000000000002</v>
      </c>
      <c r="P72" s="184">
        <f t="shared" si="28"/>
        <v>0</v>
      </c>
      <c r="Q72" s="184">
        <f t="shared" si="29"/>
        <v>0</v>
      </c>
      <c r="R72" s="184">
        <f t="shared" si="30"/>
        <v>0</v>
      </c>
      <c r="S72" s="184">
        <f t="shared" si="31"/>
        <v>0</v>
      </c>
      <c r="T72" s="184">
        <f t="shared" si="32"/>
        <v>1.0556000000000001</v>
      </c>
      <c r="U72" s="184">
        <f t="shared" si="33"/>
        <v>0</v>
      </c>
      <c r="V72" s="311"/>
      <c r="W72" s="745">
        <f>SUM(E72:L72)</f>
        <v>1.5</v>
      </c>
      <c r="X72" s="745">
        <f>SUM(N72:U72)</f>
        <v>1.2180000000000002</v>
      </c>
      <c r="Y72" s="430">
        <f>M72</f>
        <v>0.81200000000000006</v>
      </c>
      <c r="Z72" s="746">
        <f>W72*Y72</f>
        <v>1.218</v>
      </c>
    </row>
    <row r="73" spans="1:26" ht="54" customHeight="1" x14ac:dyDescent="0.25">
      <c r="A73" s="314"/>
      <c r="B73" s="717">
        <v>4112202</v>
      </c>
      <c r="C73" s="328" t="s">
        <v>91</v>
      </c>
      <c r="D73" s="184">
        <v>5.25</v>
      </c>
      <c r="E73" s="183">
        <v>2.97</v>
      </c>
      <c r="F73" s="183">
        <v>0.19999999999999971</v>
      </c>
      <c r="G73" s="183">
        <v>0</v>
      </c>
      <c r="H73" s="183">
        <v>0.91</v>
      </c>
      <c r="I73" s="183">
        <v>0</v>
      </c>
      <c r="J73" s="183">
        <v>0</v>
      </c>
      <c r="K73" s="183">
        <v>1.17</v>
      </c>
      <c r="L73" s="183">
        <v>0</v>
      </c>
      <c r="M73" s="429">
        <v>0.81200000000000006</v>
      </c>
      <c r="N73" s="184">
        <f t="shared" si="26"/>
        <v>2.4116400000000002</v>
      </c>
      <c r="O73" s="184">
        <f t="shared" si="27"/>
        <v>0.16239999999999977</v>
      </c>
      <c r="P73" s="184">
        <f t="shared" si="28"/>
        <v>0</v>
      </c>
      <c r="Q73" s="184">
        <f t="shared" si="29"/>
        <v>0.73892000000000002</v>
      </c>
      <c r="R73" s="184">
        <f t="shared" si="30"/>
        <v>0</v>
      </c>
      <c r="S73" s="184">
        <f t="shared" si="31"/>
        <v>0</v>
      </c>
      <c r="T73" s="184">
        <f t="shared" si="32"/>
        <v>0.95004</v>
      </c>
      <c r="U73" s="184">
        <f t="shared" si="33"/>
        <v>0</v>
      </c>
      <c r="V73" s="311"/>
      <c r="W73" s="745"/>
      <c r="X73" s="745"/>
      <c r="Y73" s="430"/>
    </row>
    <row r="74" spans="1:26" ht="18" customHeight="1" x14ac:dyDescent="0.25">
      <c r="A74" s="314"/>
      <c r="B74" s="325">
        <v>4112314</v>
      </c>
      <c r="C74" s="328" t="s">
        <v>62</v>
      </c>
      <c r="D74" s="184">
        <v>50</v>
      </c>
      <c r="E74" s="183">
        <v>7.96</v>
      </c>
      <c r="F74" s="183">
        <v>8.4499999999999993</v>
      </c>
      <c r="G74" s="183">
        <v>8.99</v>
      </c>
      <c r="H74" s="183">
        <v>9.9600000000000009</v>
      </c>
      <c r="I74" s="183">
        <v>9.9700000000000006</v>
      </c>
      <c r="J74" s="183">
        <v>0</v>
      </c>
      <c r="K74" s="183">
        <v>2.8954000000000009</v>
      </c>
      <c r="L74" s="183">
        <v>1.7746000000000011</v>
      </c>
      <c r="M74" s="429">
        <v>0.81200000000000006</v>
      </c>
      <c r="N74" s="184">
        <f t="shared" si="26"/>
        <v>6.4635200000000008</v>
      </c>
      <c r="O74" s="184">
        <f t="shared" si="27"/>
        <v>6.8613999999999997</v>
      </c>
      <c r="P74" s="184">
        <f t="shared" si="28"/>
        <v>7.2998800000000008</v>
      </c>
      <c r="Q74" s="184">
        <f t="shared" si="29"/>
        <v>8.0875200000000014</v>
      </c>
      <c r="R74" s="184">
        <f t="shared" si="30"/>
        <v>8.0956400000000013</v>
      </c>
      <c r="S74" s="184">
        <f t="shared" si="31"/>
        <v>0</v>
      </c>
      <c r="T74" s="184">
        <f t="shared" si="32"/>
        <v>2.351064800000001</v>
      </c>
      <c r="U74" s="184">
        <f t="shared" si="33"/>
        <v>1.4409752000000009</v>
      </c>
      <c r="V74" s="311"/>
      <c r="W74" s="745"/>
      <c r="X74" s="745"/>
      <c r="Y74" s="430"/>
    </row>
    <row r="75" spans="1:26" ht="15" customHeight="1" x14ac:dyDescent="0.25">
      <c r="A75" s="314"/>
      <c r="B75" s="316">
        <v>4112303</v>
      </c>
      <c r="C75" s="328" t="s">
        <v>93</v>
      </c>
      <c r="D75" s="184">
        <v>15</v>
      </c>
      <c r="E75" s="183">
        <v>0</v>
      </c>
      <c r="F75" s="183">
        <v>0</v>
      </c>
      <c r="G75" s="183">
        <v>3.77</v>
      </c>
      <c r="H75" s="183">
        <v>2</v>
      </c>
      <c r="I75" s="183">
        <v>3.96</v>
      </c>
      <c r="J75" s="183">
        <v>2.99</v>
      </c>
      <c r="K75" s="183">
        <v>1.3908</v>
      </c>
      <c r="L75" s="183">
        <v>0.88919999999999977</v>
      </c>
      <c r="M75" s="429">
        <v>0.81200000000000006</v>
      </c>
      <c r="N75" s="184">
        <f t="shared" si="26"/>
        <v>0</v>
      </c>
      <c r="O75" s="184">
        <f t="shared" si="27"/>
        <v>0</v>
      </c>
      <c r="P75" s="184">
        <f t="shared" si="28"/>
        <v>3.0612400000000002</v>
      </c>
      <c r="Q75" s="184">
        <f t="shared" si="29"/>
        <v>1.6240000000000001</v>
      </c>
      <c r="R75" s="184">
        <f t="shared" si="30"/>
        <v>3.2155200000000002</v>
      </c>
      <c r="S75" s="184">
        <f t="shared" si="31"/>
        <v>2.4278800000000005</v>
      </c>
      <c r="T75" s="184">
        <f t="shared" si="32"/>
        <v>1.1293296000000002</v>
      </c>
      <c r="U75" s="184">
        <f t="shared" si="33"/>
        <v>0.72203039999999985</v>
      </c>
      <c r="V75" s="311"/>
      <c r="W75" s="745"/>
      <c r="X75" s="745"/>
      <c r="Y75" s="430"/>
    </row>
    <row r="76" spans="1:26" ht="26.25" customHeight="1" x14ac:dyDescent="0.25">
      <c r="A76" s="314"/>
      <c r="B76" s="315"/>
      <c r="C76" s="326" t="s">
        <v>97</v>
      </c>
      <c r="D76" s="184"/>
      <c r="E76" s="183"/>
      <c r="F76" s="183"/>
      <c r="G76" s="183"/>
      <c r="H76" s="183"/>
      <c r="I76" s="183"/>
      <c r="J76" s="183"/>
      <c r="K76" s="183"/>
      <c r="L76" s="183"/>
      <c r="M76" s="429"/>
      <c r="N76" s="429"/>
      <c r="O76" s="429"/>
      <c r="P76" s="429"/>
      <c r="Q76" s="429"/>
      <c r="R76" s="184"/>
      <c r="S76" s="184"/>
      <c r="T76" s="184"/>
      <c r="U76" s="184"/>
      <c r="W76" s="745"/>
      <c r="X76" s="745"/>
      <c r="Y76" s="430"/>
    </row>
    <row r="77" spans="1:26" ht="17.25" customHeight="1" x14ac:dyDescent="0.25">
      <c r="A77" s="323"/>
      <c r="B77" s="316">
        <v>4141101</v>
      </c>
      <c r="C77" s="328" t="s">
        <v>98</v>
      </c>
      <c r="D77" s="184">
        <v>20000</v>
      </c>
      <c r="E77" s="183">
        <v>0</v>
      </c>
      <c r="F77" s="183">
        <v>0</v>
      </c>
      <c r="G77" s="183">
        <v>4649.6499999999996</v>
      </c>
      <c r="H77" s="183">
        <v>5794.05</v>
      </c>
      <c r="I77" s="183">
        <v>3879.9</v>
      </c>
      <c r="J77" s="183">
        <v>1000</v>
      </c>
      <c r="K77" s="183">
        <v>2338.1999999999998</v>
      </c>
      <c r="L77" s="183">
        <v>2338.1999999999998</v>
      </c>
      <c r="M77" s="429">
        <v>0.90200000000000002</v>
      </c>
      <c r="N77" s="184">
        <f>M77*E77</f>
        <v>0</v>
      </c>
      <c r="O77" s="184">
        <f>M77*F77</f>
        <v>0</v>
      </c>
      <c r="P77" s="184">
        <f>M77*G77</f>
        <v>4193.9843000000001</v>
      </c>
      <c r="Q77" s="184">
        <f>M77*H77</f>
        <v>5226.2331000000004</v>
      </c>
      <c r="R77" s="184">
        <f>M77*I77</f>
        <v>3499.6698000000001</v>
      </c>
      <c r="S77" s="184">
        <f>M77*J77</f>
        <v>902</v>
      </c>
      <c r="T77" s="184">
        <f>M77*K77</f>
        <v>2109.0563999999999</v>
      </c>
      <c r="U77" s="184">
        <f>M77*L77</f>
        <v>2109.0563999999999</v>
      </c>
      <c r="V77" s="311"/>
      <c r="W77" s="745">
        <f>SUM(E77:L77)</f>
        <v>20000</v>
      </c>
      <c r="X77" s="745">
        <f>SUM(N77:U77)</f>
        <v>18040</v>
      </c>
      <c r="Y77" s="430">
        <f>M77</f>
        <v>0.90200000000000002</v>
      </c>
      <c r="Z77" s="746">
        <f>W77*Y77</f>
        <v>18040</v>
      </c>
    </row>
    <row r="78" spans="1:26" ht="20.25" customHeight="1" x14ac:dyDescent="0.25">
      <c r="A78" s="331"/>
      <c r="B78" s="315"/>
      <c r="C78" s="326" t="s">
        <v>100</v>
      </c>
      <c r="D78" s="184"/>
      <c r="E78" s="183"/>
      <c r="F78" s="183"/>
      <c r="G78" s="183"/>
      <c r="H78" s="183"/>
      <c r="I78" s="183"/>
      <c r="J78" s="183"/>
      <c r="K78" s="183"/>
      <c r="L78" s="183"/>
      <c r="M78" s="429"/>
      <c r="N78" s="184"/>
      <c r="O78" s="184"/>
      <c r="P78" s="184"/>
      <c r="Q78" s="184"/>
      <c r="R78" s="184"/>
      <c r="S78" s="184"/>
      <c r="T78" s="184"/>
      <c r="U78" s="184"/>
      <c r="W78" s="745"/>
      <c r="X78" s="745"/>
      <c r="Y78" s="430"/>
    </row>
    <row r="79" spans="1:26" ht="12.75" customHeight="1" x14ac:dyDescent="0.25">
      <c r="A79" s="314"/>
      <c r="B79" s="333"/>
      <c r="C79" s="326" t="s">
        <v>162</v>
      </c>
      <c r="D79" s="184"/>
      <c r="E79" s="183"/>
      <c r="F79" s="183"/>
      <c r="G79" s="183"/>
      <c r="H79" s="183"/>
      <c r="I79" s="183"/>
      <c r="J79" s="183"/>
      <c r="K79" s="183"/>
      <c r="L79" s="183"/>
      <c r="M79" s="429"/>
      <c r="N79" s="184"/>
      <c r="O79" s="184"/>
      <c r="P79" s="184"/>
      <c r="Q79" s="184"/>
      <c r="R79" s="184"/>
      <c r="S79" s="184"/>
      <c r="T79" s="184"/>
      <c r="U79" s="184"/>
      <c r="W79" s="745">
        <f>SUM(E79:L79)</f>
        <v>0</v>
      </c>
      <c r="X79" s="745">
        <f>SUM(N79:U79)</f>
        <v>0</v>
      </c>
      <c r="Y79" s="430">
        <f>M79</f>
        <v>0</v>
      </c>
      <c r="Z79" s="746">
        <f>W79*Y79</f>
        <v>0</v>
      </c>
    </row>
    <row r="80" spans="1:26" ht="27" customHeight="1" x14ac:dyDescent="0.25">
      <c r="A80" s="314"/>
      <c r="B80" s="333">
        <v>4111306</v>
      </c>
      <c r="C80" s="328" t="s">
        <v>102</v>
      </c>
      <c r="D80" s="184">
        <v>1209.54</v>
      </c>
      <c r="E80" s="183">
        <v>0</v>
      </c>
      <c r="F80" s="183">
        <v>0</v>
      </c>
      <c r="G80" s="183">
        <v>0</v>
      </c>
      <c r="H80" s="183">
        <v>0</v>
      </c>
      <c r="I80" s="183">
        <v>116.72</v>
      </c>
      <c r="J80" s="183">
        <v>192.22</v>
      </c>
      <c r="K80" s="183">
        <v>522.34799999999996</v>
      </c>
      <c r="L80" s="183">
        <v>378.25200000000001</v>
      </c>
      <c r="M80" s="429">
        <v>0.90200000000000002</v>
      </c>
      <c r="N80" s="184">
        <f>M80*E80</f>
        <v>0</v>
      </c>
      <c r="O80" s="184">
        <f>M80*F80</f>
        <v>0</v>
      </c>
      <c r="P80" s="184">
        <f>M80*G80</f>
        <v>0</v>
      </c>
      <c r="Q80" s="184">
        <f>M80*H80</f>
        <v>0</v>
      </c>
      <c r="R80" s="184">
        <f>M80*I80</f>
        <v>105.28144</v>
      </c>
      <c r="S80" s="184">
        <f>M80*J80</f>
        <v>173.38244</v>
      </c>
      <c r="T80" s="184">
        <f>M80*K80</f>
        <v>471.15789599999999</v>
      </c>
      <c r="U80" s="184">
        <f>M80*L80</f>
        <v>341.18330400000002</v>
      </c>
      <c r="V80" s="311"/>
      <c r="W80" s="745">
        <v>1310</v>
      </c>
      <c r="X80" s="745">
        <v>996.91</v>
      </c>
      <c r="Y80" s="430">
        <v>0.76100000000000001</v>
      </c>
      <c r="Z80" s="746">
        <v>996.91</v>
      </c>
    </row>
    <row r="81" spans="1:26" ht="12.75" customHeight="1" x14ac:dyDescent="0.25">
      <c r="A81" s="314"/>
      <c r="B81" s="334"/>
      <c r="C81" s="326" t="s">
        <v>103</v>
      </c>
      <c r="D81" s="184"/>
      <c r="E81" s="183"/>
      <c r="F81" s="183"/>
      <c r="G81" s="183"/>
      <c r="H81" s="183"/>
      <c r="I81" s="183"/>
      <c r="J81" s="183"/>
      <c r="K81" s="183"/>
      <c r="L81" s="183"/>
      <c r="M81" s="429"/>
      <c r="N81" s="184"/>
      <c r="O81" s="184"/>
      <c r="P81" s="184"/>
      <c r="Q81" s="184"/>
      <c r="R81" s="184"/>
      <c r="S81" s="184"/>
      <c r="T81" s="184"/>
      <c r="U81" s="184"/>
      <c r="W81" s="745">
        <f>SUM(E81:L81)</f>
        <v>0</v>
      </c>
      <c r="X81" s="745">
        <f>SUM(N81:U81)</f>
        <v>0</v>
      </c>
      <c r="Y81" s="430">
        <f>M81</f>
        <v>0</v>
      </c>
      <c r="Z81" s="746">
        <f>W81*Y81</f>
        <v>0</v>
      </c>
    </row>
    <row r="82" spans="1:26" ht="38.25" customHeight="1" x14ac:dyDescent="0.25">
      <c r="A82" s="314"/>
      <c r="B82" s="335">
        <v>4111307</v>
      </c>
      <c r="C82" s="328" t="s">
        <v>104</v>
      </c>
      <c r="D82" s="184">
        <v>1175.5</v>
      </c>
      <c r="E82" s="183">
        <v>0</v>
      </c>
      <c r="F82" s="183">
        <v>0</v>
      </c>
      <c r="G82" s="183">
        <v>0</v>
      </c>
      <c r="H82" s="183">
        <v>0</v>
      </c>
      <c r="I82" s="183">
        <v>0</v>
      </c>
      <c r="J82" s="183">
        <v>0</v>
      </c>
      <c r="K82" s="183">
        <v>670.03499999999997</v>
      </c>
      <c r="L82" s="183">
        <v>505.46499999999997</v>
      </c>
      <c r="M82" s="429">
        <v>0.76500000000000001</v>
      </c>
      <c r="N82" s="184">
        <f>M82*E82</f>
        <v>0</v>
      </c>
      <c r="O82" s="184">
        <f>M82*F82</f>
        <v>0</v>
      </c>
      <c r="P82" s="184">
        <f>M82*G82</f>
        <v>0</v>
      </c>
      <c r="Q82" s="184">
        <f>M82*H82</f>
        <v>0</v>
      </c>
      <c r="R82" s="184">
        <f>M82*I82</f>
        <v>0</v>
      </c>
      <c r="S82" s="184">
        <f>M82*J82</f>
        <v>0</v>
      </c>
      <c r="T82" s="184">
        <f>M82*K82</f>
        <v>512.576775</v>
      </c>
      <c r="U82" s="184">
        <f>M82*L82</f>
        <v>386.680725</v>
      </c>
      <c r="V82" s="311"/>
      <c r="W82" s="745">
        <f>SUM(E82:L82)</f>
        <v>1175.5</v>
      </c>
      <c r="X82" s="745">
        <f>SUM(N82:U82)</f>
        <v>899.25749999999994</v>
      </c>
      <c r="Y82" s="430">
        <f>M82</f>
        <v>0.76500000000000001</v>
      </c>
      <c r="Z82" s="746">
        <f>W82*Y82</f>
        <v>899.25750000000005</v>
      </c>
    </row>
    <row r="83" spans="1:26" ht="43.5" customHeight="1" x14ac:dyDescent="0.25">
      <c r="A83" s="314"/>
      <c r="B83" s="335">
        <v>4111307</v>
      </c>
      <c r="C83" s="328" t="s">
        <v>106</v>
      </c>
      <c r="D83" s="184">
        <v>18595.490000000002</v>
      </c>
      <c r="E83" s="183">
        <v>0</v>
      </c>
      <c r="F83" s="183">
        <v>0</v>
      </c>
      <c r="G83" s="183">
        <v>293.14999999999998</v>
      </c>
      <c r="H83" s="183">
        <v>2773.9</v>
      </c>
      <c r="I83" s="183">
        <v>3076.61</v>
      </c>
      <c r="J83" s="183">
        <v>4075.22</v>
      </c>
      <c r="K83" s="183">
        <v>4439.6033000000016</v>
      </c>
      <c r="L83" s="183">
        <v>3937.0067000000008</v>
      </c>
      <c r="M83" s="429">
        <v>0.76500000000000001</v>
      </c>
      <c r="N83" s="184">
        <f>M83*E83</f>
        <v>0</v>
      </c>
      <c r="O83" s="184">
        <f>M83*F83</f>
        <v>0</v>
      </c>
      <c r="P83" s="184">
        <f>M83*G83</f>
        <v>224.25975</v>
      </c>
      <c r="Q83" s="184">
        <f>M83*H83</f>
        <v>2122.0335</v>
      </c>
      <c r="R83" s="184">
        <f>M83*I83</f>
        <v>2353.6066500000002</v>
      </c>
      <c r="S83" s="184">
        <f>M83*J83</f>
        <v>3117.5432999999998</v>
      </c>
      <c r="T83" s="184">
        <f>M83*K83</f>
        <v>3396.2965245000014</v>
      </c>
      <c r="U83" s="184">
        <f>M83*L83</f>
        <v>3011.8101255000006</v>
      </c>
      <c r="V83" s="311"/>
      <c r="W83" s="745">
        <f>SUM(E83:L83)</f>
        <v>18595.490000000002</v>
      </c>
      <c r="X83" s="745">
        <f>SUM(N83:U83)</f>
        <v>14225.549850000001</v>
      </c>
      <c r="Y83" s="430">
        <f>M83</f>
        <v>0.76500000000000001</v>
      </c>
      <c r="Z83" s="746">
        <f>W83*Y83</f>
        <v>14225.549850000001</v>
      </c>
    </row>
    <row r="84" spans="1:26" ht="39.75" customHeight="1" x14ac:dyDescent="0.25">
      <c r="A84" s="314"/>
      <c r="B84" s="335">
        <v>4111307</v>
      </c>
      <c r="C84" s="328" t="s">
        <v>108</v>
      </c>
      <c r="D84" s="184">
        <v>10194.129999999999</v>
      </c>
      <c r="E84" s="183">
        <v>0</v>
      </c>
      <c r="F84" s="183">
        <v>0</v>
      </c>
      <c r="G84" s="183">
        <v>349.16</v>
      </c>
      <c r="H84" s="183">
        <v>840.8</v>
      </c>
      <c r="I84" s="183">
        <v>4821.5200000000004</v>
      </c>
      <c r="J84" s="183">
        <v>2673.22</v>
      </c>
      <c r="K84" s="183">
        <v>845.2807999999992</v>
      </c>
      <c r="L84" s="183">
        <v>664.14919999999915</v>
      </c>
      <c r="M84" s="429">
        <v>0.76100000000000001</v>
      </c>
      <c r="N84" s="184">
        <f>M84*E84</f>
        <v>0</v>
      </c>
      <c r="O84" s="184">
        <f>M84*F84</f>
        <v>0</v>
      </c>
      <c r="P84" s="184">
        <f>M84*G84</f>
        <v>265.71076000000005</v>
      </c>
      <c r="Q84" s="184">
        <f>M84*H84</f>
        <v>639.84879999999998</v>
      </c>
      <c r="R84" s="184">
        <f>M84*I84</f>
        <v>3669.1767200000004</v>
      </c>
      <c r="S84" s="184">
        <f>M84*J84</f>
        <v>2034.3204199999998</v>
      </c>
      <c r="T84" s="184">
        <f>M84*K84</f>
        <v>643.25868879999939</v>
      </c>
      <c r="U84" s="184">
        <f>M84*L84</f>
        <v>505.41754119999939</v>
      </c>
      <c r="V84" s="311"/>
      <c r="W84" s="745">
        <f>SUM(E84:L84)</f>
        <v>10194.129999999999</v>
      </c>
      <c r="X84" s="745">
        <f>SUM(N84:U84)</f>
        <v>7757.7329299999992</v>
      </c>
      <c r="Y84" s="430">
        <f>M84</f>
        <v>0.76100000000000001</v>
      </c>
      <c r="Z84" s="746">
        <f>W84*Y84</f>
        <v>7757.7329299999992</v>
      </c>
    </row>
    <row r="85" spans="1:26" ht="15" customHeight="1" x14ac:dyDescent="0.25">
      <c r="A85" s="314"/>
      <c r="B85" s="609"/>
      <c r="C85" s="326" t="s">
        <v>164</v>
      </c>
      <c r="D85" s="184"/>
      <c r="E85" s="183"/>
      <c r="F85" s="183"/>
      <c r="G85" s="183"/>
      <c r="H85" s="183"/>
      <c r="I85" s="183"/>
      <c r="J85" s="183"/>
      <c r="K85" s="183"/>
      <c r="L85" s="183"/>
      <c r="M85" s="429"/>
      <c r="N85" s="184"/>
      <c r="O85" s="184"/>
      <c r="P85" s="184"/>
      <c r="Q85" s="184"/>
      <c r="R85" s="184"/>
      <c r="S85" s="184"/>
      <c r="T85" s="184"/>
      <c r="U85" s="184"/>
      <c r="W85" s="745"/>
      <c r="X85" s="745"/>
      <c r="Y85" s="430"/>
    </row>
    <row r="86" spans="1:26" ht="52.5" customHeight="1" x14ac:dyDescent="0.25">
      <c r="A86" s="314"/>
      <c r="B86" s="718">
        <v>4111201</v>
      </c>
      <c r="C86" s="328" t="s">
        <v>110</v>
      </c>
      <c r="D86" s="184">
        <v>3397.94</v>
      </c>
      <c r="E86" s="183">
        <v>0</v>
      </c>
      <c r="F86" s="183">
        <v>0</v>
      </c>
      <c r="G86" s="183">
        <v>0</v>
      </c>
      <c r="H86" s="183">
        <v>0</v>
      </c>
      <c r="I86" s="183">
        <v>455.04</v>
      </c>
      <c r="J86" s="183">
        <v>726.54</v>
      </c>
      <c r="K86" s="183">
        <v>1218.998</v>
      </c>
      <c r="L86" s="183">
        <v>997.36200000000008</v>
      </c>
      <c r="M86" s="429">
        <v>0.76100000000000001</v>
      </c>
      <c r="N86" s="184">
        <f t="shared" ref="N86:N93" si="34">M86*E86</f>
        <v>0</v>
      </c>
      <c r="O86" s="184">
        <f t="shared" ref="O86:O93" si="35">M86*F86</f>
        <v>0</v>
      </c>
      <c r="P86" s="184">
        <f t="shared" ref="P86:P93" si="36">M86*G86</f>
        <v>0</v>
      </c>
      <c r="Q86" s="184">
        <f t="shared" ref="Q86:Q93" si="37">M86*H86</f>
        <v>0</v>
      </c>
      <c r="R86" s="184">
        <f t="shared" ref="R86:R93" si="38">M86*I86</f>
        <v>346.28543999999999</v>
      </c>
      <c r="S86" s="184">
        <f t="shared" ref="S86:S93" si="39">M86*J86</f>
        <v>552.89693999999997</v>
      </c>
      <c r="T86" s="184">
        <f t="shared" ref="T86:T93" si="40">M86*K86</f>
        <v>927.65747800000008</v>
      </c>
      <c r="U86" s="184">
        <f t="shared" ref="U86:U93" si="41">M86*L86</f>
        <v>758.99248200000011</v>
      </c>
      <c r="V86" s="311"/>
      <c r="W86" s="745">
        <f>SUM(E86:L86)</f>
        <v>3397.94</v>
      </c>
      <c r="X86" s="745">
        <f>SUM(N86:U86)</f>
        <v>2585.8323399999999</v>
      </c>
      <c r="Y86" s="430">
        <f>M86</f>
        <v>0.76100000000000001</v>
      </c>
      <c r="Z86" s="746">
        <f>W86*Y86</f>
        <v>2585.8323399999999</v>
      </c>
    </row>
    <row r="87" spans="1:26" ht="51.75" customHeight="1" x14ac:dyDescent="0.25">
      <c r="A87" s="314"/>
      <c r="B87" s="718">
        <v>4111201</v>
      </c>
      <c r="C87" s="328" t="s">
        <v>111</v>
      </c>
      <c r="D87" s="184">
        <v>2035.43</v>
      </c>
      <c r="E87" s="183">
        <v>0</v>
      </c>
      <c r="F87" s="183">
        <v>0</v>
      </c>
      <c r="G87" s="183">
        <v>0</v>
      </c>
      <c r="H87" s="183">
        <v>0</v>
      </c>
      <c r="I87" s="183">
        <v>452.46</v>
      </c>
      <c r="J87" s="183">
        <v>253.65</v>
      </c>
      <c r="K87" s="183">
        <v>771.00560000000007</v>
      </c>
      <c r="L87" s="183">
        <v>558.31440000000009</v>
      </c>
      <c r="M87" s="429">
        <v>0.76100000000000001</v>
      </c>
      <c r="N87" s="184">
        <f t="shared" si="34"/>
        <v>0</v>
      </c>
      <c r="O87" s="184">
        <f t="shared" si="35"/>
        <v>0</v>
      </c>
      <c r="P87" s="184">
        <f t="shared" si="36"/>
        <v>0</v>
      </c>
      <c r="Q87" s="184">
        <f t="shared" si="37"/>
        <v>0</v>
      </c>
      <c r="R87" s="184">
        <f t="shared" si="38"/>
        <v>344.32205999999996</v>
      </c>
      <c r="S87" s="184">
        <f t="shared" si="39"/>
        <v>193.02764999999999</v>
      </c>
      <c r="T87" s="184">
        <f t="shared" si="40"/>
        <v>586.73526160000006</v>
      </c>
      <c r="U87" s="184">
        <f t="shared" si="41"/>
        <v>424.87725840000007</v>
      </c>
      <c r="V87" s="311"/>
      <c r="W87" s="745">
        <f>SUM(E87:L87)</f>
        <v>2035.4300000000003</v>
      </c>
      <c r="X87" s="745">
        <f>SUM(N87:U87)</f>
        <v>1548.9622300000001</v>
      </c>
      <c r="Y87" s="430">
        <f>M87</f>
        <v>0.76100000000000001</v>
      </c>
      <c r="Z87" s="746">
        <f>W87*Y87</f>
        <v>1548.9622300000003</v>
      </c>
    </row>
    <row r="88" spans="1:26" ht="52.5" customHeight="1" x14ac:dyDescent="0.25">
      <c r="A88" s="314"/>
      <c r="B88" s="718">
        <v>4111201</v>
      </c>
      <c r="C88" s="328" t="s">
        <v>112</v>
      </c>
      <c r="D88" s="184">
        <v>1747.81</v>
      </c>
      <c r="E88" s="183">
        <v>0</v>
      </c>
      <c r="F88" s="183">
        <v>0</v>
      </c>
      <c r="G88" s="183">
        <v>0</v>
      </c>
      <c r="H88" s="183">
        <v>0</v>
      </c>
      <c r="I88" s="183">
        <v>341.85</v>
      </c>
      <c r="J88" s="183">
        <v>179.68</v>
      </c>
      <c r="K88" s="183">
        <v>674.45400000000006</v>
      </c>
      <c r="L88" s="183">
        <v>551.82600000000002</v>
      </c>
      <c r="M88" s="429">
        <v>0.76100000000000001</v>
      </c>
      <c r="N88" s="184">
        <f t="shared" si="34"/>
        <v>0</v>
      </c>
      <c r="O88" s="184">
        <f t="shared" si="35"/>
        <v>0</v>
      </c>
      <c r="P88" s="184">
        <f t="shared" si="36"/>
        <v>0</v>
      </c>
      <c r="Q88" s="184">
        <f t="shared" si="37"/>
        <v>0</v>
      </c>
      <c r="R88" s="184">
        <f t="shared" si="38"/>
        <v>260.14785000000001</v>
      </c>
      <c r="S88" s="184">
        <f t="shared" si="39"/>
        <v>136.73648</v>
      </c>
      <c r="T88" s="184">
        <f t="shared" si="40"/>
        <v>513.25949400000002</v>
      </c>
      <c r="U88" s="184">
        <f t="shared" si="41"/>
        <v>419.93958600000002</v>
      </c>
      <c r="V88" s="311"/>
      <c r="W88" s="745">
        <f>SUM(E88:L88)</f>
        <v>1747.81</v>
      </c>
      <c r="X88" s="745">
        <f>SUM(N88:U88)</f>
        <v>1330.08341</v>
      </c>
      <c r="Y88" s="430">
        <f>M88</f>
        <v>0.76100000000000001</v>
      </c>
      <c r="Z88" s="746">
        <f>W88*Y88</f>
        <v>1330.08341</v>
      </c>
    </row>
    <row r="89" spans="1:26" ht="39" customHeight="1" x14ac:dyDescent="0.25">
      <c r="A89" s="314"/>
      <c r="B89" s="718">
        <v>4111201</v>
      </c>
      <c r="C89" s="328" t="s">
        <v>113</v>
      </c>
      <c r="D89" s="184">
        <v>19669.71</v>
      </c>
      <c r="E89" s="183">
        <v>0</v>
      </c>
      <c r="F89" s="183">
        <v>0</v>
      </c>
      <c r="G89" s="183">
        <v>336.91</v>
      </c>
      <c r="H89" s="183">
        <v>3910</v>
      </c>
      <c r="I89" s="183">
        <v>1880.15</v>
      </c>
      <c r="J89" s="183">
        <v>2923.61</v>
      </c>
      <c r="K89" s="183">
        <v>6159.0431999999992</v>
      </c>
      <c r="L89" s="183">
        <v>4459.996799999999</v>
      </c>
      <c r="M89" s="429">
        <v>0.76100000000000001</v>
      </c>
      <c r="N89" s="184">
        <f t="shared" si="34"/>
        <v>0</v>
      </c>
      <c r="O89" s="184">
        <f t="shared" si="35"/>
        <v>0</v>
      </c>
      <c r="P89" s="184">
        <f t="shared" si="36"/>
        <v>256.38851</v>
      </c>
      <c r="Q89" s="184">
        <f t="shared" si="37"/>
        <v>2975.51</v>
      </c>
      <c r="R89" s="184">
        <f t="shared" si="38"/>
        <v>1430.7941500000002</v>
      </c>
      <c r="S89" s="184">
        <f t="shared" si="39"/>
        <v>2224.8672100000003</v>
      </c>
      <c r="T89" s="184">
        <f t="shared" si="40"/>
        <v>4687.0318751999994</v>
      </c>
      <c r="U89" s="184">
        <f t="shared" si="41"/>
        <v>3394.0575647999995</v>
      </c>
      <c r="V89" s="311"/>
      <c r="W89" s="745">
        <f>SUM(E89:L89)</f>
        <v>19669.71</v>
      </c>
      <c r="X89" s="745">
        <f>SUM(N89:U89)</f>
        <v>14968.649309999999</v>
      </c>
      <c r="Y89" s="430">
        <f>M89</f>
        <v>0.76100000000000001</v>
      </c>
      <c r="Z89" s="746">
        <f>W89*Y89</f>
        <v>14968.649309999999</v>
      </c>
    </row>
    <row r="90" spans="1:26" ht="18" customHeight="1" x14ac:dyDescent="0.25">
      <c r="A90" s="314"/>
      <c r="B90" s="718">
        <v>4111201</v>
      </c>
      <c r="C90" s="328" t="s">
        <v>114</v>
      </c>
      <c r="D90" s="184">
        <v>160.79</v>
      </c>
      <c r="E90" s="183">
        <v>0</v>
      </c>
      <c r="F90" s="183">
        <v>0</v>
      </c>
      <c r="G90" s="183">
        <v>0</v>
      </c>
      <c r="H90" s="183">
        <v>0</v>
      </c>
      <c r="I90" s="183">
        <v>73.260000000000005</v>
      </c>
      <c r="J90" s="183">
        <v>0</v>
      </c>
      <c r="K90" s="183">
        <v>48.141499999999994</v>
      </c>
      <c r="L90" s="183">
        <v>39.388499999999993</v>
      </c>
      <c r="M90" s="429">
        <v>0.76100000000000001</v>
      </c>
      <c r="N90" s="184">
        <f t="shared" si="34"/>
        <v>0</v>
      </c>
      <c r="O90" s="184">
        <f t="shared" si="35"/>
        <v>0</v>
      </c>
      <c r="P90" s="184">
        <f t="shared" si="36"/>
        <v>0</v>
      </c>
      <c r="Q90" s="184">
        <f t="shared" si="37"/>
        <v>0</v>
      </c>
      <c r="R90" s="184">
        <f t="shared" si="38"/>
        <v>55.750860000000003</v>
      </c>
      <c r="S90" s="184">
        <f t="shared" si="39"/>
        <v>0</v>
      </c>
      <c r="T90" s="184">
        <f t="shared" si="40"/>
        <v>36.635681499999997</v>
      </c>
      <c r="U90" s="184">
        <f t="shared" si="41"/>
        <v>29.974648499999997</v>
      </c>
      <c r="V90" s="311"/>
      <c r="W90" s="745">
        <f>SUM(E90:L90)</f>
        <v>160.79</v>
      </c>
      <c r="X90" s="745">
        <f>SUM(N90:U90)</f>
        <v>122.36118999999999</v>
      </c>
      <c r="Y90" s="430">
        <f>M90</f>
        <v>0.76100000000000001</v>
      </c>
      <c r="Z90" s="746">
        <f>W90*Y90</f>
        <v>122.36118999999999</v>
      </c>
    </row>
    <row r="91" spans="1:26" ht="18" customHeight="1" x14ac:dyDescent="0.25">
      <c r="A91" s="314"/>
      <c r="B91" s="718">
        <v>4111201</v>
      </c>
      <c r="C91" s="328" t="s">
        <v>115</v>
      </c>
      <c r="D91" s="184">
        <v>225</v>
      </c>
      <c r="E91" s="183">
        <v>0</v>
      </c>
      <c r="F91" s="183">
        <v>0</v>
      </c>
      <c r="G91" s="183">
        <v>0</v>
      </c>
      <c r="H91" s="183">
        <v>0</v>
      </c>
      <c r="I91" s="183">
        <v>0</v>
      </c>
      <c r="J91" s="183">
        <v>0</v>
      </c>
      <c r="K91" s="183">
        <v>123.75</v>
      </c>
      <c r="L91" s="183">
        <v>101.25</v>
      </c>
      <c r="M91" s="429">
        <v>2.7610000000000001</v>
      </c>
      <c r="N91" s="184">
        <f t="shared" si="34"/>
        <v>0</v>
      </c>
      <c r="O91" s="184">
        <f t="shared" si="35"/>
        <v>0</v>
      </c>
      <c r="P91" s="184">
        <f t="shared" si="36"/>
        <v>0</v>
      </c>
      <c r="Q91" s="184">
        <f t="shared" si="37"/>
        <v>0</v>
      </c>
      <c r="R91" s="184">
        <f t="shared" si="38"/>
        <v>0</v>
      </c>
      <c r="S91" s="184">
        <f t="shared" si="39"/>
        <v>0</v>
      </c>
      <c r="T91" s="184">
        <f t="shared" si="40"/>
        <v>341.67375000000004</v>
      </c>
      <c r="U91" s="184">
        <f t="shared" si="41"/>
        <v>279.55125000000004</v>
      </c>
      <c r="V91" s="311"/>
      <c r="W91" s="745"/>
      <c r="X91" s="745"/>
      <c r="Y91" s="430"/>
    </row>
    <row r="92" spans="1:26" ht="16.5" customHeight="1" x14ac:dyDescent="0.25">
      <c r="A92" s="314"/>
      <c r="B92" s="718">
        <v>4111201</v>
      </c>
      <c r="C92" s="328" t="s">
        <v>116</v>
      </c>
      <c r="D92" s="184">
        <v>1050</v>
      </c>
      <c r="E92" s="183">
        <v>0</v>
      </c>
      <c r="F92" s="183">
        <v>0</v>
      </c>
      <c r="G92" s="183">
        <v>0</v>
      </c>
      <c r="H92" s="183">
        <v>0</v>
      </c>
      <c r="I92" s="183">
        <v>42.09</v>
      </c>
      <c r="J92" s="183">
        <v>93.33</v>
      </c>
      <c r="K92" s="183">
        <v>521.31059999999991</v>
      </c>
      <c r="L92" s="183">
        <v>393.26940000000002</v>
      </c>
      <c r="M92" s="429">
        <v>0.76500000000000001</v>
      </c>
      <c r="N92" s="184">
        <f t="shared" si="34"/>
        <v>0</v>
      </c>
      <c r="O92" s="184">
        <f t="shared" si="35"/>
        <v>0</v>
      </c>
      <c r="P92" s="184">
        <f t="shared" si="36"/>
        <v>0</v>
      </c>
      <c r="Q92" s="184">
        <f t="shared" si="37"/>
        <v>0</v>
      </c>
      <c r="R92" s="184">
        <f t="shared" si="38"/>
        <v>32.19885</v>
      </c>
      <c r="S92" s="184">
        <f t="shared" si="39"/>
        <v>71.397450000000006</v>
      </c>
      <c r="T92" s="184">
        <f t="shared" si="40"/>
        <v>398.80260899999996</v>
      </c>
      <c r="U92" s="184">
        <f t="shared" si="41"/>
        <v>300.851091</v>
      </c>
      <c r="V92" s="311"/>
      <c r="W92" s="745">
        <f>SUM(E92:L92)</f>
        <v>1050</v>
      </c>
      <c r="X92" s="745">
        <f>SUM(N92:U92)</f>
        <v>803.25</v>
      </c>
      <c r="Y92" s="430">
        <f>M92</f>
        <v>0.76500000000000001</v>
      </c>
      <c r="Z92" s="746">
        <f>W92*Y92</f>
        <v>803.25</v>
      </c>
    </row>
    <row r="93" spans="1:26" ht="16.5" customHeight="1" x14ac:dyDescent="0.25">
      <c r="A93" s="314"/>
      <c r="B93" s="717">
        <v>4111201</v>
      </c>
      <c r="C93" s="328" t="s">
        <v>117</v>
      </c>
      <c r="D93" s="184">
        <v>100</v>
      </c>
      <c r="E93" s="183">
        <v>0</v>
      </c>
      <c r="F93" s="183">
        <v>0</v>
      </c>
      <c r="G93" s="183">
        <v>0</v>
      </c>
      <c r="H93" s="183">
        <v>0</v>
      </c>
      <c r="I93" s="183">
        <v>0</v>
      </c>
      <c r="J93" s="183">
        <v>0</v>
      </c>
      <c r="K93" s="183">
        <v>55.000000000000007</v>
      </c>
      <c r="L93" s="183">
        <v>45</v>
      </c>
      <c r="M93" s="429">
        <v>0.76100000000000001</v>
      </c>
      <c r="N93" s="184">
        <f t="shared" si="34"/>
        <v>0</v>
      </c>
      <c r="O93" s="184">
        <f t="shared" si="35"/>
        <v>0</v>
      </c>
      <c r="P93" s="184">
        <f t="shared" si="36"/>
        <v>0</v>
      </c>
      <c r="Q93" s="184">
        <f t="shared" si="37"/>
        <v>0</v>
      </c>
      <c r="R93" s="184">
        <f t="shared" si="38"/>
        <v>0</v>
      </c>
      <c r="S93" s="184">
        <f t="shared" si="39"/>
        <v>0</v>
      </c>
      <c r="T93" s="184">
        <f t="shared" si="40"/>
        <v>41.855000000000004</v>
      </c>
      <c r="U93" s="184">
        <f t="shared" si="41"/>
        <v>34.244999999999997</v>
      </c>
      <c r="V93" s="311"/>
      <c r="W93" s="745">
        <f>SUM(E93:L93)</f>
        <v>100</v>
      </c>
      <c r="X93" s="745">
        <f>SUM(N93:U93)</f>
        <v>76.099999999999994</v>
      </c>
      <c r="Y93" s="430">
        <f>M93</f>
        <v>0.76100000000000001</v>
      </c>
      <c r="Z93" s="746">
        <f>W93*Y93</f>
        <v>76.099999999999994</v>
      </c>
    </row>
    <row r="94" spans="1:26" s="336" customFormat="1" ht="24" customHeight="1" x14ac:dyDescent="0.25">
      <c r="B94" s="619"/>
      <c r="C94" s="725" t="s">
        <v>203</v>
      </c>
      <c r="D94" s="240">
        <f t="shared" ref="D94:L94" si="42">SUM(D86:D93,D82:D84,D80,D77,D70:D75,D66:D68,D63:D64,D61,D58:D59)</f>
        <v>80613.56</v>
      </c>
      <c r="E94" s="240">
        <f t="shared" si="42"/>
        <v>375.20400000000001</v>
      </c>
      <c r="F94" s="240">
        <f t="shared" si="42"/>
        <v>189.19</v>
      </c>
      <c r="G94" s="240">
        <f t="shared" si="42"/>
        <v>5714.8159999999998</v>
      </c>
      <c r="H94" s="240">
        <f t="shared" si="42"/>
        <v>13502.729999999998</v>
      </c>
      <c r="I94" s="240">
        <f t="shared" si="42"/>
        <v>15155.13</v>
      </c>
      <c r="J94" s="240">
        <f t="shared" si="42"/>
        <v>12125.46</v>
      </c>
      <c r="K94" s="240">
        <f t="shared" si="42"/>
        <v>18578.886199999994</v>
      </c>
      <c r="L94" s="240">
        <f t="shared" si="42"/>
        <v>14972.1438</v>
      </c>
      <c r="M94" s="240"/>
      <c r="N94" s="240">
        <f t="shared" ref="N94:U94" si="43">SUM(N86:N93,N82:N84,N80,N77,N70:N75,N66:N68,N63:N64,N61,N58:N59)</f>
        <v>258.18448800000004</v>
      </c>
      <c r="O94" s="240">
        <f t="shared" si="43"/>
        <v>131.12155999999999</v>
      </c>
      <c r="P94" s="240">
        <f t="shared" si="43"/>
        <v>5002.0108319999999</v>
      </c>
      <c r="Q94" s="240">
        <f t="shared" si="43"/>
        <v>11091.146080000002</v>
      </c>
      <c r="R94" s="240">
        <f t="shared" si="43"/>
        <v>12109.63298</v>
      </c>
      <c r="S94" s="240">
        <f t="shared" si="43"/>
        <v>9411.9997699999985</v>
      </c>
      <c r="T94" s="240">
        <f t="shared" si="43"/>
        <v>14798.194787999997</v>
      </c>
      <c r="U94" s="240">
        <f t="shared" si="43"/>
        <v>11998.799981999999</v>
      </c>
    </row>
    <row r="95" spans="1:26" s="336" customFormat="1" ht="24" customHeight="1" x14ac:dyDescent="0.25">
      <c r="B95" s="619"/>
      <c r="C95" s="725" t="s">
        <v>120</v>
      </c>
      <c r="D95" s="240">
        <f t="shared" ref="D95:L95" si="44">SUM(D94,D54)</f>
        <v>99714.49</v>
      </c>
      <c r="E95" s="240">
        <f t="shared" si="44"/>
        <v>1456.2940000000001</v>
      </c>
      <c r="F95" s="240">
        <f t="shared" si="44"/>
        <v>2682.9269999999997</v>
      </c>
      <c r="G95" s="240">
        <f t="shared" si="44"/>
        <v>7942.6859999999997</v>
      </c>
      <c r="H95" s="240">
        <f t="shared" si="44"/>
        <v>15867.589999999997</v>
      </c>
      <c r="I95" s="240">
        <f t="shared" si="44"/>
        <v>17642.419999999998</v>
      </c>
      <c r="J95" s="240">
        <f t="shared" si="44"/>
        <v>13726.97</v>
      </c>
      <c r="K95" s="240">
        <f t="shared" si="44"/>
        <v>22741.864739999994</v>
      </c>
      <c r="L95" s="240">
        <f t="shared" si="44"/>
        <v>17653.738259999998</v>
      </c>
      <c r="M95" s="240"/>
      <c r="N95" s="240">
        <f t="shared" ref="N95:U95" si="45">SUM(N94,N54)</f>
        <v>1212.688768</v>
      </c>
      <c r="O95" s="240">
        <f t="shared" si="45"/>
        <v>2329.3641900000002</v>
      </c>
      <c r="P95" s="240">
        <f t="shared" si="45"/>
        <v>6957.1396919999997</v>
      </c>
      <c r="Q95" s="240">
        <f t="shared" si="45"/>
        <v>13168.053770000002</v>
      </c>
      <c r="R95" s="240">
        <f t="shared" si="45"/>
        <v>14304.008460000001</v>
      </c>
      <c r="S95" s="240">
        <f t="shared" si="45"/>
        <v>10812.997319999999</v>
      </c>
      <c r="T95" s="240">
        <f t="shared" si="45"/>
        <v>18443.164588779997</v>
      </c>
      <c r="U95" s="240">
        <f t="shared" si="45"/>
        <v>14340.504451219998</v>
      </c>
    </row>
    <row r="96" spans="1:26" s="336" customFormat="1" ht="24.75" customHeight="1" x14ac:dyDescent="0.25">
      <c r="B96" s="619">
        <v>0</v>
      </c>
      <c r="C96" s="725" t="s">
        <v>121</v>
      </c>
      <c r="D96" s="240">
        <v>49.51</v>
      </c>
      <c r="E96" s="183">
        <v>0</v>
      </c>
      <c r="F96" s="330">
        <v>0</v>
      </c>
      <c r="G96" s="330">
        <v>0</v>
      </c>
      <c r="H96" s="330">
        <v>0</v>
      </c>
      <c r="I96" s="330">
        <v>0</v>
      </c>
      <c r="J96" s="330">
        <v>0</v>
      </c>
      <c r="K96" s="330">
        <v>26.240300000000001</v>
      </c>
      <c r="L96" s="330">
        <v>23.2697</v>
      </c>
      <c r="M96" s="429">
        <v>0.76500000000000001</v>
      </c>
      <c r="N96" s="184">
        <f>M96*E96</f>
        <v>0</v>
      </c>
      <c r="O96" s="184">
        <f>M96*F96</f>
        <v>0</v>
      </c>
      <c r="P96" s="184">
        <f>M96*G96</f>
        <v>0</v>
      </c>
      <c r="Q96" s="184">
        <f>M96*H96</f>
        <v>0</v>
      </c>
      <c r="R96" s="184">
        <f>M96*I96</f>
        <v>0</v>
      </c>
      <c r="S96" s="184">
        <f>M96*J96</f>
        <v>0</v>
      </c>
      <c r="T96" s="184">
        <f>M96*K96</f>
        <v>20.073829500000002</v>
      </c>
      <c r="U96" s="184">
        <f>M96*L96</f>
        <v>17.801320499999999</v>
      </c>
      <c r="V96" s="311"/>
    </row>
    <row r="97" spans="2:24" s="336" customFormat="1" ht="18.75" customHeight="1" x14ac:dyDescent="0.25">
      <c r="B97" s="619">
        <v>0</v>
      </c>
      <c r="C97" s="725" t="s">
        <v>123</v>
      </c>
      <c r="D97" s="240">
        <v>10</v>
      </c>
      <c r="E97" s="183">
        <v>0</v>
      </c>
      <c r="F97" s="330">
        <v>0</v>
      </c>
      <c r="G97" s="330">
        <v>0</v>
      </c>
      <c r="H97" s="330">
        <v>0</v>
      </c>
      <c r="I97" s="330">
        <v>0</v>
      </c>
      <c r="J97" s="330">
        <v>0</v>
      </c>
      <c r="K97" s="330">
        <v>5.4</v>
      </c>
      <c r="L97" s="330">
        <v>4.6000000000000014</v>
      </c>
      <c r="M97" s="429">
        <v>0</v>
      </c>
      <c r="N97" s="184">
        <f>M97*E97</f>
        <v>0</v>
      </c>
      <c r="O97" s="184">
        <f>M97*F97</f>
        <v>0</v>
      </c>
      <c r="P97" s="184">
        <f>M97*G97</f>
        <v>0</v>
      </c>
      <c r="Q97" s="184">
        <f>M97*H97</f>
        <v>0</v>
      </c>
      <c r="R97" s="184">
        <f>M97*I97</f>
        <v>0</v>
      </c>
      <c r="S97" s="184">
        <f>M97*J97</f>
        <v>0</v>
      </c>
      <c r="T97" s="184">
        <f>M97*K97</f>
        <v>0</v>
      </c>
      <c r="U97" s="184">
        <f>M97*L97</f>
        <v>0</v>
      </c>
      <c r="V97" s="311"/>
    </row>
    <row r="98" spans="2:24" s="336" customFormat="1" ht="20.25" customHeight="1" x14ac:dyDescent="0.25">
      <c r="B98" s="619"/>
      <c r="C98" s="725" t="s">
        <v>166</v>
      </c>
      <c r="D98" s="240">
        <f t="shared" ref="D98:L98" si="46">SUM(D95:D97)</f>
        <v>99774</v>
      </c>
      <c r="E98" s="240">
        <f t="shared" si="46"/>
        <v>1456.2940000000001</v>
      </c>
      <c r="F98" s="240">
        <f t="shared" si="46"/>
        <v>2682.9269999999997</v>
      </c>
      <c r="G98" s="240">
        <f t="shared" si="46"/>
        <v>7942.6859999999997</v>
      </c>
      <c r="H98" s="240">
        <f t="shared" si="46"/>
        <v>15867.589999999997</v>
      </c>
      <c r="I98" s="240">
        <f t="shared" si="46"/>
        <v>17642.419999999998</v>
      </c>
      <c r="J98" s="240">
        <f t="shared" si="46"/>
        <v>13726.97</v>
      </c>
      <c r="K98" s="240">
        <f t="shared" si="46"/>
        <v>22773.505039999996</v>
      </c>
      <c r="L98" s="240">
        <f t="shared" si="46"/>
        <v>17681.607959999998</v>
      </c>
      <c r="M98" s="240"/>
      <c r="N98" s="240">
        <f t="shared" ref="N98:U98" si="47">SUM(N95:N97)</f>
        <v>1212.688768</v>
      </c>
      <c r="O98" s="240">
        <f t="shared" si="47"/>
        <v>2329.3641900000002</v>
      </c>
      <c r="P98" s="240">
        <f t="shared" si="47"/>
        <v>6957.1396919999997</v>
      </c>
      <c r="Q98" s="240">
        <f t="shared" si="47"/>
        <v>13168.053770000002</v>
      </c>
      <c r="R98" s="240">
        <f t="shared" si="47"/>
        <v>14304.008460000001</v>
      </c>
      <c r="S98" s="240">
        <f t="shared" si="47"/>
        <v>10812.997319999999</v>
      </c>
      <c r="T98" s="240">
        <f t="shared" si="47"/>
        <v>18463.238418279998</v>
      </c>
      <c r="U98" s="240">
        <f t="shared" si="47"/>
        <v>14358.305771719999</v>
      </c>
      <c r="W98" s="12">
        <f>SUM(N98:U98)</f>
        <v>81605.796390000003</v>
      </c>
      <c r="X98" s="12">
        <f>SUM(E98:L98)</f>
        <v>99773.999999999985</v>
      </c>
    </row>
    <row r="100" spans="2:24" x14ac:dyDescent="0.25">
      <c r="E100" s="251"/>
      <c r="O100" s="745"/>
    </row>
    <row r="101" spans="2:24" x14ac:dyDescent="0.25">
      <c r="D101" s="745"/>
    </row>
    <row r="104" spans="2:24" x14ac:dyDescent="0.25">
      <c r="E104" s="710">
        <f>'Annex-II'!I99</f>
        <v>1456.2940000000003</v>
      </c>
      <c r="F104" s="710">
        <f>'Annex-II'!L99</f>
        <v>2682.9269999999997</v>
      </c>
      <c r="G104" s="710">
        <f>'Annex-II'!O99</f>
        <v>7942.6859999999988</v>
      </c>
      <c r="H104" s="710">
        <f>'Annex-II'!R99</f>
        <v>15867.59</v>
      </c>
      <c r="I104" s="710">
        <f>'Annex-II'!U99</f>
        <v>17642.419999999998</v>
      </c>
      <c r="J104" s="710">
        <f>'Annex-II'!X99</f>
        <v>13726.97</v>
      </c>
      <c r="K104" s="710">
        <f>'Annex-II'!AA99</f>
        <v>22773.505040000004</v>
      </c>
      <c r="L104" s="710">
        <f>'Annex-II'!AD99</f>
        <v>17681.607959999994</v>
      </c>
    </row>
    <row r="105" spans="2:24" x14ac:dyDescent="0.25">
      <c r="E105" s="710">
        <f t="shared" ref="E105:L105" si="48">E98-E104</f>
        <v>0</v>
      </c>
      <c r="F105" s="710">
        <f t="shared" si="48"/>
        <v>0</v>
      </c>
      <c r="G105" s="710">
        <f t="shared" si="48"/>
        <v>0</v>
      </c>
      <c r="H105" s="710">
        <f t="shared" si="48"/>
        <v>0</v>
      </c>
      <c r="I105" s="710">
        <f t="shared" si="48"/>
        <v>0</v>
      </c>
      <c r="J105" s="710">
        <f t="shared" si="48"/>
        <v>0</v>
      </c>
      <c r="K105" s="710">
        <f t="shared" si="48"/>
        <v>0</v>
      </c>
      <c r="L105" s="710">
        <f t="shared" si="48"/>
        <v>0</v>
      </c>
    </row>
  </sheetData>
  <mergeCells count="15">
    <mergeCell ref="B55:C55"/>
    <mergeCell ref="A1:U1"/>
    <mergeCell ref="D2:U2"/>
    <mergeCell ref="A3:C3"/>
    <mergeCell ref="D3:U3"/>
    <mergeCell ref="T4:U4"/>
    <mergeCell ref="A5:A6"/>
    <mergeCell ref="B5:B6"/>
    <mergeCell ref="C5:C6"/>
    <mergeCell ref="D5:D6"/>
    <mergeCell ref="E5:L5"/>
    <mergeCell ref="M5:M6"/>
    <mergeCell ref="N5:U5"/>
    <mergeCell ref="A7:H7"/>
    <mergeCell ref="B54:C54"/>
  </mergeCells>
  <printOptions horizontalCentered="1"/>
  <pageMargins left="0.15748031496063" right="0.23622047244094499" top="0.59055118110236204" bottom="3.9370078740157501E-2" header="0" footer="0"/>
  <pageSetup paperSize="9" scale="65" firstPageNumber="49" orientation="landscape" useFirstPageNumber="1"/>
  <headerFooter alignWithMargins="0">
    <oddFooter>&amp;C&amp;18 P - &amp;P</oddFooter>
  </headerFooter>
  <rowBreaks count="3" manualBreakCount="3">
    <brk id="32" max="20" man="1"/>
    <brk id="54" max="20" man="1"/>
    <brk id="77" max="2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"/>
  <sheetViews>
    <sheetView zoomScale="130" zoomScaleNormal="130" workbookViewId="0">
      <selection activeCell="K27" sqref="K27"/>
    </sheetView>
  </sheetViews>
  <sheetFormatPr defaultColWidth="12.42578125" defaultRowHeight="18" customHeight="1" x14ac:dyDescent="0.2"/>
  <cols>
    <col min="1" max="1" width="5.5703125" style="751" customWidth="1"/>
    <col min="2" max="3" width="10.85546875" style="751" customWidth="1"/>
    <col min="4" max="4" width="9.5703125" style="751" customWidth="1"/>
    <col min="5" max="5" width="11.85546875" style="751" customWidth="1"/>
    <col min="6" max="6" width="11.7109375" style="751" customWidth="1"/>
    <col min="7" max="7" width="9" style="751" customWidth="1"/>
    <col min="8" max="8" width="10.7109375" style="751" customWidth="1"/>
    <col min="9" max="9" width="10.42578125" style="751" customWidth="1"/>
    <col min="10" max="165" width="12.42578125" style="751" customWidth="1"/>
    <col min="166" max="16384" width="12.42578125" style="751"/>
  </cols>
  <sheetData>
    <row r="1" spans="1:14" ht="16.5" customHeight="1" x14ac:dyDescent="0.25">
      <c r="A1" s="337"/>
      <c r="B1" s="337"/>
      <c r="C1" s="338"/>
      <c r="D1" s="339"/>
      <c r="E1" s="340" t="s">
        <v>234</v>
      </c>
      <c r="F1" s="337"/>
      <c r="G1" s="337"/>
      <c r="H1" s="337"/>
    </row>
    <row r="2" spans="1:14" ht="6.75" customHeight="1" x14ac:dyDescent="0.25">
      <c r="A2" s="337"/>
      <c r="B2" s="337"/>
      <c r="C2" s="337"/>
      <c r="D2" s="337"/>
      <c r="E2" s="340"/>
      <c r="F2" s="337"/>
      <c r="G2" s="337"/>
      <c r="H2" s="337"/>
    </row>
    <row r="3" spans="1:14" ht="14.25" customHeight="1" x14ac:dyDescent="0.25">
      <c r="A3" s="337"/>
      <c r="E3" s="340" t="s">
        <v>235</v>
      </c>
    </row>
    <row r="4" spans="1:14" ht="10.5" customHeight="1" x14ac:dyDescent="0.25">
      <c r="A4" s="337"/>
      <c r="B4" s="337"/>
      <c r="C4" s="337"/>
      <c r="D4" s="337"/>
      <c r="E4" s="337"/>
      <c r="F4" s="337"/>
      <c r="G4" s="337"/>
      <c r="H4" s="341"/>
      <c r="I4" s="342"/>
    </row>
    <row r="5" spans="1:14" ht="18" customHeight="1" x14ac:dyDescent="0.2">
      <c r="A5" s="343" t="s">
        <v>236</v>
      </c>
      <c r="B5" s="344"/>
    </row>
    <row r="6" spans="1:14" ht="8.25" customHeight="1" x14ac:dyDescent="0.2">
      <c r="B6" s="345"/>
    </row>
    <row r="7" spans="1:14" ht="18" customHeight="1" x14ac:dyDescent="0.2">
      <c r="A7" s="346" t="s">
        <v>237</v>
      </c>
      <c r="B7" s="346"/>
      <c r="C7" s="346" t="s">
        <v>238</v>
      </c>
      <c r="D7" s="346" t="s">
        <v>239</v>
      </c>
      <c r="E7" s="346" t="s">
        <v>11</v>
      </c>
      <c r="F7" s="347" t="s">
        <v>240</v>
      </c>
      <c r="G7" s="346"/>
      <c r="H7" s="348" t="s">
        <v>241</v>
      </c>
      <c r="I7" s="349"/>
    </row>
    <row r="8" spans="1:14" ht="15.75" customHeight="1" x14ac:dyDescent="0.2">
      <c r="A8" s="350" t="s">
        <v>160</v>
      </c>
      <c r="B8" s="350" t="s">
        <v>242</v>
      </c>
      <c r="C8" s="350" t="s">
        <v>243</v>
      </c>
      <c r="D8" s="350" t="s">
        <v>244</v>
      </c>
      <c r="E8" s="350" t="s">
        <v>245</v>
      </c>
      <c r="F8" s="346" t="s">
        <v>223</v>
      </c>
      <c r="G8" s="346" t="s">
        <v>225</v>
      </c>
      <c r="H8" s="346" t="s">
        <v>223</v>
      </c>
      <c r="I8" s="351" t="s">
        <v>225</v>
      </c>
      <c r="J8" s="751" t="s">
        <v>246</v>
      </c>
      <c r="K8" s="751" t="s">
        <v>247</v>
      </c>
      <c r="L8" s="751" t="s">
        <v>248</v>
      </c>
      <c r="M8" s="751" t="s">
        <v>249</v>
      </c>
      <c r="N8" s="751" t="s">
        <v>250</v>
      </c>
    </row>
    <row r="9" spans="1:14" s="356" customFormat="1" ht="15.75" customHeight="1" x14ac:dyDescent="0.2">
      <c r="A9" s="352" t="s">
        <v>251</v>
      </c>
      <c r="B9" s="353" t="s">
        <v>252</v>
      </c>
      <c r="C9" s="354">
        <v>47000</v>
      </c>
      <c r="D9" s="751">
        <v>3.5</v>
      </c>
      <c r="E9" s="751">
        <f>D9*C9</f>
        <v>164500</v>
      </c>
      <c r="F9" s="751">
        <v>10000</v>
      </c>
      <c r="G9" s="751">
        <f>F9*1.005</f>
        <v>10049.999999999998</v>
      </c>
      <c r="H9" s="751">
        <f>+(E9*F9)/100000</f>
        <v>16450</v>
      </c>
      <c r="I9" s="751">
        <f>+(E9*G9)/100000</f>
        <v>16532.249999999996</v>
      </c>
      <c r="J9" s="355">
        <f>C9*115</f>
        <v>5405000</v>
      </c>
      <c r="K9" s="355">
        <f>C9*40</f>
        <v>1880000</v>
      </c>
      <c r="L9" s="355">
        <f>C9*200</f>
        <v>9400000</v>
      </c>
      <c r="M9" s="355">
        <f>L9*0.8</f>
        <v>7520000</v>
      </c>
      <c r="N9" s="355">
        <f>L9*0.5</f>
        <v>4700000</v>
      </c>
    </row>
    <row r="10" spans="1:14" s="356" customFormat="1" ht="15.75" customHeight="1" x14ac:dyDescent="0.2">
      <c r="A10" s="352" t="s">
        <v>253</v>
      </c>
      <c r="B10" s="353" t="s">
        <v>254</v>
      </c>
      <c r="C10" s="354">
        <v>125000</v>
      </c>
      <c r="D10" s="751">
        <v>4</v>
      </c>
      <c r="E10" s="751">
        <f>D10*C10</f>
        <v>500000</v>
      </c>
      <c r="F10" s="751">
        <v>11000</v>
      </c>
      <c r="G10" s="751">
        <f>F10*1.005</f>
        <v>11054.999999999998</v>
      </c>
      <c r="H10" s="751">
        <f>+(E10*F10)/100000</f>
        <v>55000</v>
      </c>
      <c r="I10" s="751">
        <f>+(E10*G10)/100000</f>
        <v>55274.999999999993</v>
      </c>
      <c r="J10" s="355">
        <f>C10*150</f>
        <v>18750000</v>
      </c>
      <c r="K10" s="355">
        <f>C10*40</f>
        <v>5000000</v>
      </c>
      <c r="L10" s="355">
        <f>C10*300</f>
        <v>37500000</v>
      </c>
      <c r="M10" s="355">
        <f>L10*0.8</f>
        <v>30000000</v>
      </c>
      <c r="N10" s="355">
        <f>L10*0.5</f>
        <v>18750000</v>
      </c>
    </row>
    <row r="11" spans="1:14" ht="15.75" customHeight="1" x14ac:dyDescent="0.2">
      <c r="A11" s="349"/>
      <c r="B11" s="357" t="s">
        <v>255</v>
      </c>
      <c r="C11" s="358">
        <f>SUM(C9:C10)</f>
        <v>172000</v>
      </c>
      <c r="D11" s="359" t="s">
        <v>256</v>
      </c>
      <c r="E11" s="359" t="s">
        <v>256</v>
      </c>
      <c r="F11" s="359" t="s">
        <v>256</v>
      </c>
      <c r="G11" s="359" t="s">
        <v>256</v>
      </c>
      <c r="H11" s="359">
        <f>SUM(H9:H10)</f>
        <v>71450</v>
      </c>
      <c r="I11" s="359">
        <f>SUM(I9:I10)</f>
        <v>71807.249999999985</v>
      </c>
      <c r="J11" s="355">
        <f>SUM(J9:J10)</f>
        <v>24155000</v>
      </c>
      <c r="K11" s="355">
        <f>SUM(K9:K10)</f>
        <v>6880000</v>
      </c>
      <c r="L11" s="355">
        <f>SUM(L9:L10)</f>
        <v>46900000</v>
      </c>
      <c r="M11" s="355">
        <f>L11*0.8</f>
        <v>37520000</v>
      </c>
      <c r="N11" s="355">
        <f>L11*0.5</f>
        <v>23450000</v>
      </c>
    </row>
    <row r="12" spans="1:14" ht="7.5" customHeight="1" x14ac:dyDescent="0.2"/>
    <row r="13" spans="1:14" ht="15.75" customHeight="1" x14ac:dyDescent="0.2">
      <c r="A13" s="342"/>
      <c r="B13" s="342"/>
      <c r="C13" s="751" t="s">
        <v>257</v>
      </c>
      <c r="E13" s="360">
        <f>C11/156392</f>
        <v>1.0998005013044145</v>
      </c>
      <c r="F13" s="353"/>
      <c r="G13" s="342"/>
      <c r="H13" s="342"/>
      <c r="I13" s="342"/>
    </row>
    <row r="14" spans="1:14" ht="6" customHeight="1" x14ac:dyDescent="0.2"/>
    <row r="15" spans="1:14" ht="15.75" customHeight="1" x14ac:dyDescent="0.2">
      <c r="C15" s="751" t="s">
        <v>258</v>
      </c>
      <c r="F15" s="751">
        <f>SUM(E9:E10)</f>
        <v>664500</v>
      </c>
      <c r="G15" s="751" t="s">
        <v>259</v>
      </c>
    </row>
    <row r="16" spans="1:14" ht="15.75" customHeight="1" x14ac:dyDescent="0.2"/>
    <row r="17" spans="2:8" ht="15.75" customHeight="1" x14ac:dyDescent="0.2"/>
    <row r="18" spans="2:8" ht="15.75" customHeight="1" x14ac:dyDescent="0.2"/>
    <row r="19" spans="2:8" ht="15.75" customHeight="1" x14ac:dyDescent="0.2"/>
    <row r="20" spans="2:8" ht="15.75" customHeight="1" x14ac:dyDescent="0.2"/>
    <row r="21" spans="2:8" ht="15.75" customHeight="1" x14ac:dyDescent="0.2"/>
    <row r="22" spans="2:8" ht="15.75" customHeight="1" x14ac:dyDescent="0.2"/>
    <row r="23" spans="2:8" ht="15.75" customHeight="1" x14ac:dyDescent="0.2"/>
    <row r="24" spans="2:8" ht="15.75" customHeight="1" x14ac:dyDescent="0.2"/>
    <row r="25" spans="2:8" ht="15.75" customHeight="1" x14ac:dyDescent="0.2"/>
    <row r="26" spans="2:8" ht="15.75" customHeight="1" x14ac:dyDescent="0.2"/>
    <row r="27" spans="2:8" ht="11.25" customHeight="1" x14ac:dyDescent="0.2"/>
    <row r="28" spans="2:8" ht="11.25" customHeight="1" x14ac:dyDescent="0.2"/>
    <row r="29" spans="2:8" ht="16.5" customHeight="1" x14ac:dyDescent="0.25">
      <c r="B29" s="337"/>
      <c r="C29" s="338"/>
      <c r="D29" s="339"/>
      <c r="E29" s="340" t="s">
        <v>234</v>
      </c>
      <c r="F29" s="337"/>
      <c r="G29" s="337"/>
      <c r="H29" s="337"/>
    </row>
    <row r="30" spans="2:8" ht="6.75" customHeight="1" x14ac:dyDescent="0.25">
      <c r="B30" s="337"/>
      <c r="C30" s="337"/>
      <c r="D30" s="337"/>
      <c r="E30" s="340"/>
      <c r="F30" s="337"/>
      <c r="G30" s="337"/>
      <c r="H30" s="337"/>
    </row>
    <row r="31" spans="2:8" ht="14.25" customHeight="1" x14ac:dyDescent="0.25">
      <c r="B31" s="337"/>
      <c r="C31" s="338"/>
      <c r="D31" s="338"/>
      <c r="E31" s="340" t="s">
        <v>235</v>
      </c>
      <c r="F31" s="337"/>
      <c r="G31" s="337"/>
      <c r="H31" s="337"/>
    </row>
    <row r="32" spans="2:8" ht="14.25" customHeight="1" x14ac:dyDescent="0.25">
      <c r="B32" s="337"/>
      <c r="C32" s="338"/>
      <c r="D32" s="338"/>
      <c r="E32" s="340"/>
      <c r="F32" s="337"/>
      <c r="G32" s="337"/>
      <c r="H32" s="337"/>
    </row>
    <row r="33" spans="1:14" ht="18" customHeight="1" x14ac:dyDescent="0.2">
      <c r="A33" s="343" t="s">
        <v>260</v>
      </c>
      <c r="B33" s="345"/>
    </row>
    <row r="34" spans="1:14" ht="8.25" customHeight="1" x14ac:dyDescent="0.2">
      <c r="B34" s="345"/>
    </row>
    <row r="35" spans="1:14" ht="18" customHeight="1" x14ac:dyDescent="0.2">
      <c r="A35" s="346" t="s">
        <v>237</v>
      </c>
      <c r="B35" s="346"/>
      <c r="C35" s="346" t="s">
        <v>238</v>
      </c>
      <c r="D35" s="346" t="s">
        <v>239</v>
      </c>
      <c r="E35" s="346" t="s">
        <v>11</v>
      </c>
      <c r="F35" s="347" t="s">
        <v>240</v>
      </c>
      <c r="G35" s="346"/>
      <c r="H35" s="348" t="s">
        <v>241</v>
      </c>
      <c r="I35" s="349"/>
    </row>
    <row r="36" spans="1:14" ht="15.75" customHeight="1" x14ac:dyDescent="0.2">
      <c r="A36" s="350" t="s">
        <v>160</v>
      </c>
      <c r="B36" s="350" t="s">
        <v>242</v>
      </c>
      <c r="C36" s="350" t="s">
        <v>243</v>
      </c>
      <c r="D36" s="350" t="s">
        <v>244</v>
      </c>
      <c r="E36" s="350" t="s">
        <v>245</v>
      </c>
      <c r="F36" s="346" t="s">
        <v>223</v>
      </c>
      <c r="G36" s="346" t="s">
        <v>225</v>
      </c>
      <c r="H36" s="346" t="s">
        <v>223</v>
      </c>
      <c r="I36" s="351" t="s">
        <v>225</v>
      </c>
    </row>
    <row r="37" spans="1:14" ht="15.75" customHeight="1" x14ac:dyDescent="0.2">
      <c r="A37" s="352" t="s">
        <v>251</v>
      </c>
      <c r="B37" s="353" t="s">
        <v>254</v>
      </c>
      <c r="C37" s="354">
        <v>280500</v>
      </c>
      <c r="D37" s="751">
        <v>5.5</v>
      </c>
      <c r="E37" s="751">
        <f>D37*C37</f>
        <v>1542750</v>
      </c>
      <c r="F37" s="751">
        <v>10000</v>
      </c>
      <c r="G37" s="751">
        <f>F37*1.005</f>
        <v>10049.999999999998</v>
      </c>
      <c r="H37" s="751">
        <f>+(E37*F37)/100000</f>
        <v>154275</v>
      </c>
      <c r="I37" s="751">
        <f>+(E37*G37)/100000</f>
        <v>155046.37499999997</v>
      </c>
      <c r="J37" s="355">
        <f>C37*155</f>
        <v>43477500</v>
      </c>
      <c r="K37" s="355">
        <f>C37*40</f>
        <v>11220000</v>
      </c>
      <c r="L37" s="355">
        <f>C37*300</f>
        <v>84150000</v>
      </c>
      <c r="M37" s="355">
        <f>L37*0.8</f>
        <v>67320000</v>
      </c>
      <c r="N37" s="355">
        <f>L37*0.5</f>
        <v>42075000</v>
      </c>
    </row>
    <row r="38" spans="1:14" ht="15.75" customHeight="1" x14ac:dyDescent="0.2">
      <c r="A38" s="349"/>
      <c r="B38" s="357" t="s">
        <v>255</v>
      </c>
      <c r="C38" s="358">
        <f>SUM(C37:C37)</f>
        <v>280500</v>
      </c>
      <c r="D38" s="359" t="s">
        <v>256</v>
      </c>
      <c r="E38" s="359" t="s">
        <v>256</v>
      </c>
      <c r="F38" s="359" t="s">
        <v>256</v>
      </c>
      <c r="G38" s="359" t="s">
        <v>256</v>
      </c>
      <c r="H38" s="359">
        <f t="shared" ref="H38:N38" si="0">SUM(H37:H37)</f>
        <v>154275</v>
      </c>
      <c r="I38" s="359">
        <f t="shared" si="0"/>
        <v>155046.37499999997</v>
      </c>
      <c r="J38" s="354">
        <f t="shared" si="0"/>
        <v>43477500</v>
      </c>
      <c r="K38" s="354">
        <f t="shared" si="0"/>
        <v>11220000</v>
      </c>
      <c r="L38" s="354">
        <f t="shared" si="0"/>
        <v>84150000</v>
      </c>
      <c r="M38" s="354">
        <f t="shared" si="0"/>
        <v>67320000</v>
      </c>
      <c r="N38" s="354">
        <f t="shared" si="0"/>
        <v>42075000</v>
      </c>
    </row>
    <row r="39" spans="1:14" ht="18.75" customHeight="1" x14ac:dyDescent="0.2">
      <c r="A39" s="342"/>
      <c r="B39" s="342"/>
      <c r="C39" s="751" t="s">
        <v>257</v>
      </c>
      <c r="E39" s="354">
        <f>+(C38*100)/156392</f>
        <v>179.35700035807457</v>
      </c>
      <c r="F39" s="353" t="s">
        <v>261</v>
      </c>
      <c r="G39" s="342"/>
      <c r="H39" s="342"/>
      <c r="I39" s="342"/>
    </row>
    <row r="40" spans="1:14" ht="18.75" customHeight="1" x14ac:dyDescent="0.2">
      <c r="C40" s="751" t="s">
        <v>258</v>
      </c>
      <c r="F40" s="751">
        <f>SUM(E37:E37)</f>
        <v>1542750</v>
      </c>
      <c r="G40" s="751" t="s">
        <v>259</v>
      </c>
    </row>
    <row r="41" spans="1:14" ht="15" customHeight="1" x14ac:dyDescent="0.2">
      <c r="C41" s="751" t="s">
        <v>262</v>
      </c>
      <c r="F41" s="751">
        <f>SUM(F40-F15)</f>
        <v>878250</v>
      </c>
      <c r="G41" s="751" t="s">
        <v>259</v>
      </c>
    </row>
    <row r="42" spans="1:14" ht="15" customHeight="1" x14ac:dyDescent="0.2"/>
    <row r="43" spans="1:14" ht="15" customHeight="1" x14ac:dyDescent="0.2"/>
    <row r="44" spans="1:14" ht="15" customHeight="1" x14ac:dyDescent="0.2"/>
    <row r="45" spans="1:14" ht="15" customHeight="1" x14ac:dyDescent="0.2"/>
    <row r="46" spans="1:14" ht="15" customHeight="1" x14ac:dyDescent="0.2"/>
    <row r="47" spans="1:14" ht="15" customHeight="1" x14ac:dyDescent="0.2"/>
    <row r="48" spans="1:14" ht="15" customHeight="1" x14ac:dyDescent="0.2"/>
    <row r="49" spans="1:10" ht="18" customHeight="1" x14ac:dyDescent="0.25">
      <c r="C49" s="337"/>
      <c r="D49" s="337"/>
      <c r="E49" s="340" t="s">
        <v>263</v>
      </c>
      <c r="F49" s="337"/>
      <c r="G49" s="337"/>
    </row>
    <row r="50" spans="1:10" ht="4.5" customHeight="1" x14ac:dyDescent="0.2"/>
    <row r="51" spans="1:10" ht="18" customHeight="1" x14ac:dyDescent="0.2">
      <c r="A51" s="343" t="s">
        <v>236</v>
      </c>
      <c r="B51" s="344"/>
      <c r="C51" s="342"/>
    </row>
    <row r="52" spans="1:10" ht="3" customHeight="1" x14ac:dyDescent="0.2">
      <c r="B52" s="345"/>
      <c r="C52" s="342"/>
    </row>
    <row r="53" spans="1:10" ht="18" customHeight="1" x14ac:dyDescent="0.2">
      <c r="A53" s="361" t="s">
        <v>237</v>
      </c>
      <c r="B53" s="361" t="s">
        <v>264</v>
      </c>
      <c r="C53" s="361" t="s">
        <v>8</v>
      </c>
      <c r="D53" s="361" t="s">
        <v>191</v>
      </c>
      <c r="E53" s="362" t="s">
        <v>265</v>
      </c>
      <c r="F53" s="362"/>
      <c r="G53" s="362" t="s">
        <v>266</v>
      </c>
      <c r="H53" s="363"/>
    </row>
    <row r="54" spans="1:10" ht="18" customHeight="1" x14ac:dyDescent="0.2">
      <c r="A54" s="350" t="s">
        <v>160</v>
      </c>
      <c r="B54" s="350"/>
      <c r="C54" s="350"/>
      <c r="D54" s="350"/>
      <c r="E54" s="350" t="s">
        <v>223</v>
      </c>
      <c r="F54" s="350" t="s">
        <v>225</v>
      </c>
      <c r="G54" s="350" t="s">
        <v>223</v>
      </c>
      <c r="H54" s="364" t="s">
        <v>225</v>
      </c>
      <c r="I54" s="342"/>
    </row>
    <row r="55" spans="1:10" ht="18" customHeight="1" x14ac:dyDescent="0.2">
      <c r="A55" s="352" t="s">
        <v>251</v>
      </c>
      <c r="B55" s="365" t="s">
        <v>267</v>
      </c>
      <c r="C55" s="751" t="s">
        <v>268</v>
      </c>
      <c r="D55" s="354">
        <f>J11*1</f>
        <v>24155000</v>
      </c>
      <c r="E55" s="751">
        <v>100</v>
      </c>
      <c r="F55" s="751">
        <v>75</v>
      </c>
      <c r="G55" s="751">
        <f>+D55*E55/100000</f>
        <v>24155</v>
      </c>
      <c r="H55" s="751">
        <f>+D55*F55/100000</f>
        <v>18116.25</v>
      </c>
      <c r="J55" s="354"/>
    </row>
    <row r="56" spans="1:10" ht="18" customHeight="1" x14ac:dyDescent="0.2">
      <c r="A56" s="352" t="s">
        <v>253</v>
      </c>
      <c r="B56" s="365" t="s">
        <v>269</v>
      </c>
      <c r="C56" s="751" t="s">
        <v>256</v>
      </c>
      <c r="D56" s="354" t="s">
        <v>256</v>
      </c>
      <c r="E56" s="751" t="s">
        <v>256</v>
      </c>
      <c r="F56" s="751" t="s">
        <v>256</v>
      </c>
      <c r="G56" s="751">
        <f>4000*C11/100000</f>
        <v>6880</v>
      </c>
      <c r="H56" s="751">
        <f>G56*0.902</f>
        <v>6205.76</v>
      </c>
      <c r="J56" s="354"/>
    </row>
    <row r="57" spans="1:10" ht="18" customHeight="1" x14ac:dyDescent="0.2">
      <c r="A57" s="352" t="s">
        <v>270</v>
      </c>
      <c r="B57" s="343" t="s">
        <v>271</v>
      </c>
      <c r="C57" s="342"/>
      <c r="D57" s="354"/>
      <c r="J57" s="354"/>
    </row>
    <row r="58" spans="1:10" ht="14.25" customHeight="1" x14ac:dyDescent="0.2">
      <c r="A58" s="751" t="s">
        <v>272</v>
      </c>
      <c r="B58" s="353" t="s">
        <v>273</v>
      </c>
      <c r="C58" s="751" t="s">
        <v>259</v>
      </c>
      <c r="D58" s="354">
        <f>K11/1000</f>
        <v>6880</v>
      </c>
      <c r="E58" s="751">
        <v>30000</v>
      </c>
      <c r="F58" s="751">
        <f>+E58*0.902</f>
        <v>27060</v>
      </c>
      <c r="G58" s="751">
        <f>+D58*E58/100000</f>
        <v>2064</v>
      </c>
      <c r="H58" s="751">
        <f>+D58*F58/100000</f>
        <v>1861.7280000000001</v>
      </c>
      <c r="J58" s="354"/>
    </row>
    <row r="59" spans="1:10" ht="14.25" customHeight="1" x14ac:dyDescent="0.2">
      <c r="A59" s="751" t="s">
        <v>274</v>
      </c>
      <c r="B59" s="353" t="s">
        <v>275</v>
      </c>
      <c r="C59" s="751" t="s">
        <v>259</v>
      </c>
      <c r="D59" s="354">
        <v>0</v>
      </c>
      <c r="E59" s="751">
        <v>30000</v>
      </c>
      <c r="F59" s="751">
        <f>+E59*0.902</f>
        <v>27060</v>
      </c>
      <c r="G59" s="751">
        <f>+D59*E59/100000</f>
        <v>0</v>
      </c>
      <c r="H59" s="751">
        <f>+D59*F59/100000</f>
        <v>0</v>
      </c>
      <c r="J59" s="354"/>
    </row>
    <row r="60" spans="1:10" ht="14.25" customHeight="1" x14ac:dyDescent="0.2">
      <c r="A60" s="751" t="s">
        <v>276</v>
      </c>
      <c r="B60" s="353" t="s">
        <v>277</v>
      </c>
      <c r="C60" s="751" t="s">
        <v>259</v>
      </c>
      <c r="D60" s="354">
        <v>0</v>
      </c>
      <c r="E60" s="751">
        <v>50000</v>
      </c>
      <c r="F60" s="751">
        <f>+E60*0.902</f>
        <v>45100</v>
      </c>
      <c r="G60" s="751">
        <f>+D60*E60/100000</f>
        <v>0</v>
      </c>
      <c r="H60" s="751">
        <f>+D60*F60/100000</f>
        <v>0</v>
      </c>
      <c r="J60" s="354"/>
    </row>
    <row r="61" spans="1:10" ht="14.25" customHeight="1" x14ac:dyDescent="0.2">
      <c r="A61" s="352" t="s">
        <v>278</v>
      </c>
      <c r="B61" s="343" t="s">
        <v>279</v>
      </c>
      <c r="D61" s="354"/>
      <c r="J61" s="354"/>
    </row>
    <row r="62" spans="1:10" ht="14.25" customHeight="1" x14ac:dyDescent="0.2">
      <c r="A62" s="751" t="s">
        <v>272</v>
      </c>
      <c r="B62" s="353" t="s">
        <v>248</v>
      </c>
      <c r="C62" s="751" t="s">
        <v>259</v>
      </c>
      <c r="D62" s="354">
        <f>L11/1000</f>
        <v>46900</v>
      </c>
      <c r="E62" s="751">
        <v>8000</v>
      </c>
      <c r="F62" s="751">
        <f>E62*1.5</f>
        <v>12000</v>
      </c>
      <c r="G62" s="751">
        <f>+D62*E62/100000</f>
        <v>3752</v>
      </c>
      <c r="H62" s="751">
        <f>+D62*F62/100000</f>
        <v>5628</v>
      </c>
      <c r="J62" s="354"/>
    </row>
    <row r="63" spans="1:10" ht="14.25" customHeight="1" x14ac:dyDescent="0.2">
      <c r="A63" s="751" t="s">
        <v>280</v>
      </c>
      <c r="B63" s="353" t="s">
        <v>281</v>
      </c>
      <c r="C63" s="751" t="s">
        <v>259</v>
      </c>
      <c r="D63" s="354">
        <f>M11/1000</f>
        <v>37520</v>
      </c>
      <c r="E63" s="751">
        <v>22000</v>
      </c>
      <c r="F63" s="751">
        <f>E63*1.5</f>
        <v>33000</v>
      </c>
      <c r="G63" s="751">
        <f>+D63*E63/100000</f>
        <v>8254.4</v>
      </c>
      <c r="H63" s="751">
        <f>+D63*F63/100000</f>
        <v>12381.6</v>
      </c>
      <c r="J63" s="354"/>
    </row>
    <row r="64" spans="1:10" ht="14.25" customHeight="1" x14ac:dyDescent="0.2">
      <c r="A64" s="751" t="s">
        <v>282</v>
      </c>
      <c r="B64" s="353" t="s">
        <v>283</v>
      </c>
      <c r="C64" s="751" t="s">
        <v>259</v>
      </c>
      <c r="D64" s="354">
        <f>N11/1000</f>
        <v>23450</v>
      </c>
      <c r="E64" s="751">
        <v>18000</v>
      </c>
      <c r="F64" s="751">
        <f>E64*1.5</f>
        <v>27000</v>
      </c>
      <c r="G64" s="751">
        <f>+D64*E64/100000</f>
        <v>4221</v>
      </c>
      <c r="H64" s="751">
        <f>+D64*F64/100000</f>
        <v>6331.5</v>
      </c>
      <c r="J64" s="354"/>
    </row>
    <row r="65" spans="1:10" ht="14.25" customHeight="1" x14ac:dyDescent="0.2">
      <c r="A65" s="352" t="s">
        <v>284</v>
      </c>
      <c r="B65" s="365" t="s">
        <v>285</v>
      </c>
      <c r="C65" s="751" t="s">
        <v>256</v>
      </c>
      <c r="D65" s="354" t="s">
        <v>256</v>
      </c>
      <c r="E65" s="751" t="s">
        <v>256</v>
      </c>
      <c r="F65" s="751" t="s">
        <v>256</v>
      </c>
      <c r="G65" s="751">
        <v>200</v>
      </c>
      <c r="H65" s="751">
        <f>G65*0.902</f>
        <v>180.4</v>
      </c>
      <c r="J65" s="354"/>
    </row>
    <row r="66" spans="1:10" ht="14.25" customHeight="1" x14ac:dyDescent="0.2">
      <c r="A66" s="352" t="s">
        <v>286</v>
      </c>
      <c r="B66" s="365" t="s">
        <v>287</v>
      </c>
      <c r="C66" s="751" t="s">
        <v>256</v>
      </c>
      <c r="D66" s="354" t="s">
        <v>256</v>
      </c>
      <c r="E66" s="751" t="s">
        <v>256</v>
      </c>
      <c r="F66" s="751" t="s">
        <v>256</v>
      </c>
      <c r="G66" s="751">
        <v>500</v>
      </c>
      <c r="H66" s="751">
        <f>G66*1.5</f>
        <v>750</v>
      </c>
    </row>
    <row r="67" spans="1:10" ht="18" customHeight="1" x14ac:dyDescent="0.2">
      <c r="A67" s="366"/>
      <c r="B67" s="359" t="s">
        <v>11</v>
      </c>
      <c r="C67" s="359" t="s">
        <v>256</v>
      </c>
      <c r="D67" s="359" t="s">
        <v>256</v>
      </c>
      <c r="E67" s="359" t="s">
        <v>256</v>
      </c>
      <c r="F67" s="359" t="s">
        <v>256</v>
      </c>
      <c r="G67" s="359">
        <f>SUM(G55:G65)</f>
        <v>49526.400000000001</v>
      </c>
      <c r="H67" s="349">
        <f>SUM(H55:H65)</f>
        <v>50705.238000000005</v>
      </c>
    </row>
    <row r="68" spans="1:10" ht="18" customHeight="1" x14ac:dyDescent="0.2">
      <c r="A68" s="343" t="s">
        <v>260</v>
      </c>
      <c r="B68" s="345"/>
    </row>
    <row r="69" spans="1:10" ht="6" customHeight="1" x14ac:dyDescent="0.2">
      <c r="B69" s="345"/>
    </row>
    <row r="70" spans="1:10" ht="18" customHeight="1" x14ac:dyDescent="0.2">
      <c r="A70" s="361" t="s">
        <v>237</v>
      </c>
      <c r="B70" s="361" t="s">
        <v>264</v>
      </c>
      <c r="C70" s="361" t="s">
        <v>8</v>
      </c>
      <c r="D70" s="361" t="s">
        <v>191</v>
      </c>
      <c r="E70" s="361" t="s">
        <v>265</v>
      </c>
      <c r="F70" s="361"/>
      <c r="G70" s="361" t="s">
        <v>266</v>
      </c>
      <c r="H70" s="367"/>
    </row>
    <row r="71" spans="1:10" ht="18" customHeight="1" x14ac:dyDescent="0.2">
      <c r="A71" s="350" t="s">
        <v>160</v>
      </c>
      <c r="B71" s="350"/>
      <c r="C71" s="350"/>
      <c r="D71" s="350"/>
      <c r="E71" s="350" t="s">
        <v>223</v>
      </c>
      <c r="F71" s="350" t="s">
        <v>225</v>
      </c>
      <c r="G71" s="350" t="s">
        <v>223</v>
      </c>
      <c r="H71" s="364" t="s">
        <v>225</v>
      </c>
    </row>
    <row r="72" spans="1:10" ht="18" customHeight="1" x14ac:dyDescent="0.2">
      <c r="A72" s="352" t="s">
        <v>251</v>
      </c>
      <c r="B72" s="365" t="s">
        <v>267</v>
      </c>
      <c r="C72" s="751" t="s">
        <v>268</v>
      </c>
      <c r="D72" s="354">
        <f>J38</f>
        <v>43477500</v>
      </c>
      <c r="E72" s="751">
        <v>100</v>
      </c>
      <c r="F72" s="751">
        <v>75</v>
      </c>
      <c r="G72" s="751">
        <f>+D72*E72/100000</f>
        <v>43477.5</v>
      </c>
      <c r="H72" s="751">
        <f>+D72*F72/100000</f>
        <v>32608.125</v>
      </c>
      <c r="I72" s="354"/>
    </row>
    <row r="73" spans="1:10" ht="18" customHeight="1" x14ac:dyDescent="0.2">
      <c r="A73" s="352" t="s">
        <v>253</v>
      </c>
      <c r="B73" s="365" t="s">
        <v>269</v>
      </c>
      <c r="C73" s="751" t="s">
        <v>256</v>
      </c>
      <c r="D73" s="354" t="s">
        <v>256</v>
      </c>
      <c r="E73" s="751" t="s">
        <v>256</v>
      </c>
      <c r="F73" s="751" t="s">
        <v>256</v>
      </c>
      <c r="G73" s="751">
        <f>4000*C38/100000</f>
        <v>11220</v>
      </c>
      <c r="H73" s="751">
        <f>G73*0.902</f>
        <v>10120.44</v>
      </c>
      <c r="I73" s="354"/>
    </row>
    <row r="74" spans="1:10" ht="15" customHeight="1" x14ac:dyDescent="0.2">
      <c r="A74" s="352" t="s">
        <v>270</v>
      </c>
      <c r="B74" s="343" t="s">
        <v>271</v>
      </c>
      <c r="C74" s="342"/>
      <c r="D74" s="354"/>
      <c r="I74" s="354"/>
    </row>
    <row r="75" spans="1:10" ht="17.25" customHeight="1" x14ac:dyDescent="0.2">
      <c r="A75" s="751" t="s">
        <v>272</v>
      </c>
      <c r="B75" s="353" t="s">
        <v>273</v>
      </c>
      <c r="C75" s="751" t="s">
        <v>259</v>
      </c>
      <c r="D75" s="354">
        <f>K38/1000</f>
        <v>11220</v>
      </c>
      <c r="E75" s="751">
        <v>30000</v>
      </c>
      <c r="F75" s="751">
        <f>+E75*0.902</f>
        <v>27060</v>
      </c>
      <c r="G75" s="751">
        <f>+D75*E75/100000</f>
        <v>3366</v>
      </c>
      <c r="H75" s="751">
        <f>+D75*F75/100000</f>
        <v>3036.1320000000001</v>
      </c>
      <c r="I75" s="354"/>
    </row>
    <row r="76" spans="1:10" ht="14.25" customHeight="1" x14ac:dyDescent="0.2">
      <c r="A76" s="751" t="s">
        <v>274</v>
      </c>
      <c r="B76" s="353" t="s">
        <v>275</v>
      </c>
      <c r="C76" s="751" t="s">
        <v>259</v>
      </c>
      <c r="D76" s="354">
        <v>0</v>
      </c>
      <c r="E76" s="751">
        <v>30000</v>
      </c>
      <c r="F76" s="751">
        <f>+E76*0.902</f>
        <v>27060</v>
      </c>
      <c r="G76" s="751">
        <f>+D76*E76/100000</f>
        <v>0</v>
      </c>
      <c r="H76" s="751">
        <f>+D76*F76/100000</f>
        <v>0</v>
      </c>
      <c r="J76" s="354"/>
    </row>
    <row r="77" spans="1:10" ht="17.25" customHeight="1" x14ac:dyDescent="0.2">
      <c r="A77" s="751" t="s">
        <v>282</v>
      </c>
      <c r="B77" s="353" t="s">
        <v>288</v>
      </c>
      <c r="C77" s="751" t="s">
        <v>259</v>
      </c>
      <c r="D77" s="354">
        <v>0</v>
      </c>
      <c r="E77" s="751">
        <v>50000</v>
      </c>
      <c r="F77" s="751">
        <f>+E77*0.902</f>
        <v>45100</v>
      </c>
      <c r="G77" s="751">
        <f>+D77*E77/100000</f>
        <v>0</v>
      </c>
      <c r="H77" s="751">
        <f>+D77*F77/100000</f>
        <v>0</v>
      </c>
      <c r="I77" s="354"/>
    </row>
    <row r="78" spans="1:10" ht="17.25" customHeight="1" x14ac:dyDescent="0.2">
      <c r="A78" s="751" t="s">
        <v>276</v>
      </c>
      <c r="B78" s="353" t="s">
        <v>289</v>
      </c>
      <c r="C78" s="751" t="s">
        <v>259</v>
      </c>
      <c r="D78" s="354">
        <v>0</v>
      </c>
      <c r="E78" s="751">
        <v>50000</v>
      </c>
      <c r="F78" s="751">
        <f>+E78*0.902</f>
        <v>45100</v>
      </c>
      <c r="G78" s="751">
        <f>+D78*E78/100000</f>
        <v>0</v>
      </c>
      <c r="H78" s="751">
        <f>+D78*F78/100000</f>
        <v>0</v>
      </c>
      <c r="I78" s="354"/>
    </row>
    <row r="79" spans="1:10" ht="17.25" customHeight="1" x14ac:dyDescent="0.2">
      <c r="A79" s="751" t="s">
        <v>290</v>
      </c>
      <c r="B79" s="353" t="s">
        <v>291</v>
      </c>
      <c r="C79" s="751" t="s">
        <v>259</v>
      </c>
      <c r="D79" s="354">
        <v>0</v>
      </c>
      <c r="E79" s="751">
        <v>20000</v>
      </c>
      <c r="F79" s="751">
        <f>+E79*0.902</f>
        <v>18040</v>
      </c>
      <c r="G79" s="751">
        <f>+D79*E79/100000</f>
        <v>0</v>
      </c>
      <c r="H79" s="751">
        <f>+D79*F79/100000</f>
        <v>0</v>
      </c>
      <c r="I79" s="354"/>
    </row>
    <row r="80" spans="1:10" ht="17.25" customHeight="1" x14ac:dyDescent="0.2">
      <c r="A80" s="352" t="s">
        <v>278</v>
      </c>
      <c r="B80" s="343" t="s">
        <v>279</v>
      </c>
      <c r="D80" s="354"/>
      <c r="I80" s="354"/>
    </row>
    <row r="81" spans="1:9" ht="18" customHeight="1" x14ac:dyDescent="0.2">
      <c r="A81" s="751" t="s">
        <v>272</v>
      </c>
      <c r="B81" s="353" t="s">
        <v>248</v>
      </c>
      <c r="C81" s="751" t="s">
        <v>259</v>
      </c>
      <c r="D81" s="354">
        <f>L38/1000</f>
        <v>84150</v>
      </c>
      <c r="E81" s="751">
        <v>8000</v>
      </c>
      <c r="F81" s="751">
        <f>E81*1.5</f>
        <v>12000</v>
      </c>
      <c r="G81" s="751">
        <f>+D81*E81/100000</f>
        <v>6732</v>
      </c>
      <c r="H81" s="751">
        <f>+D81*F81/100000</f>
        <v>10098</v>
      </c>
      <c r="I81" s="354"/>
    </row>
    <row r="82" spans="1:9" ht="2.25" customHeight="1" x14ac:dyDescent="0.2">
      <c r="A82" s="352"/>
      <c r="B82" s="353"/>
      <c r="C82" s="751" t="s">
        <v>259</v>
      </c>
      <c r="D82" s="354">
        <v>34.61</v>
      </c>
      <c r="E82" s="751">
        <v>22000</v>
      </c>
      <c r="F82" s="751">
        <f>+E82*0.902</f>
        <v>19844</v>
      </c>
      <c r="G82" s="751">
        <f>+D82*E82/100000</f>
        <v>7.6142000000000003</v>
      </c>
      <c r="H82" s="751">
        <f>+D82*F82/100000</f>
        <v>6.8680083999999999</v>
      </c>
      <c r="I82" s="354"/>
    </row>
    <row r="83" spans="1:9" ht="18" customHeight="1" x14ac:dyDescent="0.2">
      <c r="A83" s="751" t="s">
        <v>280</v>
      </c>
      <c r="B83" s="353" t="s">
        <v>281</v>
      </c>
      <c r="C83" s="751" t="s">
        <v>259</v>
      </c>
      <c r="D83" s="354">
        <f>M38/1000</f>
        <v>67320</v>
      </c>
      <c r="E83" s="751">
        <v>22000</v>
      </c>
      <c r="F83" s="751">
        <f>E83*1.5</f>
        <v>33000</v>
      </c>
      <c r="G83" s="751">
        <f>+D83*E83/100000</f>
        <v>14810.4</v>
      </c>
      <c r="H83" s="751">
        <f>+D83*F83/100000</f>
        <v>22215.599999999999</v>
      </c>
      <c r="I83" s="354"/>
    </row>
    <row r="84" spans="1:9" ht="3" customHeight="1" x14ac:dyDescent="0.2">
      <c r="A84" s="352"/>
      <c r="B84" s="353"/>
      <c r="C84" s="751" t="s">
        <v>259</v>
      </c>
      <c r="D84" s="354">
        <v>34.61</v>
      </c>
      <c r="E84" s="751">
        <v>200</v>
      </c>
      <c r="F84" s="751">
        <f>+E84*0.902</f>
        <v>180.4</v>
      </c>
      <c r="G84" s="751">
        <f>+D84*E84/100000</f>
        <v>6.9220000000000004E-2</v>
      </c>
      <c r="H84" s="751">
        <f>+D84*F84/100000</f>
        <v>6.2436440000000003E-2</v>
      </c>
      <c r="I84" s="354"/>
    </row>
    <row r="85" spans="1:9" ht="18" customHeight="1" x14ac:dyDescent="0.2">
      <c r="A85" s="751" t="s">
        <v>282</v>
      </c>
      <c r="B85" s="353" t="s">
        <v>283</v>
      </c>
      <c r="C85" s="751" t="s">
        <v>259</v>
      </c>
      <c r="D85" s="354">
        <f>N38/1000</f>
        <v>42075</v>
      </c>
      <c r="E85" s="751">
        <v>18000</v>
      </c>
      <c r="F85" s="751">
        <f>E85*1.5</f>
        <v>27000</v>
      </c>
      <c r="G85" s="751">
        <f>+D85*E85/100000</f>
        <v>7573.5</v>
      </c>
      <c r="H85" s="751">
        <f>+D85*F85/100000</f>
        <v>11360.25</v>
      </c>
      <c r="I85" s="354"/>
    </row>
    <row r="86" spans="1:9" ht="2.25" customHeight="1" x14ac:dyDescent="0.2">
      <c r="A86" s="352"/>
      <c r="B86" s="353"/>
      <c r="C86" s="342"/>
      <c r="D86" s="354">
        <v>0</v>
      </c>
      <c r="E86" s="751" t="s">
        <v>256</v>
      </c>
      <c r="F86" s="751" t="s">
        <v>256</v>
      </c>
      <c r="I86" s="354"/>
    </row>
    <row r="87" spans="1:9" ht="3.75" hidden="1" customHeight="1" x14ac:dyDescent="0.2">
      <c r="A87" s="352"/>
      <c r="B87" s="353"/>
      <c r="C87" s="342"/>
      <c r="D87" s="354">
        <v>0</v>
      </c>
      <c r="F87" s="751">
        <f>+E87*0.902</f>
        <v>0</v>
      </c>
      <c r="G87" s="751">
        <f>+D87*E87/100000</f>
        <v>0</v>
      </c>
      <c r="H87" s="751">
        <f>+D87*F87/100000</f>
        <v>0</v>
      </c>
      <c r="I87" s="354"/>
    </row>
    <row r="88" spans="1:9" ht="18" customHeight="1" x14ac:dyDescent="0.2">
      <c r="A88" s="352" t="s">
        <v>284</v>
      </c>
      <c r="B88" s="365" t="s">
        <v>285</v>
      </c>
      <c r="C88" s="751" t="s">
        <v>256</v>
      </c>
      <c r="D88" s="354" t="s">
        <v>256</v>
      </c>
      <c r="E88" s="751" t="s">
        <v>256</v>
      </c>
      <c r="F88" s="751" t="s">
        <v>256</v>
      </c>
      <c r="G88" s="751">
        <v>500</v>
      </c>
      <c r="H88" s="751">
        <f>G88*0.902</f>
        <v>451</v>
      </c>
      <c r="I88" s="354"/>
    </row>
    <row r="89" spans="1:9" ht="20.25" customHeight="1" x14ac:dyDescent="0.2">
      <c r="A89" s="352" t="s">
        <v>286</v>
      </c>
      <c r="B89" s="365" t="s">
        <v>287</v>
      </c>
      <c r="C89" s="751" t="s">
        <v>256</v>
      </c>
      <c r="D89" s="354" t="s">
        <v>256</v>
      </c>
      <c r="E89" s="751" t="s">
        <v>256</v>
      </c>
      <c r="F89" s="751" t="s">
        <v>256</v>
      </c>
      <c r="G89" s="751">
        <v>1000</v>
      </c>
      <c r="H89" s="751">
        <f>G89*1.5</f>
        <v>1500</v>
      </c>
      <c r="I89" s="354"/>
    </row>
    <row r="90" spans="1:9" ht="18" customHeight="1" x14ac:dyDescent="0.2">
      <c r="A90" s="366"/>
      <c r="B90" s="359" t="s">
        <v>11</v>
      </c>
      <c r="C90" s="359" t="s">
        <v>256</v>
      </c>
      <c r="D90" s="359" t="s">
        <v>256</v>
      </c>
      <c r="E90" s="359" t="s">
        <v>256</v>
      </c>
      <c r="F90" s="359"/>
      <c r="G90" s="359">
        <f>SUM(G72:G89)</f>
        <v>88687.08342000001</v>
      </c>
      <c r="H90" s="349">
        <f>SUM(H72:H89)</f>
        <v>91396.477444839998</v>
      </c>
    </row>
    <row r="91" spans="1:9" ht="6" customHeight="1" x14ac:dyDescent="0.2"/>
    <row r="92" spans="1:9" ht="18" customHeight="1" x14ac:dyDescent="0.2">
      <c r="B92" s="353" t="s">
        <v>292</v>
      </c>
      <c r="D92" s="354">
        <f>+D72-D55</f>
        <v>19322500</v>
      </c>
      <c r="E92" s="751" t="s">
        <v>293</v>
      </c>
    </row>
    <row r="93" spans="1:9" ht="23.25" hidden="1" customHeight="1" x14ac:dyDescent="0.35">
      <c r="E93" s="368" t="s">
        <v>294</v>
      </c>
    </row>
    <row r="94" spans="1:9" ht="18" hidden="1" customHeight="1" x14ac:dyDescent="0.2">
      <c r="A94" s="369" t="s">
        <v>295</v>
      </c>
      <c r="B94" s="370" t="s">
        <v>296</v>
      </c>
    </row>
    <row r="95" spans="1:9" ht="18" hidden="1" customHeight="1" x14ac:dyDescent="0.2">
      <c r="B95" s="345"/>
    </row>
    <row r="96" spans="1:9" ht="15" hidden="1" customHeight="1" x14ac:dyDescent="0.2">
      <c r="A96" s="362" t="s">
        <v>237</v>
      </c>
      <c r="B96" s="363" t="s">
        <v>264</v>
      </c>
      <c r="C96" s="362"/>
      <c r="D96" s="363"/>
      <c r="E96" s="363" t="s">
        <v>223</v>
      </c>
      <c r="F96" s="362"/>
      <c r="G96" s="363"/>
      <c r="H96" s="363" t="s">
        <v>225</v>
      </c>
      <c r="I96" s="363"/>
    </row>
    <row r="97" spans="1:9" ht="13.5" hidden="1" customHeight="1" x14ac:dyDescent="0.2">
      <c r="A97" s="371" t="s">
        <v>160</v>
      </c>
      <c r="B97" s="372"/>
      <c r="C97" s="371"/>
      <c r="D97" s="372"/>
      <c r="E97" s="372"/>
      <c r="F97" s="371"/>
      <c r="G97" s="372"/>
      <c r="H97" s="372"/>
      <c r="I97" s="372"/>
    </row>
    <row r="98" spans="1:9" ht="18" hidden="1" customHeight="1" x14ac:dyDescent="0.2">
      <c r="A98" s="373" t="s">
        <v>251</v>
      </c>
      <c r="B98" s="353" t="s">
        <v>297</v>
      </c>
    </row>
    <row r="99" spans="1:9" ht="18" hidden="1" customHeight="1" x14ac:dyDescent="0.2">
      <c r="A99" s="352" t="s">
        <v>253</v>
      </c>
      <c r="B99" s="353" t="s">
        <v>298</v>
      </c>
    </row>
    <row r="100" spans="1:9" ht="18" hidden="1" customHeight="1" x14ac:dyDescent="0.2">
      <c r="A100" s="352" t="s">
        <v>270</v>
      </c>
      <c r="B100" s="353" t="s">
        <v>299</v>
      </c>
    </row>
    <row r="101" spans="1:9" ht="18" hidden="1" customHeight="1" x14ac:dyDescent="0.2">
      <c r="A101" s="352" t="s">
        <v>278</v>
      </c>
      <c r="B101" s="353" t="s">
        <v>15</v>
      </c>
    </row>
    <row r="102" spans="1:9" ht="18" hidden="1" customHeight="1" x14ac:dyDescent="0.2">
      <c r="A102" s="349" t="s">
        <v>300</v>
      </c>
      <c r="B102" s="374"/>
      <c r="C102" s="349"/>
      <c r="D102" s="366"/>
      <c r="E102" s="349">
        <f>SUM(E98:E101)</f>
        <v>0</v>
      </c>
      <c r="F102" s="359"/>
      <c r="G102" s="349"/>
      <c r="H102" s="349">
        <f>SUM(H98:H101)</f>
        <v>0</v>
      </c>
      <c r="I102" s="349"/>
    </row>
    <row r="103" spans="1:9" ht="18" hidden="1" customHeight="1" x14ac:dyDescent="0.2">
      <c r="A103" s="353" t="s">
        <v>301</v>
      </c>
      <c r="B103" s="375"/>
      <c r="C103" s="376"/>
      <c r="D103" s="377"/>
      <c r="E103" s="376"/>
      <c r="F103" s="378"/>
      <c r="G103" s="376"/>
      <c r="H103" s="376"/>
    </row>
    <row r="104" spans="1:9" ht="18" hidden="1" customHeight="1" x14ac:dyDescent="0.2">
      <c r="B104" s="372" t="s">
        <v>302</v>
      </c>
      <c r="C104" s="372"/>
      <c r="D104" s="379"/>
      <c r="E104" s="372">
        <f>+E102*74800*0.00001</f>
        <v>0</v>
      </c>
      <c r="F104" s="371"/>
      <c r="G104" s="372"/>
      <c r="H104" s="372">
        <f>+H102*74800*0.00001</f>
        <v>0</v>
      </c>
      <c r="I104" s="372"/>
    </row>
    <row r="105" spans="1:9" ht="12" hidden="1" customHeight="1" x14ac:dyDescent="0.2"/>
    <row r="106" spans="1:9" ht="18" hidden="1" customHeight="1" x14ac:dyDescent="0.2">
      <c r="A106" s="369" t="s">
        <v>303</v>
      </c>
      <c r="B106" s="370" t="s">
        <v>304</v>
      </c>
    </row>
    <row r="107" spans="1:9" ht="18" hidden="1" customHeight="1" x14ac:dyDescent="0.2">
      <c r="B107" s="345"/>
    </row>
    <row r="108" spans="1:9" ht="15" hidden="1" customHeight="1" x14ac:dyDescent="0.2">
      <c r="A108" s="362" t="s">
        <v>237</v>
      </c>
      <c r="B108" s="363" t="s">
        <v>264</v>
      </c>
      <c r="C108" s="362"/>
      <c r="D108" s="363"/>
      <c r="E108" s="363" t="s">
        <v>223</v>
      </c>
      <c r="F108" s="362"/>
      <c r="G108" s="363"/>
      <c r="H108" s="363" t="s">
        <v>225</v>
      </c>
      <c r="I108" s="363"/>
    </row>
    <row r="109" spans="1:9" ht="14.25" hidden="1" customHeight="1" x14ac:dyDescent="0.2">
      <c r="A109" s="371" t="s">
        <v>160</v>
      </c>
      <c r="B109" s="372"/>
      <c r="C109" s="371"/>
      <c r="D109" s="372"/>
      <c r="E109" s="372"/>
      <c r="F109" s="371"/>
      <c r="G109" s="372"/>
      <c r="H109" s="372"/>
      <c r="I109" s="372"/>
    </row>
    <row r="110" spans="1:9" ht="18" hidden="1" customHeight="1" x14ac:dyDescent="0.2">
      <c r="A110" s="373" t="s">
        <v>251</v>
      </c>
      <c r="B110" s="353" t="s">
        <v>297</v>
      </c>
    </row>
    <row r="111" spans="1:9" ht="18" hidden="1" customHeight="1" x14ac:dyDescent="0.2">
      <c r="A111" s="352" t="s">
        <v>253</v>
      </c>
      <c r="B111" s="353" t="s">
        <v>298</v>
      </c>
    </row>
    <row r="112" spans="1:9" ht="18" hidden="1" customHeight="1" x14ac:dyDescent="0.2">
      <c r="A112" s="352" t="s">
        <v>270</v>
      </c>
      <c r="B112" s="353" t="s">
        <v>299</v>
      </c>
    </row>
    <row r="113" spans="1:9" ht="18" hidden="1" customHeight="1" x14ac:dyDescent="0.2">
      <c r="A113" s="352" t="s">
        <v>278</v>
      </c>
      <c r="B113" s="353" t="s">
        <v>15</v>
      </c>
    </row>
    <row r="114" spans="1:9" ht="18" hidden="1" customHeight="1" x14ac:dyDescent="0.2">
      <c r="A114" s="349" t="s">
        <v>300</v>
      </c>
      <c r="B114" s="374"/>
      <c r="C114" s="349"/>
      <c r="D114" s="366"/>
      <c r="E114" s="349">
        <f>SUM(E110:E113)</f>
        <v>0</v>
      </c>
      <c r="F114" s="359"/>
      <c r="G114" s="349"/>
      <c r="H114" s="349">
        <f>SUM(H110:H113)</f>
        <v>0</v>
      </c>
      <c r="I114" s="349"/>
    </row>
    <row r="115" spans="1:9" ht="18" hidden="1" customHeight="1" x14ac:dyDescent="0.2">
      <c r="A115" s="353" t="s">
        <v>301</v>
      </c>
      <c r="B115" s="375"/>
      <c r="C115" s="376"/>
      <c r="D115" s="377"/>
      <c r="E115" s="376"/>
      <c r="F115" s="378"/>
      <c r="G115" s="376"/>
      <c r="H115" s="376"/>
    </row>
    <row r="116" spans="1:9" ht="18" hidden="1" customHeight="1" x14ac:dyDescent="0.2">
      <c r="B116" s="372" t="s">
        <v>302</v>
      </c>
      <c r="C116" s="372"/>
      <c r="D116" s="379"/>
      <c r="E116" s="372">
        <f>+E114*74800*0.00001</f>
        <v>0</v>
      </c>
      <c r="F116" s="371"/>
      <c r="G116" s="372"/>
      <c r="H116" s="372">
        <f>+H114*74800*0.00001</f>
        <v>0</v>
      </c>
      <c r="I116" s="372"/>
    </row>
    <row r="117" spans="1:9" ht="15.75" customHeight="1" x14ac:dyDescent="0.2"/>
    <row r="118" spans="1:9" ht="15.75" customHeight="1" x14ac:dyDescent="0.2"/>
    <row r="119" spans="1:9" ht="15.75" customHeight="1" x14ac:dyDescent="0.2"/>
    <row r="120" spans="1:9" ht="15.75" customHeight="1" x14ac:dyDescent="0.2"/>
    <row r="121" spans="1:9" ht="15.75" customHeight="1" x14ac:dyDescent="0.2"/>
    <row r="122" spans="1:9" ht="15.75" customHeight="1" x14ac:dyDescent="0.2"/>
    <row r="123" spans="1:9" ht="15.75" customHeight="1" x14ac:dyDescent="0.2"/>
    <row r="124" spans="1:9" ht="27.75" customHeight="1" x14ac:dyDescent="0.3">
      <c r="A124" s="903" t="s">
        <v>305</v>
      </c>
      <c r="B124" s="904"/>
      <c r="C124" s="904"/>
      <c r="D124" s="904"/>
      <c r="E124" s="904"/>
      <c r="F124" s="904"/>
      <c r="G124" s="904"/>
      <c r="H124" s="904"/>
    </row>
    <row r="125" spans="1:9" ht="6" customHeight="1" x14ac:dyDescent="0.2"/>
    <row r="126" spans="1:9" ht="15" customHeight="1" x14ac:dyDescent="0.2">
      <c r="A126" s="369" t="s">
        <v>295</v>
      </c>
      <c r="B126" s="343" t="s">
        <v>260</v>
      </c>
    </row>
    <row r="127" spans="1:9" ht="3.75" customHeight="1" x14ac:dyDescent="0.2"/>
    <row r="128" spans="1:9" ht="16.5" customHeight="1" x14ac:dyDescent="0.2">
      <c r="A128" s="369"/>
      <c r="B128" s="343"/>
      <c r="E128" s="372" t="s">
        <v>223</v>
      </c>
      <c r="F128" s="380"/>
      <c r="H128" s="372" t="s">
        <v>225</v>
      </c>
    </row>
    <row r="129" spans="1:8" ht="6" customHeight="1" x14ac:dyDescent="0.2"/>
    <row r="130" spans="1:8" ht="15" customHeight="1" x14ac:dyDescent="0.2">
      <c r="A130" s="352" t="s">
        <v>251</v>
      </c>
      <c r="B130" s="353" t="s">
        <v>306</v>
      </c>
      <c r="E130" s="751">
        <f>+H38</f>
        <v>154275</v>
      </c>
      <c r="H130" s="751">
        <f>+I38</f>
        <v>155046.37499999997</v>
      </c>
    </row>
    <row r="131" spans="1:8" ht="5.25" customHeight="1" x14ac:dyDescent="0.2"/>
    <row r="132" spans="1:8" ht="18" customHeight="1" x14ac:dyDescent="0.2">
      <c r="A132" s="352" t="s">
        <v>253</v>
      </c>
      <c r="B132" s="381" t="s">
        <v>307</v>
      </c>
    </row>
    <row r="133" spans="1:8" ht="5.25" customHeight="1" x14ac:dyDescent="0.2"/>
    <row r="134" spans="1:8" ht="15" customHeight="1" x14ac:dyDescent="0.2">
      <c r="B134" s="353" t="s">
        <v>308</v>
      </c>
      <c r="E134" s="751">
        <f>+G90</f>
        <v>88687.08342000001</v>
      </c>
      <c r="H134" s="751">
        <f>+H90</f>
        <v>91396.477444839998</v>
      </c>
    </row>
    <row r="135" spans="1:8" ht="18" customHeight="1" x14ac:dyDescent="0.2">
      <c r="B135" s="353" t="s">
        <v>309</v>
      </c>
      <c r="E135" s="751">
        <f>+E116*1</f>
        <v>0</v>
      </c>
      <c r="H135" s="751">
        <f>+H116*1</f>
        <v>0</v>
      </c>
    </row>
    <row r="136" spans="1:8" ht="2.25" customHeight="1" x14ac:dyDescent="0.2"/>
    <row r="137" spans="1:8" ht="15" customHeight="1" x14ac:dyDescent="0.2">
      <c r="A137" s="352" t="s">
        <v>270</v>
      </c>
      <c r="B137" s="353" t="s">
        <v>310</v>
      </c>
      <c r="E137" s="751">
        <f>E130-E134</f>
        <v>65587.91657999999</v>
      </c>
      <c r="H137" s="751">
        <f>H130-H134</f>
        <v>63649.897555159972</v>
      </c>
    </row>
    <row r="138" spans="1:8" ht="12" customHeight="1" x14ac:dyDescent="0.2"/>
    <row r="139" spans="1:8" ht="18" customHeight="1" x14ac:dyDescent="0.2">
      <c r="A139" s="369" t="s">
        <v>303</v>
      </c>
      <c r="B139" s="365" t="s">
        <v>236</v>
      </c>
    </row>
    <row r="140" spans="1:8" ht="3.75" customHeight="1" x14ac:dyDescent="0.2"/>
    <row r="141" spans="1:8" ht="15.75" customHeight="1" x14ac:dyDescent="0.2">
      <c r="A141" s="352" t="s">
        <v>251</v>
      </c>
      <c r="B141" s="353" t="s">
        <v>306</v>
      </c>
      <c r="E141" s="751">
        <f>+H11*1</f>
        <v>71450</v>
      </c>
      <c r="H141" s="751">
        <f>+I11*1</f>
        <v>71807.249999999985</v>
      </c>
    </row>
    <row r="142" spans="1:8" ht="5.25" customHeight="1" x14ac:dyDescent="0.2"/>
    <row r="143" spans="1:8" ht="15.75" customHeight="1" x14ac:dyDescent="0.2">
      <c r="A143" s="352" t="s">
        <v>253</v>
      </c>
      <c r="B143" s="381" t="s">
        <v>307</v>
      </c>
      <c r="E143" s="382"/>
      <c r="F143" s="376"/>
      <c r="G143" s="376"/>
      <c r="H143" s="376"/>
    </row>
    <row r="144" spans="1:8" ht="5.25" customHeight="1" x14ac:dyDescent="0.2"/>
    <row r="145" spans="1:10" ht="15.75" customHeight="1" x14ac:dyDescent="0.2">
      <c r="B145" s="353" t="s">
        <v>308</v>
      </c>
      <c r="E145" s="751">
        <f>+G67*1</f>
        <v>49526.400000000001</v>
      </c>
      <c r="H145" s="751">
        <f>+H67*1</f>
        <v>50705.238000000005</v>
      </c>
    </row>
    <row r="146" spans="1:10" ht="15.75" customHeight="1" x14ac:dyDescent="0.2">
      <c r="B146" s="353" t="s">
        <v>309</v>
      </c>
      <c r="E146" s="751">
        <f>+E104*1</f>
        <v>0</v>
      </c>
      <c r="H146" s="751">
        <f>+H104*1</f>
        <v>0</v>
      </c>
    </row>
    <row r="147" spans="1:10" ht="6" customHeight="1" x14ac:dyDescent="0.2"/>
    <row r="148" spans="1:10" ht="15.75" customHeight="1" x14ac:dyDescent="0.2">
      <c r="A148" s="352" t="s">
        <v>270</v>
      </c>
      <c r="B148" s="353" t="s">
        <v>311</v>
      </c>
      <c r="E148" s="751">
        <f>E141-E145</f>
        <v>21923.599999999999</v>
      </c>
      <c r="H148" s="751">
        <f>H141-H145</f>
        <v>21102.011999999981</v>
      </c>
    </row>
    <row r="149" spans="1:10" ht="6" customHeight="1" x14ac:dyDescent="0.2"/>
    <row r="150" spans="1:10" ht="31.5" customHeight="1" x14ac:dyDescent="0.2">
      <c r="A150" s="369" t="s">
        <v>312</v>
      </c>
      <c r="B150" s="905" t="s">
        <v>313</v>
      </c>
      <c r="C150" s="904"/>
      <c r="D150" s="904"/>
      <c r="E150" s="369">
        <f>+E137-E148</f>
        <v>43664.316579999992</v>
      </c>
      <c r="F150" s="369"/>
      <c r="G150" s="369"/>
      <c r="H150" s="369">
        <f>+H137-H148</f>
        <v>42547.885555159992</v>
      </c>
      <c r="J150" s="369"/>
    </row>
    <row r="151" spans="1:10" ht="15.75" customHeight="1" x14ac:dyDescent="0.2">
      <c r="A151" s="369"/>
      <c r="B151" s="365"/>
      <c r="C151" s="369"/>
      <c r="D151" s="369"/>
      <c r="E151" s="369"/>
      <c r="F151" s="369"/>
      <c r="G151" s="369"/>
      <c r="H151" s="369"/>
      <c r="J151" s="369"/>
    </row>
    <row r="152" spans="1:10" ht="15.75" customHeight="1" x14ac:dyDescent="0.2">
      <c r="A152" s="369"/>
      <c r="B152" s="365"/>
      <c r="C152" s="369"/>
      <c r="D152" s="369"/>
      <c r="E152" s="369"/>
      <c r="F152" s="369"/>
      <c r="G152" s="369"/>
      <c r="H152" s="369"/>
      <c r="J152" s="369"/>
    </row>
    <row r="153" spans="1:10" ht="15.75" customHeight="1" x14ac:dyDescent="0.2">
      <c r="A153" s="369"/>
      <c r="B153" s="365"/>
      <c r="C153" s="369"/>
      <c r="D153" s="369"/>
      <c r="E153" s="369"/>
      <c r="F153" s="369"/>
      <c r="G153" s="369"/>
      <c r="H153" s="369"/>
      <c r="J153" s="369"/>
    </row>
    <row r="154" spans="1:10" ht="18" customHeight="1" x14ac:dyDescent="0.2">
      <c r="A154" s="354"/>
    </row>
    <row r="155" spans="1:10" ht="18" customHeight="1" x14ac:dyDescent="0.2">
      <c r="A155" s="354"/>
    </row>
    <row r="156" spans="1:10" ht="18" customHeight="1" x14ac:dyDescent="0.2">
      <c r="A156" s="354"/>
    </row>
    <row r="157" spans="1:10" ht="18" customHeight="1" x14ac:dyDescent="0.2">
      <c r="A157" s="354"/>
    </row>
    <row r="158" spans="1:10" ht="18" customHeight="1" x14ac:dyDescent="0.2">
      <c r="A158" s="354"/>
    </row>
    <row r="159" spans="1:10" ht="18" customHeight="1" x14ac:dyDescent="0.2">
      <c r="A159" s="354"/>
    </row>
    <row r="160" spans="1:10" ht="18" customHeight="1" x14ac:dyDescent="0.2">
      <c r="A160" s="354"/>
    </row>
    <row r="161" spans="1:1" ht="18" customHeight="1" x14ac:dyDescent="0.2">
      <c r="A161" s="354"/>
    </row>
    <row r="162" spans="1:1" ht="18" customHeight="1" x14ac:dyDescent="0.2">
      <c r="A162" s="354"/>
    </row>
    <row r="163" spans="1:1" ht="18" customHeight="1" x14ac:dyDescent="0.2">
      <c r="A163" s="354"/>
    </row>
    <row r="164" spans="1:1" ht="18" customHeight="1" x14ac:dyDescent="0.2">
      <c r="A164" s="354"/>
    </row>
    <row r="165" spans="1:1" ht="18" customHeight="1" x14ac:dyDescent="0.2">
      <c r="A165" s="354"/>
    </row>
    <row r="166" spans="1:1" ht="18" customHeight="1" x14ac:dyDescent="0.2">
      <c r="A166" s="354"/>
    </row>
    <row r="167" spans="1:1" ht="18" customHeight="1" x14ac:dyDescent="0.2">
      <c r="A167" s="354"/>
    </row>
    <row r="168" spans="1:1" ht="18" customHeight="1" x14ac:dyDescent="0.2">
      <c r="A168" s="354"/>
    </row>
    <row r="169" spans="1:1" ht="18" customHeight="1" x14ac:dyDescent="0.2">
      <c r="A169" s="354"/>
    </row>
    <row r="170" spans="1:1" ht="18" customHeight="1" x14ac:dyDescent="0.2">
      <c r="A170" s="354"/>
    </row>
    <row r="171" spans="1:1" ht="18" customHeight="1" x14ac:dyDescent="0.2">
      <c r="A171" s="354"/>
    </row>
    <row r="172" spans="1:1" ht="18" customHeight="1" x14ac:dyDescent="0.2">
      <c r="A172" s="354"/>
    </row>
    <row r="173" spans="1:1" ht="18" customHeight="1" x14ac:dyDescent="0.2">
      <c r="A173" s="354"/>
    </row>
    <row r="174" spans="1:1" ht="18" customHeight="1" x14ac:dyDescent="0.2">
      <c r="A174" s="354"/>
    </row>
    <row r="175" spans="1:1" ht="18" customHeight="1" x14ac:dyDescent="0.2">
      <c r="A175" s="354"/>
    </row>
    <row r="176" spans="1:1" ht="18" customHeight="1" x14ac:dyDescent="0.2">
      <c r="A176" s="354"/>
    </row>
    <row r="177" spans="1:1" ht="18" customHeight="1" x14ac:dyDescent="0.2">
      <c r="A177" s="354"/>
    </row>
    <row r="178" spans="1:1" ht="18" customHeight="1" x14ac:dyDescent="0.2">
      <c r="A178" s="354"/>
    </row>
    <row r="179" spans="1:1" ht="18" customHeight="1" x14ac:dyDescent="0.2">
      <c r="A179" s="354"/>
    </row>
    <row r="180" spans="1:1" ht="18" customHeight="1" x14ac:dyDescent="0.2">
      <c r="A180" s="354"/>
    </row>
    <row r="181" spans="1:1" ht="18" customHeight="1" x14ac:dyDescent="0.2">
      <c r="A181" s="354"/>
    </row>
    <row r="182" spans="1:1" ht="18" customHeight="1" x14ac:dyDescent="0.2">
      <c r="A182" s="354"/>
    </row>
    <row r="183" spans="1:1" ht="18" customHeight="1" x14ac:dyDescent="0.2">
      <c r="A183" s="354"/>
    </row>
    <row r="184" spans="1:1" ht="18" customHeight="1" x14ac:dyDescent="0.2">
      <c r="A184" s="354"/>
    </row>
    <row r="185" spans="1:1" ht="18" customHeight="1" x14ac:dyDescent="0.2">
      <c r="A185" s="354"/>
    </row>
    <row r="186" spans="1:1" ht="18" customHeight="1" x14ac:dyDescent="0.2">
      <c r="A186" s="354"/>
    </row>
    <row r="187" spans="1:1" ht="18" customHeight="1" x14ac:dyDescent="0.2">
      <c r="A187" s="354"/>
    </row>
    <row r="188" spans="1:1" ht="18" customHeight="1" x14ac:dyDescent="0.2">
      <c r="A188" s="354"/>
    </row>
    <row r="189" spans="1:1" ht="18" customHeight="1" x14ac:dyDescent="0.2">
      <c r="A189" s="354"/>
    </row>
    <row r="190" spans="1:1" ht="18" customHeight="1" x14ac:dyDescent="0.2">
      <c r="A190" s="354"/>
    </row>
    <row r="191" spans="1:1" ht="18" customHeight="1" x14ac:dyDescent="0.2">
      <c r="A191" s="354"/>
    </row>
    <row r="192" spans="1:1" ht="18" customHeight="1" x14ac:dyDescent="0.2">
      <c r="A192" s="354"/>
    </row>
    <row r="193" spans="1:1" ht="18" customHeight="1" x14ac:dyDescent="0.2">
      <c r="A193" s="354"/>
    </row>
    <row r="194" spans="1:1" ht="18" customHeight="1" x14ac:dyDescent="0.2">
      <c r="A194" s="354"/>
    </row>
    <row r="195" spans="1:1" ht="18" customHeight="1" x14ac:dyDescent="0.2">
      <c r="A195" s="354"/>
    </row>
    <row r="196" spans="1:1" ht="18" customHeight="1" x14ac:dyDescent="0.2">
      <c r="A196" s="354"/>
    </row>
    <row r="197" spans="1:1" ht="18" customHeight="1" x14ac:dyDescent="0.2">
      <c r="A197" s="354"/>
    </row>
    <row r="198" spans="1:1" ht="18" customHeight="1" x14ac:dyDescent="0.2">
      <c r="A198" s="354"/>
    </row>
    <row r="199" spans="1:1" ht="18" customHeight="1" x14ac:dyDescent="0.2">
      <c r="A199" s="354"/>
    </row>
    <row r="200" spans="1:1" ht="18" customHeight="1" x14ac:dyDescent="0.2">
      <c r="A200" s="354"/>
    </row>
    <row r="201" spans="1:1" ht="18" customHeight="1" x14ac:dyDescent="0.2">
      <c r="A201" s="354"/>
    </row>
    <row r="202" spans="1:1" ht="18" customHeight="1" x14ac:dyDescent="0.2">
      <c r="A202" s="354"/>
    </row>
    <row r="203" spans="1:1" ht="18" customHeight="1" x14ac:dyDescent="0.2">
      <c r="A203" s="354"/>
    </row>
    <row r="204" spans="1:1" ht="18" customHeight="1" x14ac:dyDescent="0.2">
      <c r="A204" s="354"/>
    </row>
    <row r="205" spans="1:1" ht="18" customHeight="1" x14ac:dyDescent="0.2">
      <c r="A205" s="354"/>
    </row>
    <row r="206" spans="1:1" ht="18" customHeight="1" x14ac:dyDescent="0.2">
      <c r="A206" s="354"/>
    </row>
    <row r="207" spans="1:1" ht="18" customHeight="1" x14ac:dyDescent="0.2">
      <c r="A207" s="354"/>
    </row>
    <row r="208" spans="1:1" ht="18" customHeight="1" x14ac:dyDescent="0.2">
      <c r="A208" s="354"/>
    </row>
    <row r="209" spans="1:1" ht="18" customHeight="1" x14ac:dyDescent="0.2">
      <c r="A209" s="354"/>
    </row>
    <row r="210" spans="1:1" ht="18" customHeight="1" x14ac:dyDescent="0.2">
      <c r="A210" s="354"/>
    </row>
    <row r="211" spans="1:1" ht="18" customHeight="1" x14ac:dyDescent="0.2">
      <c r="A211" s="354"/>
    </row>
    <row r="212" spans="1:1" ht="18" customHeight="1" x14ac:dyDescent="0.2">
      <c r="A212" s="354"/>
    </row>
    <row r="213" spans="1:1" ht="18" customHeight="1" x14ac:dyDescent="0.2">
      <c r="A213" s="354"/>
    </row>
    <row r="214" spans="1:1" ht="18" customHeight="1" x14ac:dyDescent="0.2">
      <c r="A214" s="354"/>
    </row>
    <row r="215" spans="1:1" ht="18" customHeight="1" x14ac:dyDescent="0.2">
      <c r="A215" s="354"/>
    </row>
    <row r="216" spans="1:1" ht="18" customHeight="1" x14ac:dyDescent="0.2">
      <c r="A216" s="354"/>
    </row>
    <row r="217" spans="1:1" ht="18" customHeight="1" x14ac:dyDescent="0.2">
      <c r="A217" s="354"/>
    </row>
    <row r="218" spans="1:1" ht="18" customHeight="1" x14ac:dyDescent="0.2">
      <c r="A218" s="354"/>
    </row>
    <row r="219" spans="1:1" ht="18" customHeight="1" x14ac:dyDescent="0.2">
      <c r="A219" s="354"/>
    </row>
    <row r="220" spans="1:1" ht="18" customHeight="1" x14ac:dyDescent="0.2">
      <c r="A220" s="354"/>
    </row>
    <row r="221" spans="1:1" ht="18" customHeight="1" x14ac:dyDescent="0.2">
      <c r="A221" s="354"/>
    </row>
    <row r="222" spans="1:1" ht="18" customHeight="1" x14ac:dyDescent="0.2">
      <c r="A222" s="354"/>
    </row>
    <row r="223" spans="1:1" ht="18" customHeight="1" x14ac:dyDescent="0.2">
      <c r="A223" s="354"/>
    </row>
    <row r="224" spans="1:1" ht="18" customHeight="1" x14ac:dyDescent="0.2">
      <c r="A224" s="354"/>
    </row>
    <row r="225" spans="1:1" ht="18" customHeight="1" x14ac:dyDescent="0.2">
      <c r="A225" s="354"/>
    </row>
    <row r="226" spans="1:1" ht="18" customHeight="1" x14ac:dyDescent="0.2">
      <c r="A226" s="354"/>
    </row>
    <row r="227" spans="1:1" ht="18" customHeight="1" x14ac:dyDescent="0.2">
      <c r="A227" s="354"/>
    </row>
    <row r="228" spans="1:1" ht="18" customHeight="1" x14ac:dyDescent="0.2">
      <c r="A228" s="354"/>
    </row>
    <row r="229" spans="1:1" ht="18" customHeight="1" x14ac:dyDescent="0.2">
      <c r="A229" s="354"/>
    </row>
    <row r="230" spans="1:1" ht="18" customHeight="1" x14ac:dyDescent="0.2">
      <c r="A230" s="354"/>
    </row>
    <row r="231" spans="1:1" ht="18" customHeight="1" x14ac:dyDescent="0.2">
      <c r="A231" s="354"/>
    </row>
    <row r="232" spans="1:1" ht="18" customHeight="1" x14ac:dyDescent="0.2">
      <c r="A232" s="354"/>
    </row>
    <row r="233" spans="1:1" ht="18" customHeight="1" x14ac:dyDescent="0.2">
      <c r="A233" s="354"/>
    </row>
    <row r="234" spans="1:1" ht="18" customHeight="1" x14ac:dyDescent="0.2">
      <c r="A234" s="354"/>
    </row>
    <row r="235" spans="1:1" ht="18" customHeight="1" x14ac:dyDescent="0.2">
      <c r="A235" s="354"/>
    </row>
    <row r="236" spans="1:1" ht="18" customHeight="1" x14ac:dyDescent="0.2">
      <c r="A236" s="354"/>
    </row>
    <row r="237" spans="1:1" ht="18" customHeight="1" x14ac:dyDescent="0.2">
      <c r="A237" s="354"/>
    </row>
    <row r="238" spans="1:1" ht="18" customHeight="1" x14ac:dyDescent="0.2">
      <c r="A238" s="354"/>
    </row>
    <row r="239" spans="1:1" ht="18" customHeight="1" x14ac:dyDescent="0.2">
      <c r="A239" s="354"/>
    </row>
    <row r="240" spans="1:1" ht="18" customHeight="1" x14ac:dyDescent="0.2">
      <c r="A240" s="354"/>
    </row>
    <row r="241" spans="1:1" ht="18" customHeight="1" x14ac:dyDescent="0.2">
      <c r="A241" s="354"/>
    </row>
    <row r="242" spans="1:1" ht="18" customHeight="1" x14ac:dyDescent="0.2">
      <c r="A242" s="354"/>
    </row>
    <row r="243" spans="1:1" ht="18" customHeight="1" x14ac:dyDescent="0.2">
      <c r="A243" s="354"/>
    </row>
    <row r="244" spans="1:1" ht="18" customHeight="1" x14ac:dyDescent="0.2">
      <c r="A244" s="354"/>
    </row>
    <row r="245" spans="1:1" ht="18" customHeight="1" x14ac:dyDescent="0.2">
      <c r="A245" s="354"/>
    </row>
    <row r="246" spans="1:1" ht="18" customHeight="1" x14ac:dyDescent="0.2">
      <c r="A246" s="354"/>
    </row>
    <row r="247" spans="1:1" ht="18" customHeight="1" x14ac:dyDescent="0.2">
      <c r="A247" s="354"/>
    </row>
    <row r="248" spans="1:1" ht="18" customHeight="1" x14ac:dyDescent="0.2">
      <c r="A248" s="354"/>
    </row>
    <row r="249" spans="1:1" ht="18" customHeight="1" x14ac:dyDescent="0.2">
      <c r="A249" s="354"/>
    </row>
    <row r="250" spans="1:1" ht="18" customHeight="1" x14ac:dyDescent="0.2">
      <c r="A250" s="354"/>
    </row>
    <row r="251" spans="1:1" ht="18" customHeight="1" x14ac:dyDescent="0.2">
      <c r="A251" s="354"/>
    </row>
    <row r="252" spans="1:1" ht="18" customHeight="1" x14ac:dyDescent="0.2">
      <c r="A252" s="354"/>
    </row>
    <row r="253" spans="1:1" ht="18" customHeight="1" x14ac:dyDescent="0.2">
      <c r="A253" s="354"/>
    </row>
    <row r="254" spans="1:1" ht="18" customHeight="1" x14ac:dyDescent="0.2">
      <c r="A254" s="354"/>
    </row>
    <row r="255" spans="1:1" ht="18" customHeight="1" x14ac:dyDescent="0.2">
      <c r="A255" s="354"/>
    </row>
    <row r="256" spans="1:1" ht="18" customHeight="1" x14ac:dyDescent="0.2">
      <c r="A256" s="354"/>
    </row>
    <row r="257" spans="1:1" ht="18" customHeight="1" x14ac:dyDescent="0.2">
      <c r="A257" s="354"/>
    </row>
    <row r="258" spans="1:1" ht="18" customHeight="1" x14ac:dyDescent="0.2">
      <c r="A258" s="354"/>
    </row>
    <row r="259" spans="1:1" ht="18" customHeight="1" x14ac:dyDescent="0.2">
      <c r="A259" s="354"/>
    </row>
    <row r="260" spans="1:1" ht="18" customHeight="1" x14ac:dyDescent="0.2">
      <c r="A260" s="354"/>
    </row>
    <row r="261" spans="1:1" ht="18" customHeight="1" x14ac:dyDescent="0.2">
      <c r="A261" s="354"/>
    </row>
    <row r="262" spans="1:1" ht="18" customHeight="1" x14ac:dyDescent="0.2">
      <c r="A262" s="354"/>
    </row>
    <row r="263" spans="1:1" ht="18" customHeight="1" x14ac:dyDescent="0.2">
      <c r="A263" s="354"/>
    </row>
    <row r="264" spans="1:1" ht="18" customHeight="1" x14ac:dyDescent="0.2">
      <c r="A264" s="354"/>
    </row>
    <row r="265" spans="1:1" ht="18" customHeight="1" x14ac:dyDescent="0.2">
      <c r="A265" s="354"/>
    </row>
    <row r="266" spans="1:1" ht="18" customHeight="1" x14ac:dyDescent="0.2">
      <c r="A266" s="354"/>
    </row>
    <row r="267" spans="1:1" ht="18" customHeight="1" x14ac:dyDescent="0.2">
      <c r="A267" s="354"/>
    </row>
    <row r="268" spans="1:1" ht="18" customHeight="1" x14ac:dyDescent="0.2">
      <c r="A268" s="354"/>
    </row>
    <row r="269" spans="1:1" ht="18" customHeight="1" x14ac:dyDescent="0.2">
      <c r="A269" s="354"/>
    </row>
    <row r="270" spans="1:1" ht="18" customHeight="1" x14ac:dyDescent="0.2">
      <c r="A270" s="354"/>
    </row>
    <row r="271" spans="1:1" ht="18" customHeight="1" x14ac:dyDescent="0.2">
      <c r="A271" s="354"/>
    </row>
    <row r="272" spans="1:1" ht="18" customHeight="1" x14ac:dyDescent="0.2">
      <c r="A272" s="354"/>
    </row>
    <row r="273" spans="1:1" ht="18" customHeight="1" x14ac:dyDescent="0.2">
      <c r="A273" s="354"/>
    </row>
    <row r="274" spans="1:1" ht="18" customHeight="1" x14ac:dyDescent="0.2">
      <c r="A274" s="354"/>
    </row>
    <row r="275" spans="1:1" ht="18" customHeight="1" x14ac:dyDescent="0.2">
      <c r="A275" s="354"/>
    </row>
    <row r="276" spans="1:1" ht="18" customHeight="1" x14ac:dyDescent="0.2">
      <c r="A276" s="354"/>
    </row>
    <row r="277" spans="1:1" ht="18" customHeight="1" x14ac:dyDescent="0.2">
      <c r="A277" s="354"/>
    </row>
    <row r="278" spans="1:1" ht="18" customHeight="1" x14ac:dyDescent="0.2">
      <c r="A278" s="354"/>
    </row>
    <row r="279" spans="1:1" ht="18" customHeight="1" x14ac:dyDescent="0.2">
      <c r="A279" s="354"/>
    </row>
    <row r="280" spans="1:1" ht="18" customHeight="1" x14ac:dyDescent="0.2">
      <c r="A280" s="354"/>
    </row>
    <row r="281" spans="1:1" ht="18" customHeight="1" x14ac:dyDescent="0.2">
      <c r="A281" s="354"/>
    </row>
    <row r="282" spans="1:1" ht="18" customHeight="1" x14ac:dyDescent="0.2">
      <c r="A282" s="354"/>
    </row>
    <row r="283" spans="1:1" ht="18" customHeight="1" x14ac:dyDescent="0.2">
      <c r="A283" s="354"/>
    </row>
    <row r="284" spans="1:1" ht="18" customHeight="1" x14ac:dyDescent="0.2">
      <c r="A284" s="354"/>
    </row>
    <row r="285" spans="1:1" ht="18" customHeight="1" x14ac:dyDescent="0.2">
      <c r="A285" s="354"/>
    </row>
    <row r="286" spans="1:1" ht="18" customHeight="1" x14ac:dyDescent="0.2">
      <c r="A286" s="354"/>
    </row>
    <row r="287" spans="1:1" ht="18" customHeight="1" x14ac:dyDescent="0.2">
      <c r="A287" s="354"/>
    </row>
    <row r="288" spans="1:1" ht="18" customHeight="1" x14ac:dyDescent="0.2">
      <c r="A288" s="354"/>
    </row>
    <row r="289" spans="1:1" ht="18" customHeight="1" x14ac:dyDescent="0.2">
      <c r="A289" s="354"/>
    </row>
    <row r="290" spans="1:1" ht="18" customHeight="1" x14ac:dyDescent="0.2">
      <c r="A290" s="354"/>
    </row>
    <row r="291" spans="1:1" ht="18" customHeight="1" x14ac:dyDescent="0.2">
      <c r="A291" s="354"/>
    </row>
    <row r="292" spans="1:1" ht="18" customHeight="1" x14ac:dyDescent="0.2">
      <c r="A292" s="354"/>
    </row>
    <row r="293" spans="1:1" ht="18" customHeight="1" x14ac:dyDescent="0.2">
      <c r="A293" s="354"/>
    </row>
    <row r="294" spans="1:1" ht="18" customHeight="1" x14ac:dyDescent="0.2">
      <c r="A294" s="354"/>
    </row>
    <row r="295" spans="1:1" ht="18" customHeight="1" x14ac:dyDescent="0.2">
      <c r="A295" s="354"/>
    </row>
    <row r="296" spans="1:1" ht="18" customHeight="1" x14ac:dyDescent="0.2">
      <c r="A296" s="354"/>
    </row>
    <row r="297" spans="1:1" ht="18" customHeight="1" x14ac:dyDescent="0.2">
      <c r="A297" s="354"/>
    </row>
  </sheetData>
  <mergeCells count="2">
    <mergeCell ref="A124:H124"/>
    <mergeCell ref="B150:D150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7" zoomScaleNormal="100" zoomScaleSheetLayoutView="100" workbookViewId="0">
      <selection activeCell="H41" sqref="H41"/>
    </sheetView>
  </sheetViews>
  <sheetFormatPr defaultColWidth="8.7109375" defaultRowHeight="15" x14ac:dyDescent="0.25"/>
  <cols>
    <col min="1" max="1" width="12" style="752" customWidth="1"/>
    <col min="2" max="2" width="9.85546875" style="752" bestFit="1" customWidth="1"/>
    <col min="3" max="3" width="9.28515625" style="752" bestFit="1" customWidth="1"/>
    <col min="4" max="4" width="11" style="752" customWidth="1"/>
    <col min="5" max="5" width="10.42578125" style="752" customWidth="1"/>
    <col min="6" max="7" width="11" style="752" customWidth="1"/>
    <col min="8" max="8" width="11.7109375" style="752" customWidth="1"/>
    <col min="9" max="9" width="8.7109375" style="752" customWidth="1"/>
    <col min="10" max="10" width="11.28515625" style="752" customWidth="1"/>
    <col min="11" max="156" width="8.7109375" style="752" customWidth="1"/>
    <col min="157" max="16384" width="8.7109375" style="752"/>
  </cols>
  <sheetData>
    <row r="2" spans="1:8" ht="15.75" customHeight="1" x14ac:dyDescent="0.25">
      <c r="F2" s="906"/>
      <c r="G2" s="907"/>
      <c r="H2" s="907"/>
    </row>
    <row r="4" spans="1:8" ht="18.75" customHeight="1" x14ac:dyDescent="0.3">
      <c r="A4" s="908" t="s">
        <v>314</v>
      </c>
      <c r="B4" s="907"/>
      <c r="C4" s="907"/>
      <c r="D4" s="907"/>
      <c r="E4" s="907"/>
      <c r="F4" s="907"/>
      <c r="G4" s="907"/>
      <c r="H4" s="907"/>
    </row>
    <row r="5" spans="1:8" ht="18.75" customHeight="1" x14ac:dyDescent="0.3">
      <c r="A5" s="908" t="s">
        <v>315</v>
      </c>
      <c r="B5" s="907"/>
      <c r="C5" s="907"/>
      <c r="D5" s="907"/>
      <c r="E5" s="907"/>
      <c r="F5" s="907"/>
      <c r="G5" s="907"/>
      <c r="H5" s="907"/>
    </row>
    <row r="6" spans="1:8" ht="15.75" customHeight="1" thickBot="1" x14ac:dyDescent="0.3">
      <c r="G6" s="909" t="s">
        <v>316</v>
      </c>
      <c r="H6" s="910"/>
    </row>
    <row r="7" spans="1:8" ht="46.5" customHeight="1" thickTop="1" thickBot="1" x14ac:dyDescent="0.3">
      <c r="A7" s="383" t="s">
        <v>317</v>
      </c>
      <c r="B7" s="384" t="s">
        <v>318</v>
      </c>
      <c r="C7" s="384" t="s">
        <v>319</v>
      </c>
      <c r="D7" s="385" t="s">
        <v>320</v>
      </c>
      <c r="E7" s="384" t="s">
        <v>321</v>
      </c>
      <c r="F7" s="384" t="s">
        <v>322</v>
      </c>
      <c r="G7" s="384" t="s">
        <v>323</v>
      </c>
      <c r="H7" s="386" t="s">
        <v>324</v>
      </c>
    </row>
    <row r="8" spans="1:8" ht="15.75" customHeight="1" thickTop="1" x14ac:dyDescent="0.25">
      <c r="A8" s="387">
        <v>1</v>
      </c>
      <c r="B8" s="388">
        <v>1456.2940000000001</v>
      </c>
      <c r="C8" s="388">
        <v>0</v>
      </c>
      <c r="D8" s="388">
        <f t="shared" ref="D8:D37" si="0">SUM(B8:C8)</f>
        <v>1456.2940000000001</v>
      </c>
      <c r="E8" s="389">
        <v>0</v>
      </c>
      <c r="F8" s="388">
        <v>0</v>
      </c>
      <c r="G8" s="388">
        <f t="shared" ref="G8:G37" si="1">+E8+F8</f>
        <v>0</v>
      </c>
      <c r="H8" s="390">
        <f t="shared" ref="H8:H37" si="2">+G8-D8</f>
        <v>-1456.2940000000001</v>
      </c>
    </row>
    <row r="9" spans="1:8" x14ac:dyDescent="0.25">
      <c r="A9" s="391">
        <f t="shared" ref="A9:A37" si="3">+A8+1</f>
        <v>2</v>
      </c>
      <c r="B9" s="389">
        <v>2682.9269999999992</v>
      </c>
      <c r="C9" s="389">
        <v>0</v>
      </c>
      <c r="D9" s="388">
        <f t="shared" si="0"/>
        <v>2682.9269999999992</v>
      </c>
      <c r="E9" s="389">
        <v>0</v>
      </c>
      <c r="F9" s="388">
        <v>0</v>
      </c>
      <c r="G9" s="388">
        <f t="shared" si="1"/>
        <v>0</v>
      </c>
      <c r="H9" s="390">
        <f t="shared" si="2"/>
        <v>-2682.9269999999992</v>
      </c>
    </row>
    <row r="10" spans="1:8" x14ac:dyDescent="0.25">
      <c r="A10" s="391">
        <f t="shared" si="3"/>
        <v>3</v>
      </c>
      <c r="B10" s="389">
        <v>7942.6859999999979</v>
      </c>
      <c r="C10" s="389">
        <v>0</v>
      </c>
      <c r="D10" s="388">
        <f t="shared" si="0"/>
        <v>7942.6859999999979</v>
      </c>
      <c r="E10" s="389">
        <v>0</v>
      </c>
      <c r="F10" s="388">
        <v>0</v>
      </c>
      <c r="G10" s="388">
        <f t="shared" si="1"/>
        <v>0</v>
      </c>
      <c r="H10" s="390">
        <f t="shared" si="2"/>
        <v>-7942.6859999999979</v>
      </c>
    </row>
    <row r="11" spans="1:8" ht="14.45" customHeight="1" x14ac:dyDescent="0.25">
      <c r="A11" s="391">
        <f t="shared" si="3"/>
        <v>4</v>
      </c>
      <c r="B11" s="392">
        <v>15867.59</v>
      </c>
      <c r="C11" s="389">
        <v>0</v>
      </c>
      <c r="D11" s="388">
        <f t="shared" si="0"/>
        <v>15867.59</v>
      </c>
      <c r="E11" s="389">
        <v>0</v>
      </c>
      <c r="F11" s="388">
        <v>0</v>
      </c>
      <c r="G11" s="388">
        <f t="shared" si="1"/>
        <v>0</v>
      </c>
      <c r="H11" s="390">
        <f t="shared" si="2"/>
        <v>-15867.59</v>
      </c>
    </row>
    <row r="12" spans="1:8" ht="14.45" customHeight="1" x14ac:dyDescent="0.25">
      <c r="A12" s="391">
        <f t="shared" si="3"/>
        <v>5</v>
      </c>
      <c r="B12" s="392">
        <v>17642.419999999998</v>
      </c>
      <c r="C12" s="389">
        <v>0</v>
      </c>
      <c r="D12" s="388">
        <f t="shared" si="0"/>
        <v>17642.419999999998</v>
      </c>
      <c r="E12" s="389">
        <v>0</v>
      </c>
      <c r="F12" s="389">
        <v>0</v>
      </c>
      <c r="G12" s="388">
        <f t="shared" si="1"/>
        <v>0</v>
      </c>
      <c r="H12" s="390">
        <f t="shared" si="2"/>
        <v>-17642.419999999998</v>
      </c>
    </row>
    <row r="13" spans="1:8" ht="14.45" customHeight="1" x14ac:dyDescent="0.25">
      <c r="A13" s="391">
        <f t="shared" si="3"/>
        <v>6</v>
      </c>
      <c r="B13" s="392">
        <v>13726.97</v>
      </c>
      <c r="C13" s="389">
        <v>0</v>
      </c>
      <c r="D13" s="388">
        <f t="shared" si="0"/>
        <v>13726.97</v>
      </c>
      <c r="E13" s="389">
        <f>E17*0.5</f>
        <v>21832.158289999996</v>
      </c>
      <c r="F13" s="389">
        <v>0</v>
      </c>
      <c r="G13" s="388">
        <f t="shared" si="1"/>
        <v>21832.158289999996</v>
      </c>
      <c r="H13" s="390">
        <f t="shared" si="2"/>
        <v>8105.1882899999964</v>
      </c>
    </row>
    <row r="14" spans="1:8" ht="14.45" customHeight="1" x14ac:dyDescent="0.25">
      <c r="A14" s="391">
        <f t="shared" si="3"/>
        <v>7</v>
      </c>
      <c r="B14" s="392">
        <v>22773.505040000011</v>
      </c>
      <c r="C14" s="389">
        <v>0</v>
      </c>
      <c r="D14" s="388">
        <f t="shared" si="0"/>
        <v>22773.505040000011</v>
      </c>
      <c r="E14" s="389">
        <f>E17*0.6</f>
        <v>26198.589947999993</v>
      </c>
      <c r="F14" s="389">
        <v>0</v>
      </c>
      <c r="G14" s="388">
        <f t="shared" si="1"/>
        <v>26198.589947999993</v>
      </c>
      <c r="H14" s="390">
        <f t="shared" si="2"/>
        <v>3425.0849079999825</v>
      </c>
    </row>
    <row r="15" spans="1:8" ht="14.45" customHeight="1" x14ac:dyDescent="0.25">
      <c r="A15" s="391">
        <f t="shared" si="3"/>
        <v>8</v>
      </c>
      <c r="B15" s="392">
        <v>17681.607960000001</v>
      </c>
      <c r="C15" s="389">
        <v>0</v>
      </c>
      <c r="D15" s="388">
        <f t="shared" si="0"/>
        <v>17681.607960000001</v>
      </c>
      <c r="E15" s="389">
        <f>E17*0.7</f>
        <v>30565.021605999991</v>
      </c>
      <c r="F15" s="389">
        <v>0</v>
      </c>
      <c r="G15" s="388">
        <f t="shared" si="1"/>
        <v>30565.021605999991</v>
      </c>
      <c r="H15" s="390">
        <f t="shared" si="2"/>
        <v>12883.41364599999</v>
      </c>
    </row>
    <row r="16" spans="1:8" ht="14.45" customHeight="1" x14ac:dyDescent="0.25">
      <c r="A16" s="391">
        <f t="shared" si="3"/>
        <v>9</v>
      </c>
      <c r="B16" s="392"/>
      <c r="C16" s="389">
        <v>670</v>
      </c>
      <c r="D16" s="388">
        <f t="shared" si="0"/>
        <v>670</v>
      </c>
      <c r="E16" s="389">
        <f>E17*0.8</f>
        <v>34931.453263999996</v>
      </c>
      <c r="F16" s="389">
        <v>0</v>
      </c>
      <c r="G16" s="388">
        <f t="shared" si="1"/>
        <v>34931.453263999996</v>
      </c>
      <c r="H16" s="390">
        <f t="shared" si="2"/>
        <v>34261.453263999996</v>
      </c>
    </row>
    <row r="17" spans="1:10" ht="14.45" customHeight="1" x14ac:dyDescent="0.25">
      <c r="A17" s="391">
        <f t="shared" si="3"/>
        <v>10</v>
      </c>
      <c r="B17" s="392"/>
      <c r="C17" s="389">
        <f>670</f>
        <v>670</v>
      </c>
      <c r="D17" s="388">
        <f t="shared" si="0"/>
        <v>670</v>
      </c>
      <c r="E17" s="389">
        <v>43664.316579999992</v>
      </c>
      <c r="F17" s="389">
        <v>0</v>
      </c>
      <c r="G17" s="388">
        <f t="shared" si="1"/>
        <v>43664.316579999992</v>
      </c>
      <c r="H17" s="390">
        <f t="shared" si="2"/>
        <v>42994.316579999992</v>
      </c>
      <c r="J17" s="393"/>
    </row>
    <row r="18" spans="1:10" ht="14.45" customHeight="1" x14ac:dyDescent="0.25">
      <c r="A18" s="391">
        <f t="shared" si="3"/>
        <v>11</v>
      </c>
      <c r="B18" s="392"/>
      <c r="C18" s="389">
        <f t="shared" ref="C18:C37" si="4">C17</f>
        <v>670</v>
      </c>
      <c r="D18" s="388">
        <f t="shared" si="0"/>
        <v>670</v>
      </c>
      <c r="E18" s="389">
        <f t="shared" ref="E18:E37" si="5">E17</f>
        <v>43664.316579999992</v>
      </c>
      <c r="F18" s="389">
        <v>0</v>
      </c>
      <c r="G18" s="388">
        <f t="shared" si="1"/>
        <v>43664.316579999992</v>
      </c>
      <c r="H18" s="390">
        <f t="shared" si="2"/>
        <v>42994.316579999992</v>
      </c>
    </row>
    <row r="19" spans="1:10" ht="14.45" customHeight="1" x14ac:dyDescent="0.25">
      <c r="A19" s="391">
        <f t="shared" si="3"/>
        <v>12</v>
      </c>
      <c r="B19" s="392"/>
      <c r="C19" s="389">
        <f t="shared" si="4"/>
        <v>670</v>
      </c>
      <c r="D19" s="388">
        <f t="shared" si="0"/>
        <v>670</v>
      </c>
      <c r="E19" s="389">
        <f t="shared" si="5"/>
        <v>43664.316579999992</v>
      </c>
      <c r="F19" s="389">
        <v>0</v>
      </c>
      <c r="G19" s="388">
        <f t="shared" si="1"/>
        <v>43664.316579999992</v>
      </c>
      <c r="H19" s="390">
        <f t="shared" si="2"/>
        <v>42994.316579999992</v>
      </c>
    </row>
    <row r="20" spans="1:10" ht="14.45" customHeight="1" x14ac:dyDescent="0.25">
      <c r="A20" s="391">
        <f t="shared" si="3"/>
        <v>13</v>
      </c>
      <c r="B20" s="392"/>
      <c r="C20" s="389">
        <f t="shared" si="4"/>
        <v>670</v>
      </c>
      <c r="D20" s="388">
        <f t="shared" si="0"/>
        <v>670</v>
      </c>
      <c r="E20" s="389">
        <f t="shared" si="5"/>
        <v>43664.316579999992</v>
      </c>
      <c r="F20" s="389">
        <v>0</v>
      </c>
      <c r="G20" s="388">
        <f t="shared" si="1"/>
        <v>43664.316579999992</v>
      </c>
      <c r="H20" s="390">
        <f t="shared" si="2"/>
        <v>42994.316579999992</v>
      </c>
    </row>
    <row r="21" spans="1:10" ht="14.45" customHeight="1" x14ac:dyDescent="0.25">
      <c r="A21" s="391">
        <f t="shared" si="3"/>
        <v>14</v>
      </c>
      <c r="B21" s="392"/>
      <c r="C21" s="389">
        <f t="shared" si="4"/>
        <v>670</v>
      </c>
      <c r="D21" s="388">
        <f t="shared" si="0"/>
        <v>670</v>
      </c>
      <c r="E21" s="389">
        <f t="shared" si="5"/>
        <v>43664.316579999992</v>
      </c>
      <c r="F21" s="389">
        <v>0</v>
      </c>
      <c r="G21" s="388">
        <f t="shared" si="1"/>
        <v>43664.316579999992</v>
      </c>
      <c r="H21" s="390">
        <f t="shared" si="2"/>
        <v>42994.316579999992</v>
      </c>
    </row>
    <row r="22" spans="1:10" ht="14.45" customHeight="1" x14ac:dyDescent="0.25">
      <c r="A22" s="391">
        <f t="shared" si="3"/>
        <v>15</v>
      </c>
      <c r="B22" s="392"/>
      <c r="C22" s="389">
        <f t="shared" si="4"/>
        <v>670</v>
      </c>
      <c r="D22" s="388">
        <f t="shared" si="0"/>
        <v>670</v>
      </c>
      <c r="E22" s="389">
        <f t="shared" si="5"/>
        <v>43664.316579999992</v>
      </c>
      <c r="F22" s="389">
        <v>0</v>
      </c>
      <c r="G22" s="388">
        <f t="shared" si="1"/>
        <v>43664.316579999992</v>
      </c>
      <c r="H22" s="390">
        <f t="shared" si="2"/>
        <v>42994.316579999992</v>
      </c>
    </row>
    <row r="23" spans="1:10" ht="14.45" customHeight="1" x14ac:dyDescent="0.25">
      <c r="A23" s="391">
        <f t="shared" si="3"/>
        <v>16</v>
      </c>
      <c r="B23" s="392"/>
      <c r="C23" s="389">
        <f t="shared" si="4"/>
        <v>670</v>
      </c>
      <c r="D23" s="388">
        <f t="shared" si="0"/>
        <v>670</v>
      </c>
      <c r="E23" s="389">
        <f t="shared" si="5"/>
        <v>43664.316579999992</v>
      </c>
      <c r="F23" s="389">
        <v>0</v>
      </c>
      <c r="G23" s="388">
        <f t="shared" si="1"/>
        <v>43664.316579999992</v>
      </c>
      <c r="H23" s="390">
        <f t="shared" si="2"/>
        <v>42994.316579999992</v>
      </c>
    </row>
    <row r="24" spans="1:10" ht="14.45" customHeight="1" x14ac:dyDescent="0.25">
      <c r="A24" s="391">
        <f t="shared" si="3"/>
        <v>17</v>
      </c>
      <c r="B24" s="392"/>
      <c r="C24" s="389">
        <f t="shared" si="4"/>
        <v>670</v>
      </c>
      <c r="D24" s="388">
        <f t="shared" si="0"/>
        <v>670</v>
      </c>
      <c r="E24" s="389">
        <f t="shared" si="5"/>
        <v>43664.316579999992</v>
      </c>
      <c r="F24" s="389">
        <v>0</v>
      </c>
      <c r="G24" s="388">
        <f t="shared" si="1"/>
        <v>43664.316579999992</v>
      </c>
      <c r="H24" s="390">
        <f t="shared" si="2"/>
        <v>42994.316579999992</v>
      </c>
    </row>
    <row r="25" spans="1:10" ht="14.45" customHeight="1" x14ac:dyDescent="0.25">
      <c r="A25" s="391">
        <f t="shared" si="3"/>
        <v>18</v>
      </c>
      <c r="B25" s="392"/>
      <c r="C25" s="389">
        <f t="shared" si="4"/>
        <v>670</v>
      </c>
      <c r="D25" s="388">
        <f t="shared" si="0"/>
        <v>670</v>
      </c>
      <c r="E25" s="389">
        <f t="shared" si="5"/>
        <v>43664.316579999992</v>
      </c>
      <c r="F25" s="389">
        <v>0</v>
      </c>
      <c r="G25" s="388">
        <f t="shared" si="1"/>
        <v>43664.316579999992</v>
      </c>
      <c r="H25" s="390">
        <f t="shared" si="2"/>
        <v>42994.316579999992</v>
      </c>
    </row>
    <row r="26" spans="1:10" ht="14.45" customHeight="1" x14ac:dyDescent="0.25">
      <c r="A26" s="391">
        <f t="shared" si="3"/>
        <v>19</v>
      </c>
      <c r="B26" s="392"/>
      <c r="C26" s="389">
        <f t="shared" si="4"/>
        <v>670</v>
      </c>
      <c r="D26" s="388">
        <f t="shared" si="0"/>
        <v>670</v>
      </c>
      <c r="E26" s="389">
        <f t="shared" si="5"/>
        <v>43664.316579999992</v>
      </c>
      <c r="F26" s="389">
        <v>0</v>
      </c>
      <c r="G26" s="388">
        <f t="shared" si="1"/>
        <v>43664.316579999992</v>
      </c>
      <c r="H26" s="390">
        <f t="shared" si="2"/>
        <v>42994.316579999992</v>
      </c>
    </row>
    <row r="27" spans="1:10" ht="14.45" customHeight="1" x14ac:dyDescent="0.25">
      <c r="A27" s="391">
        <f t="shared" si="3"/>
        <v>20</v>
      </c>
      <c r="B27" s="392"/>
      <c r="C27" s="389">
        <f t="shared" si="4"/>
        <v>670</v>
      </c>
      <c r="D27" s="388">
        <f t="shared" si="0"/>
        <v>670</v>
      </c>
      <c r="E27" s="389">
        <f t="shared" si="5"/>
        <v>43664.316579999992</v>
      </c>
      <c r="F27" s="389">
        <v>0</v>
      </c>
      <c r="G27" s="388">
        <f t="shared" si="1"/>
        <v>43664.316579999992</v>
      </c>
      <c r="H27" s="390">
        <f t="shared" si="2"/>
        <v>42994.316579999992</v>
      </c>
    </row>
    <row r="28" spans="1:10" ht="14.45" customHeight="1" x14ac:dyDescent="0.25">
      <c r="A28" s="391">
        <f t="shared" si="3"/>
        <v>21</v>
      </c>
      <c r="B28" s="392"/>
      <c r="C28" s="389">
        <f t="shared" si="4"/>
        <v>670</v>
      </c>
      <c r="D28" s="388">
        <f t="shared" si="0"/>
        <v>670</v>
      </c>
      <c r="E28" s="389">
        <f t="shared" si="5"/>
        <v>43664.316579999992</v>
      </c>
      <c r="F28" s="389">
        <v>0</v>
      </c>
      <c r="G28" s="388">
        <f t="shared" si="1"/>
        <v>43664.316579999992</v>
      </c>
      <c r="H28" s="390">
        <f t="shared" si="2"/>
        <v>42994.316579999992</v>
      </c>
    </row>
    <row r="29" spans="1:10" ht="14.45" customHeight="1" x14ac:dyDescent="0.25">
      <c r="A29" s="391">
        <f t="shared" si="3"/>
        <v>22</v>
      </c>
      <c r="B29" s="392"/>
      <c r="C29" s="389">
        <f t="shared" si="4"/>
        <v>670</v>
      </c>
      <c r="D29" s="388">
        <f t="shared" si="0"/>
        <v>670</v>
      </c>
      <c r="E29" s="389">
        <f t="shared" si="5"/>
        <v>43664.316579999992</v>
      </c>
      <c r="F29" s="389">
        <v>0</v>
      </c>
      <c r="G29" s="388">
        <f t="shared" si="1"/>
        <v>43664.316579999992</v>
      </c>
      <c r="H29" s="390">
        <f t="shared" si="2"/>
        <v>42994.316579999992</v>
      </c>
    </row>
    <row r="30" spans="1:10" ht="14.45" customHeight="1" x14ac:dyDescent="0.25">
      <c r="A30" s="391">
        <f t="shared" si="3"/>
        <v>23</v>
      </c>
      <c r="B30" s="392"/>
      <c r="C30" s="389">
        <f t="shared" si="4"/>
        <v>670</v>
      </c>
      <c r="D30" s="388">
        <f t="shared" si="0"/>
        <v>670</v>
      </c>
      <c r="E30" s="389">
        <f t="shared" si="5"/>
        <v>43664.316579999992</v>
      </c>
      <c r="F30" s="389">
        <v>0</v>
      </c>
      <c r="G30" s="388">
        <f t="shared" si="1"/>
        <v>43664.316579999992</v>
      </c>
      <c r="H30" s="390">
        <f t="shared" si="2"/>
        <v>42994.316579999992</v>
      </c>
    </row>
    <row r="31" spans="1:10" ht="14.45" customHeight="1" x14ac:dyDescent="0.25">
      <c r="A31" s="391">
        <f t="shared" si="3"/>
        <v>24</v>
      </c>
      <c r="B31" s="392"/>
      <c r="C31" s="389">
        <f t="shared" si="4"/>
        <v>670</v>
      </c>
      <c r="D31" s="388">
        <f t="shared" si="0"/>
        <v>670</v>
      </c>
      <c r="E31" s="389">
        <f t="shared" si="5"/>
        <v>43664.316579999992</v>
      </c>
      <c r="F31" s="389">
        <v>0</v>
      </c>
      <c r="G31" s="388">
        <f t="shared" si="1"/>
        <v>43664.316579999992</v>
      </c>
      <c r="H31" s="390">
        <f t="shared" si="2"/>
        <v>42994.316579999992</v>
      </c>
    </row>
    <row r="32" spans="1:10" ht="14.45" customHeight="1" x14ac:dyDescent="0.25">
      <c r="A32" s="391">
        <f t="shared" si="3"/>
        <v>25</v>
      </c>
      <c r="B32" s="392"/>
      <c r="C32" s="389">
        <f t="shared" si="4"/>
        <v>670</v>
      </c>
      <c r="D32" s="388">
        <f t="shared" si="0"/>
        <v>670</v>
      </c>
      <c r="E32" s="389">
        <f t="shared" si="5"/>
        <v>43664.316579999992</v>
      </c>
      <c r="F32" s="389">
        <v>0</v>
      </c>
      <c r="G32" s="388">
        <f t="shared" si="1"/>
        <v>43664.316579999992</v>
      </c>
      <c r="H32" s="390">
        <f t="shared" si="2"/>
        <v>42994.316579999992</v>
      </c>
    </row>
    <row r="33" spans="1:12" ht="14.45" customHeight="1" x14ac:dyDescent="0.25">
      <c r="A33" s="391">
        <f t="shared" si="3"/>
        <v>26</v>
      </c>
      <c r="B33" s="392"/>
      <c r="C33" s="389">
        <f t="shared" si="4"/>
        <v>670</v>
      </c>
      <c r="D33" s="388">
        <f t="shared" si="0"/>
        <v>670</v>
      </c>
      <c r="E33" s="389">
        <f t="shared" si="5"/>
        <v>43664.316579999992</v>
      </c>
      <c r="F33" s="389">
        <v>0</v>
      </c>
      <c r="G33" s="388">
        <f t="shared" si="1"/>
        <v>43664.316579999992</v>
      </c>
      <c r="H33" s="390">
        <f t="shared" si="2"/>
        <v>42994.316579999992</v>
      </c>
    </row>
    <row r="34" spans="1:12" ht="14.45" customHeight="1" x14ac:dyDescent="0.25">
      <c r="A34" s="391">
        <f t="shared" si="3"/>
        <v>27</v>
      </c>
      <c r="B34" s="392"/>
      <c r="C34" s="389">
        <f t="shared" si="4"/>
        <v>670</v>
      </c>
      <c r="D34" s="388">
        <f t="shared" si="0"/>
        <v>670</v>
      </c>
      <c r="E34" s="389">
        <f t="shared" si="5"/>
        <v>43664.316579999992</v>
      </c>
      <c r="F34" s="389">
        <v>0</v>
      </c>
      <c r="G34" s="388">
        <f t="shared" si="1"/>
        <v>43664.316579999992</v>
      </c>
      <c r="H34" s="390">
        <f t="shared" si="2"/>
        <v>42994.316579999992</v>
      </c>
    </row>
    <row r="35" spans="1:12" ht="14.45" customHeight="1" x14ac:dyDescent="0.25">
      <c r="A35" s="391">
        <f t="shared" si="3"/>
        <v>28</v>
      </c>
      <c r="B35" s="392"/>
      <c r="C35" s="389">
        <f t="shared" si="4"/>
        <v>670</v>
      </c>
      <c r="D35" s="388">
        <f t="shared" si="0"/>
        <v>670</v>
      </c>
      <c r="E35" s="389">
        <f t="shared" si="5"/>
        <v>43664.316579999992</v>
      </c>
      <c r="F35" s="389">
        <v>0</v>
      </c>
      <c r="G35" s="388">
        <f t="shared" si="1"/>
        <v>43664.316579999992</v>
      </c>
      <c r="H35" s="390">
        <f t="shared" si="2"/>
        <v>42994.316579999992</v>
      </c>
    </row>
    <row r="36" spans="1:12" ht="14.45" customHeight="1" x14ac:dyDescent="0.25">
      <c r="A36" s="391">
        <f t="shared" si="3"/>
        <v>29</v>
      </c>
      <c r="B36" s="392"/>
      <c r="C36" s="389">
        <f t="shared" si="4"/>
        <v>670</v>
      </c>
      <c r="D36" s="388">
        <f t="shared" si="0"/>
        <v>670</v>
      </c>
      <c r="E36" s="389">
        <f t="shared" si="5"/>
        <v>43664.316579999992</v>
      </c>
      <c r="F36" s="389">
        <v>0</v>
      </c>
      <c r="G36" s="388">
        <f t="shared" si="1"/>
        <v>43664.316579999992</v>
      </c>
      <c r="H36" s="390">
        <f t="shared" si="2"/>
        <v>42994.316579999992</v>
      </c>
    </row>
    <row r="37" spans="1:12" x14ac:dyDescent="0.25">
      <c r="A37" s="391">
        <f t="shared" si="3"/>
        <v>30</v>
      </c>
      <c r="B37" s="389"/>
      <c r="C37" s="389">
        <f t="shared" si="4"/>
        <v>670</v>
      </c>
      <c r="D37" s="388">
        <f t="shared" si="0"/>
        <v>670</v>
      </c>
      <c r="E37" s="389">
        <f t="shared" si="5"/>
        <v>43664.316579999992</v>
      </c>
      <c r="F37" s="389">
        <v>0</v>
      </c>
      <c r="G37" s="388">
        <f t="shared" si="1"/>
        <v>43664.316579999992</v>
      </c>
      <c r="H37" s="390">
        <f t="shared" si="2"/>
        <v>42994.316579999992</v>
      </c>
    </row>
    <row r="38" spans="1:12" ht="17.25" customHeight="1" thickBot="1" x14ac:dyDescent="0.3">
      <c r="A38" s="394" t="s">
        <v>325</v>
      </c>
      <c r="B38" s="395">
        <f t="shared" ref="B38:H38" si="6">NPV(0.12,B8:B37)</f>
        <v>53584.837936815813</v>
      </c>
      <c r="C38" s="395">
        <f t="shared" si="6"/>
        <v>2068.6546145552747</v>
      </c>
      <c r="D38" s="395">
        <f t="shared" si="6"/>
        <v>55653.492551371106</v>
      </c>
      <c r="E38" s="395">
        <f t="shared" si="6"/>
        <v>166922.81140877161</v>
      </c>
      <c r="F38" s="395">
        <f t="shared" si="6"/>
        <v>0</v>
      </c>
      <c r="G38" s="395">
        <f t="shared" si="6"/>
        <v>166922.81140877161</v>
      </c>
      <c r="H38" s="396">
        <f t="shared" si="6"/>
        <v>111269.31885740052</v>
      </c>
      <c r="L38" s="393"/>
    </row>
    <row r="39" spans="1:12" ht="16.5" customHeight="1" thickTop="1" thickBot="1" x14ac:dyDescent="0.3">
      <c r="A39" s="397" t="s">
        <v>326</v>
      </c>
      <c r="B39" s="397"/>
      <c r="C39" s="397"/>
      <c r="D39" s="397"/>
      <c r="E39" s="397"/>
      <c r="F39" s="398"/>
      <c r="G39" s="398"/>
      <c r="H39" s="398"/>
    </row>
    <row r="40" spans="1:12" ht="16.5" customHeight="1" thickTop="1" thickBot="1" x14ac:dyDescent="0.3">
      <c r="A40" s="399" t="s">
        <v>327</v>
      </c>
      <c r="B40" s="399"/>
      <c r="C40" s="399"/>
      <c r="D40" s="399">
        <f>IRR(H8:H37,0.12)</f>
        <v>0.33645188121506631</v>
      </c>
      <c r="E40" s="399"/>
      <c r="F40" s="400"/>
      <c r="G40" s="431"/>
      <c r="H40" s="401"/>
    </row>
    <row r="41" spans="1:12" ht="16.5" customHeight="1" thickTop="1" thickBot="1" x14ac:dyDescent="0.3">
      <c r="A41" s="402" t="s">
        <v>328</v>
      </c>
      <c r="B41" s="402"/>
      <c r="C41" s="402"/>
      <c r="D41" s="402">
        <f>NPV(0.12,G8:G37)/NPV(0.12,D8:D37)</f>
        <v>2.9993232006902901</v>
      </c>
      <c r="E41" s="402"/>
      <c r="F41" s="393"/>
      <c r="G41" s="393"/>
      <c r="H41" s="401"/>
    </row>
    <row r="42" spans="1:12" ht="16.5" customHeight="1" thickTop="1" thickBot="1" x14ac:dyDescent="0.3">
      <c r="A42" s="403" t="s">
        <v>325</v>
      </c>
      <c r="B42" s="403"/>
      <c r="C42" s="403"/>
      <c r="D42" s="402">
        <f>H38</f>
        <v>111269.31885740052</v>
      </c>
      <c r="E42" s="403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14</vt:i4>
      </vt:variant>
    </vt:vector>
  </HeadingPairs>
  <TitlesOfParts>
    <vt:vector size="32" baseType="lpstr">
      <vt:lpstr>Revised_2nd</vt:lpstr>
      <vt:lpstr>Sheet1</vt:lpstr>
      <vt:lpstr>9.Detil Phasing</vt:lpstr>
      <vt:lpstr>9.Detil Phasing_2</vt:lpstr>
      <vt:lpstr>Sheet3</vt:lpstr>
      <vt:lpstr>Annex-II</vt:lpstr>
      <vt:lpstr>Inves._Cost</vt:lpstr>
      <vt:lpstr>Crop. Pattern</vt:lpstr>
      <vt:lpstr>FIRR</vt:lpstr>
      <vt:lpstr>Sheet2</vt:lpstr>
      <vt:lpstr>EIRR</vt:lpstr>
      <vt:lpstr>Annex-IV</vt:lpstr>
      <vt:lpstr>FIRR_Backup</vt:lpstr>
      <vt:lpstr>Package_wise_quantity</vt:lpstr>
      <vt:lpstr>Package_wise_cost</vt:lpstr>
      <vt:lpstr>Haor_wise_quantity</vt:lpstr>
      <vt:lpstr>distribution_of_cost</vt:lpstr>
      <vt:lpstr>Sheet4</vt:lpstr>
      <vt:lpstr>'9.Detil Phasing'!Print_Area</vt:lpstr>
      <vt:lpstr>'9.Detil Phasing_2'!Print_Area</vt:lpstr>
      <vt:lpstr>'Annex-II'!Print_Area</vt:lpstr>
      <vt:lpstr>distribution_of_cost!Print_Area</vt:lpstr>
      <vt:lpstr>Haor_wise_quantity!Print_Area</vt:lpstr>
      <vt:lpstr>Inves._Cost!Print_Area</vt:lpstr>
      <vt:lpstr>Package_wise_cost!Print_Area</vt:lpstr>
      <vt:lpstr>Revised_2nd!Print_Area</vt:lpstr>
      <vt:lpstr>'9.Detil Phasing'!Print_Titles</vt:lpstr>
      <vt:lpstr>'9.Detil Phasing_2'!Print_Titles</vt:lpstr>
      <vt:lpstr>'Annex-II'!Print_Titles</vt:lpstr>
      <vt:lpstr>Haor_wise_quantity!Print_Titles</vt:lpstr>
      <vt:lpstr>Inves._Cost!Print_Titles</vt:lpstr>
      <vt:lpstr>Package_wise_cost!Print_Titles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cp:lastPrinted>2020-10-11T06:39:33Z</cp:lastPrinted>
  <dcterms:created xsi:type="dcterms:W3CDTF">2015-06-05T18:17:20Z</dcterms:created>
  <dcterms:modified xsi:type="dcterms:W3CDTF">2020-10-13T07:53:08Z</dcterms:modified>
</cp:coreProperties>
</file>