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  <sheet name="Sheet1" sheetId="2" r:id="rId2"/>
    <sheet name="Production Rat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4" i="2" l="1"/>
  <c r="L31" i="2"/>
  <c r="L30" i="2"/>
  <c r="L29" i="2"/>
  <c r="L27" i="2"/>
  <c r="K27" i="2"/>
  <c r="I35" i="2"/>
  <c r="G35" i="2"/>
  <c r="F36" i="2"/>
  <c r="E17" i="2"/>
  <c r="E16" i="2"/>
  <c r="M17" i="2"/>
  <c r="M16" i="2"/>
  <c r="L17" i="2"/>
  <c r="L16" i="2"/>
  <c r="K15" i="2"/>
  <c r="E20" i="2"/>
  <c r="J15" i="2" l="1"/>
  <c r="P14" i="2" s="1"/>
  <c r="E18" i="2"/>
  <c r="E15" i="2"/>
  <c r="D15" i="2"/>
  <c r="C16" i="2" l="1"/>
  <c r="D16" i="2" s="1"/>
  <c r="B2" i="1"/>
  <c r="G27" i="3"/>
  <c r="F27" i="3"/>
  <c r="E25" i="3" l="1"/>
  <c r="E26" i="3"/>
  <c r="I23" i="3"/>
  <c r="H23" i="3"/>
  <c r="G23" i="3"/>
  <c r="G22" i="3"/>
  <c r="H22" i="3" s="1"/>
  <c r="I22" i="3" s="1"/>
  <c r="G21" i="3"/>
  <c r="H21" i="3" s="1"/>
  <c r="I21" i="3" s="1"/>
  <c r="G20" i="3"/>
  <c r="H20" i="3" s="1"/>
  <c r="I20" i="3" s="1"/>
  <c r="E10" i="3"/>
  <c r="E9" i="3"/>
  <c r="G19" i="3"/>
  <c r="H19" i="3" s="1"/>
  <c r="I19" i="3" s="1"/>
  <c r="E8" i="3"/>
  <c r="G18" i="3"/>
  <c r="H18" i="3"/>
  <c r="I18" i="3" s="1"/>
  <c r="H17" i="3"/>
  <c r="G17" i="3"/>
  <c r="G16" i="3"/>
  <c r="H16" i="3" s="1"/>
  <c r="I16" i="3" s="1"/>
  <c r="E6" i="3"/>
  <c r="E5" i="3"/>
  <c r="G15" i="3"/>
  <c r="H15" i="3" s="1"/>
  <c r="I15" i="3" s="1"/>
  <c r="J15" i="3" s="1"/>
  <c r="J8" i="3"/>
  <c r="I6" i="3"/>
  <c r="I7" i="3"/>
  <c r="G6" i="3"/>
  <c r="Q26" i="2"/>
  <c r="O26" i="2"/>
  <c r="S24" i="2"/>
  <c r="M24" i="2"/>
  <c r="O24" i="2" s="1"/>
  <c r="P24" i="2" s="1"/>
  <c r="N23" i="2"/>
  <c r="M23" i="2"/>
  <c r="O14" i="2"/>
  <c r="C17" i="2"/>
  <c r="D17" i="2" s="1"/>
  <c r="E19" i="2" s="1"/>
  <c r="B12" i="2"/>
  <c r="B13" i="2" s="1"/>
  <c r="F9" i="2"/>
  <c r="F6" i="2"/>
  <c r="D7" i="2"/>
  <c r="F7" i="2" s="1"/>
  <c r="D6" i="2"/>
  <c r="C7" i="2"/>
  <c r="C8" i="2"/>
  <c r="D8" i="2" s="1"/>
  <c r="F8" i="2" s="1"/>
  <c r="C6" i="2"/>
  <c r="C3" i="2"/>
  <c r="C4" i="2"/>
  <c r="C2" i="2"/>
  <c r="C9" i="1"/>
  <c r="B9" i="1"/>
  <c r="B11" i="1"/>
  <c r="B10" i="1"/>
  <c r="G4" i="1"/>
  <c r="G3" i="1"/>
  <c r="G2" i="1"/>
  <c r="A11" i="1"/>
  <c r="E2" i="1"/>
  <c r="D2" i="1"/>
  <c r="C4" i="1"/>
  <c r="B4" i="1"/>
  <c r="F4" i="1"/>
  <c r="F3" i="1"/>
  <c r="D4" i="1"/>
  <c r="D3" i="1"/>
  <c r="C3" i="1"/>
  <c r="C2" i="1"/>
  <c r="A9" i="1"/>
  <c r="B3" i="1"/>
  <c r="A5" i="1"/>
  <c r="K16" i="2" l="1"/>
  <c r="K17" i="2"/>
  <c r="I17" i="3"/>
  <c r="F10" i="2"/>
  <c r="P16" i="2"/>
  <c r="Q16" i="2" s="1"/>
  <c r="R16" i="2" s="1"/>
  <c r="P15" i="2"/>
  <c r="Q15" i="2" s="1"/>
  <c r="R15" i="2" s="1"/>
  <c r="R14" i="2"/>
</calcChain>
</file>

<file path=xl/sharedStrings.xml><?xml version="1.0" encoding="utf-8"?>
<sst xmlns="http://schemas.openxmlformats.org/spreadsheetml/2006/main" count="53" uniqueCount="47">
  <si>
    <t>sand</t>
  </si>
  <si>
    <t xml:space="preserve">Unit weight </t>
  </si>
  <si>
    <t>Kg/cum</t>
  </si>
  <si>
    <t>kg/cft</t>
  </si>
  <si>
    <t>Cement</t>
  </si>
  <si>
    <t>Sand</t>
  </si>
  <si>
    <t>Stone</t>
  </si>
  <si>
    <t>specific gravity</t>
  </si>
  <si>
    <t>Mass ratio</t>
  </si>
  <si>
    <t>Water /Cement ration</t>
  </si>
  <si>
    <t>for 50kg</t>
  </si>
  <si>
    <t>volume</t>
  </si>
  <si>
    <t>CV/kg</t>
  </si>
  <si>
    <t>Mass</t>
  </si>
  <si>
    <t>Mass Ratio</t>
  </si>
  <si>
    <t>perimeter</t>
  </si>
  <si>
    <t>Angle</t>
  </si>
  <si>
    <t>80-375 Labour, Unskilled</t>
  </si>
  <si>
    <t>20-245</t>
  </si>
  <si>
    <t>20-310</t>
  </si>
  <si>
    <t>20-505</t>
  </si>
  <si>
    <t>code</t>
  </si>
  <si>
    <t>Description</t>
  </si>
  <si>
    <t>unit</t>
  </si>
  <si>
    <t xml:space="preserve">Diesel/ Fuel </t>
  </si>
  <si>
    <t>Lubricant ( Mobile oil etc.)</t>
  </si>
  <si>
    <t>Putty</t>
  </si>
  <si>
    <t>70-080</t>
  </si>
  <si>
    <t>day/cum</t>
  </si>
  <si>
    <t>Mixture Machine 0.2 cum</t>
  </si>
  <si>
    <t>consumption/unit volume</t>
  </si>
  <si>
    <t>80-375</t>
  </si>
  <si>
    <t>Labour,Unskilled</t>
  </si>
  <si>
    <t>80-425</t>
  </si>
  <si>
    <t xml:space="preserve">Mason </t>
  </si>
  <si>
    <t>80-430</t>
  </si>
  <si>
    <t>Mason, Head</t>
  </si>
  <si>
    <t>80-435</t>
  </si>
  <si>
    <t>Mason, Helper</t>
  </si>
  <si>
    <t xml:space="preserve">80-500 </t>
  </si>
  <si>
    <t>Operator, Mixture Machine</t>
  </si>
  <si>
    <t>80-755</t>
  </si>
  <si>
    <t>Welder</t>
  </si>
  <si>
    <t>day/point</t>
  </si>
  <si>
    <t>litr/cum</t>
  </si>
  <si>
    <t>kg/cum</t>
  </si>
  <si>
    <t>Production /unit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</si>
</sst>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00000"/>
    <numFmt numFmtId="170" formatCode="0.0000000;[Red]0.0000000"/>
    <numFmt numFmtId="172" formatCode="0.0000000"/>
  </numFmts>
  <fonts count="2">
    <font>
      <sz val="11"/>
      <color theme="1"/>
      <name val="Calibri"/>
      <family val="2"/>
      <scheme val="minor"/>
    </font>
    <font>
      <sz val="8"/>
      <color rgb="FF000000"/>
      <name val="TimesNewRomanPSMT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/>
    <xf numFmtId="0" fontId="1" fillId="0" borderId="0" xfId="0" applyFont="1"/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7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1" xfId="0" applyNumberFormat="1" applyBorder="1" applyAlignment="1">
      <alignment horizontal="center" wrapText="1"/>
    </xf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zoomScale="145" zoomScaleNormal="145" workbookViewId="0">
      <selection activeCell="B2" sqref="B2"/>
    </sheetView>
  </sheetViews>
  <sheetFormatPr defaultRowHeight="14.4"/>
  <cols>
    <col min="1" max="1" width="15.109375" customWidth="1"/>
    <col min="3" max="3" width="13.77734375" customWidth="1"/>
  </cols>
  <sheetData>
    <row r="1" spans="1:7">
      <c r="B1" s="1" t="s">
        <v>0</v>
      </c>
    </row>
    <row r="2" spans="1:7">
      <c r="A2">
        <v>1</v>
      </c>
      <c r="B2">
        <f>A2/A5</f>
        <v>0.10526315789473684</v>
      </c>
      <c r="C2">
        <f>B2*A9</f>
        <v>6.3947368421052629E-3</v>
      </c>
      <c r="D2">
        <f>C2*1.58985</f>
        <v>1.0166672368421052E-2</v>
      </c>
      <c r="E2">
        <f>D2*1440</f>
        <v>14.640008210526315</v>
      </c>
      <c r="G2">
        <f>B2*1.6</f>
        <v>0.16842105263157894</v>
      </c>
    </row>
    <row r="3" spans="1:7">
      <c r="A3">
        <v>3</v>
      </c>
      <c r="B3">
        <f>A3/A5</f>
        <v>0.31578947368421051</v>
      </c>
      <c r="C3">
        <f>B3*A9</f>
        <v>1.9184210526315786E-2</v>
      </c>
      <c r="D3">
        <f>C3*1.27</f>
        <v>2.4363947368421048E-2</v>
      </c>
      <c r="E3">
        <v>3.0499999999999999E-2</v>
      </c>
      <c r="F3">
        <f>E3/C3</f>
        <v>1.5898491083676272</v>
      </c>
      <c r="G3">
        <f>B3*1.6</f>
        <v>0.50526315789473686</v>
      </c>
    </row>
    <row r="4" spans="1:7">
      <c r="A4">
        <v>5.5</v>
      </c>
      <c r="B4">
        <f>A4/A5</f>
        <v>0.57894736842105265</v>
      </c>
      <c r="C4">
        <f>B4*A9</f>
        <v>3.517105263157895E-2</v>
      </c>
      <c r="D4">
        <f>C4*1.34</f>
        <v>4.7129210526315794E-2</v>
      </c>
      <c r="E4">
        <v>5.5899999999999998E-2</v>
      </c>
      <c r="F4">
        <f>E4/C4</f>
        <v>1.589375233819678</v>
      </c>
      <c r="G4">
        <f>B4*1.6</f>
        <v>0.92631578947368431</v>
      </c>
    </row>
    <row r="5" spans="1:7">
      <c r="A5">
        <f>SUM(A2:A4)</f>
        <v>9.5</v>
      </c>
    </row>
    <row r="6" spans="1:7">
      <c r="A6">
        <v>0.45</v>
      </c>
      <c r="C6" s="1">
        <v>1.6</v>
      </c>
    </row>
    <row r="7" spans="1:7">
      <c r="A7">
        <v>0.45</v>
      </c>
    </row>
    <row r="8" spans="1:7">
      <c r="A8">
        <v>0.3</v>
      </c>
    </row>
    <row r="9" spans="1:7">
      <c r="A9">
        <f>A6*A7*A8</f>
        <v>6.0749999999999998E-2</v>
      </c>
      <c r="B9">
        <f>A9*0.16842</f>
        <v>1.0231514999999998E-2</v>
      </c>
      <c r="C9">
        <f>B9*1440</f>
        <v>14.733381599999998</v>
      </c>
    </row>
    <row r="10" spans="1:7">
      <c r="B10">
        <f>0.06075*0.50526</f>
        <v>3.0694545E-2</v>
      </c>
    </row>
    <row r="11" spans="1:7">
      <c r="A11">
        <f>0.4*0.4*0.4</f>
        <v>6.4000000000000015E-2</v>
      </c>
      <c r="B11">
        <f>A9*0.92632</f>
        <v>5.6273940000000001E-2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opLeftCell="B19" zoomScale="145" zoomScaleNormal="145" workbookViewId="0">
      <selection activeCell="K34" sqref="K34"/>
    </sheetView>
  </sheetViews>
  <sheetFormatPr defaultRowHeight="14.4"/>
  <cols>
    <col min="1" max="1" width="23.21875" customWidth="1"/>
    <col min="2" max="2" width="14.33203125" customWidth="1"/>
    <col min="4" max="4" width="12.77734375" customWidth="1"/>
    <col min="5" max="5" width="10.44140625" customWidth="1"/>
    <col min="11" max="11" width="16.5546875" customWidth="1"/>
    <col min="12" max="12" width="11.6640625" customWidth="1"/>
  </cols>
  <sheetData>
    <row r="1" spans="1:18">
      <c r="A1" t="s">
        <v>1</v>
      </c>
      <c r="B1" s="1" t="s">
        <v>2</v>
      </c>
      <c r="C1" s="1" t="s">
        <v>3</v>
      </c>
      <c r="D1" t="s">
        <v>7</v>
      </c>
    </row>
    <row r="2" spans="1:18">
      <c r="A2" s="1" t="s">
        <v>4</v>
      </c>
      <c r="B2" s="1">
        <v>1440</v>
      </c>
      <c r="C2" s="1">
        <f>B2/35.3</f>
        <v>40.793201133144478</v>
      </c>
      <c r="D2" s="1">
        <v>3.15</v>
      </c>
    </row>
    <row r="3" spans="1:18">
      <c r="A3" s="1" t="s">
        <v>5</v>
      </c>
      <c r="B3" s="1">
        <v>1600</v>
      </c>
      <c r="C3" s="1">
        <f t="shared" ref="C3:C4" si="0">B3/35.3</f>
        <v>45.3257790368272</v>
      </c>
      <c r="D3" s="1">
        <v>2.6</v>
      </c>
    </row>
    <row r="4" spans="1:18">
      <c r="A4" s="1" t="s">
        <v>6</v>
      </c>
      <c r="B4" s="1">
        <v>1550</v>
      </c>
      <c r="C4" s="1">
        <f t="shared" si="0"/>
        <v>43.909348441926348</v>
      </c>
      <c r="D4" s="1">
        <v>2.6</v>
      </c>
    </row>
    <row r="5" spans="1:18">
      <c r="D5" t="s">
        <v>8</v>
      </c>
      <c r="E5" t="s">
        <v>10</v>
      </c>
      <c r="F5" t="s">
        <v>11</v>
      </c>
    </row>
    <row r="6" spans="1:18">
      <c r="A6">
        <v>1</v>
      </c>
      <c r="B6" s="1">
        <v>1500</v>
      </c>
      <c r="C6">
        <f>B6*A6</f>
        <v>1500</v>
      </c>
      <c r="D6">
        <f>C6/$C$6</f>
        <v>1</v>
      </c>
      <c r="E6" s="1"/>
      <c r="F6">
        <f>1/(3.15*1000)</f>
        <v>3.1746031746031746E-4</v>
      </c>
    </row>
    <row r="7" spans="1:18">
      <c r="A7">
        <v>1.5</v>
      </c>
      <c r="B7" s="1">
        <v>1700</v>
      </c>
      <c r="C7">
        <f t="shared" ref="C7:C8" si="1">B7*A7</f>
        <v>2550</v>
      </c>
      <c r="D7">
        <f t="shared" ref="D7:D8" si="2">C7/$C$6</f>
        <v>1.7</v>
      </c>
      <c r="E7" s="1"/>
      <c r="F7">
        <f>D7/(2.6*1000)</f>
        <v>6.5384615384615383E-4</v>
      </c>
    </row>
    <row r="8" spans="1:18">
      <c r="A8">
        <v>3</v>
      </c>
      <c r="B8" s="1">
        <v>1650</v>
      </c>
      <c r="C8">
        <f t="shared" si="1"/>
        <v>4950</v>
      </c>
      <c r="D8">
        <f t="shared" si="2"/>
        <v>3.3</v>
      </c>
      <c r="E8" s="1"/>
      <c r="F8">
        <f>D8/(2.6*1000)</f>
        <v>1.2692307692307692E-3</v>
      </c>
    </row>
    <row r="9" spans="1:18">
      <c r="A9" t="s">
        <v>9</v>
      </c>
      <c r="D9">
        <v>0.45</v>
      </c>
      <c r="E9" s="1"/>
      <c r="F9">
        <f>D9/1000</f>
        <v>4.4999999999999999E-4</v>
      </c>
    </row>
    <row r="10" spans="1:18">
      <c r="F10">
        <f>SUM(F6:F9)</f>
        <v>2.6905372405372405E-3</v>
      </c>
    </row>
    <row r="11" spans="1:18">
      <c r="A11" t="s">
        <v>12</v>
      </c>
      <c r="B11" s="1">
        <v>2.6909999999999998E-3</v>
      </c>
    </row>
    <row r="12" spans="1:18">
      <c r="A12">
        <v>50</v>
      </c>
      <c r="B12" s="1">
        <f>B11*50</f>
        <v>0.13455</v>
      </c>
    </row>
    <row r="13" spans="1:18">
      <c r="B13" s="1">
        <f>B12*0.98</f>
        <v>0.131859</v>
      </c>
    </row>
    <row r="14" spans="1:18">
      <c r="B14" s="1"/>
      <c r="C14" t="s">
        <v>13</v>
      </c>
      <c r="D14" s="1" t="s">
        <v>14</v>
      </c>
      <c r="L14">
        <v>50</v>
      </c>
      <c r="M14">
        <v>50</v>
      </c>
      <c r="N14">
        <v>40</v>
      </c>
      <c r="O14">
        <f>(L14/100)*(M14/100)*(N14/100)</f>
        <v>0.1</v>
      </c>
      <c r="P14">
        <f>O14/J15</f>
        <v>1.5624999999999998</v>
      </c>
      <c r="R14">
        <f>P14</f>
        <v>1.5624999999999998</v>
      </c>
    </row>
    <row r="15" spans="1:18">
      <c r="A15">
        <v>1</v>
      </c>
      <c r="B15" s="1">
        <v>1440</v>
      </c>
      <c r="C15" s="1">
        <v>1440</v>
      </c>
      <c r="D15" s="1">
        <f>C15/1440</f>
        <v>1</v>
      </c>
      <c r="E15">
        <f>D15/(3.15*1000)</f>
        <v>3.1746031746031746E-4</v>
      </c>
      <c r="G15">
        <v>0.4</v>
      </c>
      <c r="H15">
        <v>0.4</v>
      </c>
      <c r="I15">
        <v>0.4</v>
      </c>
      <c r="J15">
        <f>G15*H15*I15</f>
        <v>6.4000000000000015E-2</v>
      </c>
      <c r="K15" s="1">
        <f>J15/E20</f>
        <v>14.399089120323834</v>
      </c>
      <c r="P15">
        <f>P14*D16</f>
        <v>5.208333333333333</v>
      </c>
      <c r="Q15">
        <f>P15/B3</f>
        <v>3.255208333333333E-3</v>
      </c>
      <c r="R15">
        <f>Q15/0.0482</f>
        <v>6.7535442600276621E-2</v>
      </c>
    </row>
    <row r="16" spans="1:18">
      <c r="A16">
        <v>3</v>
      </c>
      <c r="B16" s="1">
        <v>1600</v>
      </c>
      <c r="C16" s="1">
        <f>B16*A16</f>
        <v>4800</v>
      </c>
      <c r="D16" s="1">
        <f>C16/1440</f>
        <v>3.3333333333333335</v>
      </c>
      <c r="E16">
        <f>D16/(2.6*1000)</f>
        <v>1.2820512820512821E-3</v>
      </c>
      <c r="K16" s="1">
        <f>K15*D16</f>
        <v>47.99696373441278</v>
      </c>
      <c r="L16">
        <f>K16/B16</f>
        <v>2.9998102334007987E-2</v>
      </c>
      <c r="M16">
        <f>L16/0.0308</f>
        <v>0.97396436149376575</v>
      </c>
      <c r="P16">
        <f>P14*D17</f>
        <v>10.091145833333332</v>
      </c>
      <c r="Q16">
        <f>P16/B4</f>
        <v>6.5104166666666661E-3</v>
      </c>
      <c r="R16">
        <f>Q16/0.0868</f>
        <v>7.5004800307219649E-2</v>
      </c>
    </row>
    <row r="17" spans="1:19">
      <c r="A17">
        <v>6</v>
      </c>
      <c r="B17" s="1">
        <v>1550</v>
      </c>
      <c r="C17" s="1">
        <f t="shared" ref="C17" si="3">B17*A17</f>
        <v>9300</v>
      </c>
      <c r="D17" s="1">
        <f>C17/1440</f>
        <v>6.458333333333333</v>
      </c>
      <c r="E17">
        <f>D17/(2.55*1000)</f>
        <v>2.5326797385620912E-3</v>
      </c>
      <c r="K17" s="1">
        <f>K15*D17</f>
        <v>92.994117235424767</v>
      </c>
      <c r="L17">
        <f>K17/B17</f>
        <v>5.999620466801598E-2</v>
      </c>
      <c r="M17">
        <f>L17/0.0602</f>
        <v>0.99661469548199311</v>
      </c>
    </row>
    <row r="18" spans="1:19">
      <c r="D18" s="1">
        <v>0.45</v>
      </c>
      <c r="E18">
        <f>D18/1000</f>
        <v>4.4999999999999999E-4</v>
      </c>
    </row>
    <row r="19" spans="1:19">
      <c r="E19">
        <f>SUM(E15:E18)</f>
        <v>4.5821913380736908E-3</v>
      </c>
    </row>
    <row r="20" spans="1:19">
      <c r="E20" s="2">
        <f>E19*0.97</f>
        <v>4.4447255979314796E-3</v>
      </c>
    </row>
    <row r="23" spans="1:19">
      <c r="J23">
        <v>4.0600000000000002E-3</v>
      </c>
      <c r="L23" t="s">
        <v>15</v>
      </c>
      <c r="M23">
        <f>((L14+M14)*2)/100</f>
        <v>2</v>
      </c>
      <c r="N23">
        <f>M23*0.4</f>
        <v>0.8</v>
      </c>
    </row>
    <row r="24" spans="1:19">
      <c r="K24" t="s">
        <v>16</v>
      </c>
      <c r="M24">
        <f>M23*2+6*(N14/100)</f>
        <v>6.4</v>
      </c>
      <c r="N24">
        <v>12.2</v>
      </c>
      <c r="O24">
        <f>N24/M24</f>
        <v>1.9062499999999998</v>
      </c>
      <c r="P24">
        <f>4.4*O24</f>
        <v>8.3874999999999993</v>
      </c>
      <c r="S24">
        <f>M24*20</f>
        <v>128</v>
      </c>
    </row>
    <row r="26" spans="1:19">
      <c r="O26">
        <f>138/20</f>
        <v>6.9</v>
      </c>
      <c r="Q26">
        <f>84/20</f>
        <v>4.2</v>
      </c>
    </row>
    <row r="27" spans="1:19">
      <c r="K27">
        <f>10.7264/10.6736</f>
        <v>1.0049467845900164</v>
      </c>
      <c r="L27">
        <f>(K27-1)*100</f>
        <v>0.49467845900164065</v>
      </c>
    </row>
    <row r="28" spans="1:19">
      <c r="A28" s="3" t="s">
        <v>17</v>
      </c>
    </row>
    <row r="29" spans="1:19">
      <c r="L29">
        <f>1.90625*1.00495</f>
        <v>1.9156859374999999</v>
      </c>
    </row>
    <row r="30" spans="1:19">
      <c r="L30">
        <f>131/112</f>
        <v>1.1696428571428572</v>
      </c>
    </row>
    <row r="31" spans="1:19">
      <c r="L31">
        <f>L30*20</f>
        <v>23.392857142857146</v>
      </c>
    </row>
    <row r="33" spans="6:11">
      <c r="F33" s="3">
        <v>6.4405999999999999</v>
      </c>
    </row>
    <row r="34" spans="6:11">
      <c r="F34" s="3">
        <v>1.1000000000000001E-3</v>
      </c>
      <c r="K34" s="10">
        <f>0.0022/131</f>
        <v>1.6793893129770993E-5</v>
      </c>
    </row>
    <row r="35" spans="6:11">
      <c r="G35">
        <f>F33/F34</f>
        <v>5855.090909090909</v>
      </c>
      <c r="I35">
        <f>10.7264/5855</f>
        <v>1.83200683176772E-3</v>
      </c>
    </row>
    <row r="36" spans="6:11">
      <c r="F36">
        <f>F35*100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C1" zoomScale="145" zoomScaleNormal="145" workbookViewId="0">
      <selection activeCell="E15" sqref="E15:I23"/>
    </sheetView>
  </sheetViews>
  <sheetFormatPr defaultRowHeight="14.4"/>
  <cols>
    <col min="2" max="2" width="37.33203125" customWidth="1"/>
    <col min="3" max="3" width="11.21875" style="1" customWidth="1"/>
    <col min="4" max="4" width="23.21875" style="4" customWidth="1"/>
    <col min="5" max="5" width="16.5546875" customWidth="1"/>
    <col min="7" max="7" width="12" customWidth="1"/>
    <col min="8" max="8" width="12.5546875" customWidth="1"/>
    <col min="9" max="9" width="12.44140625" customWidth="1"/>
  </cols>
  <sheetData>
    <row r="1" spans="1:10" ht="13.2" customHeight="1">
      <c r="A1" t="s">
        <v>21</v>
      </c>
      <c r="B1" s="8" t="s">
        <v>22</v>
      </c>
      <c r="C1" s="8" t="s">
        <v>23</v>
      </c>
      <c r="D1" s="9" t="s">
        <v>30</v>
      </c>
      <c r="E1" s="8" t="s">
        <v>46</v>
      </c>
    </row>
    <row r="2" spans="1:10">
      <c r="A2" t="s">
        <v>18</v>
      </c>
      <c r="B2" s="5" t="s">
        <v>24</v>
      </c>
      <c r="C2" s="5" t="s">
        <v>44</v>
      </c>
      <c r="D2" s="6">
        <v>1.4123000000000001</v>
      </c>
      <c r="E2" s="5">
        <v>0.70809999999999995</v>
      </c>
    </row>
    <row r="3" spans="1:10">
      <c r="A3" t="s">
        <v>19</v>
      </c>
      <c r="B3" s="5" t="s">
        <v>25</v>
      </c>
      <c r="C3" s="5" t="s">
        <v>44</v>
      </c>
      <c r="D3" s="5">
        <v>7.0800000000000002E-2</v>
      </c>
      <c r="E3" s="5">
        <v>14.1243</v>
      </c>
    </row>
    <row r="4" spans="1:10">
      <c r="A4" t="s">
        <v>20</v>
      </c>
      <c r="B4" s="5" t="s">
        <v>26</v>
      </c>
      <c r="C4" s="5" t="s">
        <v>45</v>
      </c>
      <c r="D4" s="6">
        <v>3.2899999999999999E-2</v>
      </c>
      <c r="E4" s="5">
        <v>30.395136778115504</v>
      </c>
    </row>
    <row r="5" spans="1:10">
      <c r="A5" t="s">
        <v>27</v>
      </c>
      <c r="B5" s="5" t="s">
        <v>29</v>
      </c>
      <c r="C5" s="5" t="s">
        <v>28</v>
      </c>
      <c r="D5" s="6">
        <v>5.9299999999999999E-2</v>
      </c>
      <c r="E5" s="5">
        <f>1/D5</f>
        <v>16.863406408094434</v>
      </c>
    </row>
    <row r="6" spans="1:10">
      <c r="A6" t="s">
        <v>31</v>
      </c>
      <c r="B6" s="5" t="s">
        <v>32</v>
      </c>
      <c r="C6" s="5" t="s">
        <v>28</v>
      </c>
      <c r="D6" s="6">
        <v>2.8620000000000001</v>
      </c>
      <c r="E6" s="5">
        <f>1/D6</f>
        <v>0.34940600978336828</v>
      </c>
      <c r="G6">
        <f>0.45*0.45</f>
        <v>0.20250000000000001</v>
      </c>
      <c r="H6">
        <v>0.30249999999999999</v>
      </c>
      <c r="I6">
        <f>H6/G6</f>
        <v>1.4938271604938269</v>
      </c>
    </row>
    <row r="7" spans="1:10">
      <c r="A7" t="s">
        <v>33</v>
      </c>
      <c r="B7" s="5" t="s">
        <v>34</v>
      </c>
      <c r="C7" s="5" t="s">
        <v>28</v>
      </c>
      <c r="D7" s="6">
        <v>0.186</v>
      </c>
      <c r="E7" s="5">
        <v>5.376344086021505</v>
      </c>
      <c r="G7">
        <v>0.16</v>
      </c>
      <c r="H7">
        <v>0.25</v>
      </c>
      <c r="I7">
        <f>H7/0.16</f>
        <v>1.5625</v>
      </c>
    </row>
    <row r="8" spans="1:10">
      <c r="A8" t="s">
        <v>35</v>
      </c>
      <c r="B8" s="5" t="s">
        <v>36</v>
      </c>
      <c r="C8" s="5" t="s">
        <v>28</v>
      </c>
      <c r="D8" s="5">
        <v>3.4599999999999999E-2</v>
      </c>
      <c r="E8" s="5">
        <f>1/D8</f>
        <v>28.901734104046245</v>
      </c>
      <c r="G8">
        <v>0.45</v>
      </c>
      <c r="H8">
        <v>0.45</v>
      </c>
      <c r="I8">
        <v>0.3</v>
      </c>
      <c r="J8">
        <f>G8*H8*0.3</f>
        <v>6.0749999999999998E-2</v>
      </c>
    </row>
    <row r="9" spans="1:10">
      <c r="A9" t="s">
        <v>37</v>
      </c>
      <c r="B9" s="5" t="s">
        <v>38</v>
      </c>
      <c r="C9" s="5" t="s">
        <v>28</v>
      </c>
      <c r="D9" s="5">
        <v>8.72E-2</v>
      </c>
      <c r="E9" s="5">
        <f>1/D9</f>
        <v>11.467889908256881</v>
      </c>
    </row>
    <row r="10" spans="1:10">
      <c r="A10" t="s">
        <v>39</v>
      </c>
      <c r="B10" s="5" t="s">
        <v>40</v>
      </c>
      <c r="C10" s="5" t="s">
        <v>28</v>
      </c>
      <c r="D10" s="6">
        <v>5.9299999999999999E-2</v>
      </c>
      <c r="E10" s="5">
        <f>1/D10</f>
        <v>16.863406408094434</v>
      </c>
    </row>
    <row r="11" spans="1:10">
      <c r="A11" t="s">
        <v>41</v>
      </c>
      <c r="B11" s="5" t="s">
        <v>42</v>
      </c>
      <c r="C11" s="5" t="s">
        <v>43</v>
      </c>
      <c r="D11" s="7">
        <v>1.2320000000000001E-5</v>
      </c>
      <c r="E11" s="5">
        <v>81168</v>
      </c>
    </row>
    <row r="12" spans="1:10">
      <c r="D12" s="1"/>
      <c r="E12" s="1"/>
    </row>
    <row r="13" spans="1:10">
      <c r="D13" s="1"/>
      <c r="E13" s="1"/>
    </row>
    <row r="15" spans="1:10">
      <c r="E15" s="1">
        <v>3.5999999999999999E-3</v>
      </c>
      <c r="F15" s="1">
        <v>6.0749999999999998E-2</v>
      </c>
      <c r="G15" s="1">
        <f>E15/F15</f>
        <v>5.9259259259259262E-2</v>
      </c>
      <c r="H15" s="1">
        <f>ROUND(G15,4)</f>
        <v>5.9299999999999999E-2</v>
      </c>
      <c r="I15" s="1">
        <f>1/H15</f>
        <v>16.863406408094434</v>
      </c>
      <c r="J15">
        <f>I15/0.2</f>
        <v>84.317032040472171</v>
      </c>
    </row>
    <row r="16" spans="1:10">
      <c r="E16" s="1">
        <v>0.17399999999999999</v>
      </c>
      <c r="F16" s="1">
        <v>6.0749999999999998E-2</v>
      </c>
      <c r="G16" s="1">
        <f>E16/F16</f>
        <v>2.8641975308641974</v>
      </c>
      <c r="H16" s="1">
        <f>ROUND(G16,4)</f>
        <v>2.8641999999999999</v>
      </c>
      <c r="I16" s="1">
        <f>1/H16</f>
        <v>0.34913763005376719</v>
      </c>
    </row>
    <row r="17" spans="5:9">
      <c r="E17" s="1">
        <v>1.1299999999999999E-2</v>
      </c>
      <c r="F17" s="1">
        <v>6.0749999999999998E-2</v>
      </c>
      <c r="G17" s="1">
        <f>E17/F17</f>
        <v>0.18600823045267489</v>
      </c>
      <c r="H17" s="1">
        <f>ROUND(G17,4)</f>
        <v>0.186</v>
      </c>
      <c r="I17" s="1">
        <f>1/H17</f>
        <v>5.376344086021505</v>
      </c>
    </row>
    <row r="18" spans="5:9">
      <c r="E18" s="1">
        <v>2.0999999999999999E-3</v>
      </c>
      <c r="F18" s="1">
        <v>6.0749999999999998E-2</v>
      </c>
      <c r="G18" s="1">
        <f>E18/F18</f>
        <v>3.4567901234567898E-2</v>
      </c>
      <c r="H18" s="1">
        <f>ROUND(G18,4)</f>
        <v>3.4599999999999999E-2</v>
      </c>
      <c r="I18" s="1">
        <f>1/H18</f>
        <v>28.901734104046245</v>
      </c>
    </row>
    <row r="19" spans="5:9">
      <c r="E19" s="1">
        <v>5.3E-3</v>
      </c>
      <c r="F19" s="1">
        <v>6.0749999999999998E-2</v>
      </c>
      <c r="G19" s="1">
        <f>E19/F19</f>
        <v>8.7242798353909468E-2</v>
      </c>
      <c r="H19" s="1">
        <f>ROUND(G19,4)</f>
        <v>8.72E-2</v>
      </c>
      <c r="I19" s="1">
        <f>1/H19</f>
        <v>11.467889908256881</v>
      </c>
    </row>
    <row r="20" spans="5:9">
      <c r="E20" s="1">
        <v>1.6999999999999999E-3</v>
      </c>
      <c r="F20" s="1">
        <v>138</v>
      </c>
      <c r="G20" s="1">
        <f>E20/F20</f>
        <v>1.2318840579710144E-5</v>
      </c>
      <c r="H20" s="1">
        <f>ROUND(G20,8)</f>
        <v>1.2320000000000001E-5</v>
      </c>
      <c r="I20" s="1">
        <f>1/H20</f>
        <v>81168.831168831166</v>
      </c>
    </row>
    <row r="21" spans="5:9">
      <c r="E21" s="1">
        <v>8.5800000000000001E-2</v>
      </c>
      <c r="F21" s="1">
        <v>6.0749999999999998E-2</v>
      </c>
      <c r="G21" s="1">
        <f>E21/F21</f>
        <v>1.4123456790123456</v>
      </c>
      <c r="H21" s="1">
        <f>ROUND(G21,4)</f>
        <v>1.4123000000000001</v>
      </c>
      <c r="I21" s="1">
        <f>1/H21</f>
        <v>0.70806485874106062</v>
      </c>
    </row>
    <row r="22" spans="5:9">
      <c r="E22" s="1">
        <v>4.3E-3</v>
      </c>
      <c r="F22" s="1">
        <v>6.0749999999999998E-2</v>
      </c>
      <c r="G22" s="1">
        <f>E22/F22</f>
        <v>7.0781893004115234E-2</v>
      </c>
      <c r="H22" s="1">
        <f>ROUND(G22,4)</f>
        <v>7.0800000000000002E-2</v>
      </c>
      <c r="I22" s="1">
        <f>1/H22</f>
        <v>14.124293785310734</v>
      </c>
    </row>
    <row r="23" spans="5:9">
      <c r="E23" s="1">
        <v>2E-3</v>
      </c>
      <c r="F23" s="1">
        <v>6.0749999999999998E-2</v>
      </c>
      <c r="G23" s="1">
        <f>E23/F23</f>
        <v>3.292181069958848E-2</v>
      </c>
      <c r="H23" s="1">
        <f>ROUND(G23,4)</f>
        <v>3.2899999999999999E-2</v>
      </c>
      <c r="I23" s="1">
        <f>1/H23</f>
        <v>30.395136778115504</v>
      </c>
    </row>
    <row r="25" spans="5:9">
      <c r="E25" s="3">
        <f>0.45*0.45</f>
        <v>0.20250000000000001</v>
      </c>
    </row>
    <row r="26" spans="5:9">
      <c r="E26">
        <f>1/E25</f>
        <v>4.9382716049382713</v>
      </c>
    </row>
    <row r="27" spans="5:9">
      <c r="E27">
        <v>0.16</v>
      </c>
      <c r="F27">
        <f>E27*32</f>
        <v>5.12</v>
      </c>
      <c r="G27">
        <f>F27/6</f>
        <v>0.85333333333333339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Sheet1</vt:lpstr>
      <vt:lpstr>Production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2020-09-04T06:45:52Z</dcterms:modified>
</cp:coreProperties>
</file>