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980" windowHeight="7665"/>
  </bookViews>
  <sheets>
    <sheet name="IPC_Dist" sheetId="13" r:id="rId1"/>
    <sheet name="Sheet1" sheetId="1" r:id="rId2"/>
    <sheet name="Sheet5" sheetId="5" r:id="rId3"/>
    <sheet name="Sheet3" sheetId="7" r:id="rId4"/>
    <sheet name="Sheet2" sheetId="8" r:id="rId5"/>
    <sheet name="Package_wise_cost" sheetId="9" r:id="rId6"/>
    <sheet name="Monthly_Rpa" sheetId="11" r:id="rId7"/>
    <sheet name="Monthly_Gob" sheetId="10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7" l="1"/>
  <c r="E19" i="7" s="1"/>
  <c r="G22" i="7"/>
  <c r="I11" i="7"/>
  <c r="G8" i="7"/>
  <c r="G10" i="7" s="1"/>
  <c r="Q60" i="5" l="1"/>
  <c r="Q59" i="5"/>
  <c r="O63" i="5"/>
  <c r="R60" i="5" s="1"/>
  <c r="O62" i="5"/>
  <c r="O51" i="5"/>
  <c r="P49" i="5" s="1"/>
  <c r="R41" i="5"/>
  <c r="R40" i="5"/>
  <c r="O43" i="5"/>
  <c r="O44" i="5" s="1"/>
  <c r="O38" i="5"/>
  <c r="R39" i="5" s="1"/>
  <c r="R59" i="5" l="1"/>
  <c r="T59" i="5" s="1"/>
  <c r="T61" i="5" s="1"/>
  <c r="R42" i="5"/>
  <c r="S41" i="5" s="1"/>
  <c r="R49" i="5"/>
  <c r="Q49" i="5"/>
  <c r="T60" i="5"/>
  <c r="S60" i="5"/>
  <c r="P50" i="5"/>
  <c r="P51" i="5" s="1"/>
  <c r="R23" i="5"/>
  <c r="R22" i="5"/>
  <c r="Q23" i="5"/>
  <c r="Q22" i="5"/>
  <c r="Q24" i="5" s="1"/>
  <c r="M16" i="5"/>
  <c r="L16" i="5"/>
  <c r="M7" i="5"/>
  <c r="M9" i="5" s="1"/>
  <c r="N8" i="5" s="1"/>
  <c r="I3" i="5"/>
  <c r="I4" i="5" s="1"/>
  <c r="I5" i="5" s="1"/>
  <c r="H3" i="5"/>
  <c r="J2" i="5"/>
  <c r="H4" i="5"/>
  <c r="H5" i="5" s="1"/>
  <c r="B5" i="5"/>
  <c r="C8" i="5"/>
  <c r="E9" i="5"/>
  <c r="R61" i="5" l="1"/>
  <c r="S59" i="5"/>
  <c r="S61" i="5" s="1"/>
  <c r="S40" i="5"/>
  <c r="U40" i="5" s="1"/>
  <c r="R24" i="5"/>
  <c r="S24" i="5" s="1"/>
  <c r="S39" i="5"/>
  <c r="S42" i="5" s="1"/>
  <c r="H6" i="5"/>
  <c r="J5" i="5"/>
  <c r="P8" i="5"/>
  <c r="O8" i="5"/>
  <c r="T41" i="5"/>
  <c r="U41" i="5"/>
  <c r="N7" i="5"/>
  <c r="T40" i="5"/>
  <c r="M17" i="5"/>
  <c r="P14" i="5" s="1"/>
  <c r="O15" i="5"/>
  <c r="R50" i="5"/>
  <c r="R51" i="5" s="1"/>
  <c r="Q50" i="5"/>
  <c r="Q51" i="5" s="1"/>
  <c r="D3" i="1"/>
  <c r="D4" i="1"/>
  <c r="D5" i="1"/>
  <c r="D6" i="1"/>
  <c r="D7" i="1"/>
  <c r="D8" i="1"/>
  <c r="D9" i="1"/>
  <c r="D10" i="1"/>
  <c r="D11" i="1"/>
  <c r="D12" i="1"/>
  <c r="D2" i="1"/>
  <c r="S51" i="5" l="1"/>
  <c r="U39" i="5"/>
  <c r="T39" i="5"/>
  <c r="P15" i="5"/>
  <c r="Q15" i="5" s="1"/>
  <c r="P7" i="5"/>
  <c r="P9" i="5" s="1"/>
  <c r="O7" i="5"/>
  <c r="O9" i="5" s="1"/>
  <c r="T42" i="5"/>
  <c r="U42" i="5"/>
  <c r="P16" i="5"/>
  <c r="R14" i="5"/>
  <c r="Q14" i="5"/>
  <c r="R15" i="5"/>
  <c r="Q9" i="5" l="1"/>
  <c r="R16" i="5"/>
  <c r="Q16" i="5"/>
</calcChain>
</file>

<file path=xl/sharedStrings.xml><?xml version="1.0" encoding="utf-8"?>
<sst xmlns="http://schemas.openxmlformats.org/spreadsheetml/2006/main" count="272" uniqueCount="172">
  <si>
    <t>O&amp;M During Construction</t>
  </si>
  <si>
    <t>Construction of WMG Office</t>
  </si>
  <si>
    <t xml:space="preserve"> Rehabilitation of Regulator (New Haors)</t>
  </si>
  <si>
    <t>Construction of Submersible Embankment (New Haors) (Earth Volume: 29.98 lakh cum)</t>
  </si>
  <si>
    <t xml:space="preserve"> Rehabilitation of Submergible Embankment  (Resection/construction)  (Rehabilitation Sub-Projects)</t>
  </si>
  <si>
    <t xml:space="preserve"> Rehabilitation of Full Embankment (Resection/ construction) (Rehabilitation Sub-Projects)</t>
  </si>
  <si>
    <t xml:space="preserve"> Re-excavation of Khal/River (Rehabilitation Sub-Projects) </t>
  </si>
  <si>
    <t xml:space="preserve"> Re-excavation of Khal/River (New Haors) </t>
  </si>
  <si>
    <t xml:space="preserve"> Installation/Construction of New Regulators/ Causeway/Bridge/Box Drainage Outlet) (New Haors)</t>
  </si>
  <si>
    <t xml:space="preserve"> Re-installation/Construction of Regulator/ Causeway (Rehabilitation Sub-Projects)</t>
  </si>
  <si>
    <t>Construction of Irrigation Inlet (New Haors)</t>
  </si>
  <si>
    <t>id</t>
  </si>
  <si>
    <t>Code</t>
  </si>
  <si>
    <t>Description</t>
  </si>
  <si>
    <t>Total</t>
  </si>
  <si>
    <t>GoB</t>
  </si>
  <si>
    <t>RPA</t>
  </si>
  <si>
    <t>total</t>
  </si>
  <si>
    <t>Khal</t>
  </si>
  <si>
    <t>Box</t>
  </si>
  <si>
    <t>Chtra Khal CW</t>
  </si>
  <si>
    <t>Nabinpur Khal CW</t>
  </si>
  <si>
    <t>Dipjuri KHal CW</t>
  </si>
  <si>
    <t>Sudhi Khal CW</t>
  </si>
  <si>
    <t>Box Sluice</t>
  </si>
  <si>
    <t>Sub-Total Structure</t>
  </si>
  <si>
    <t>Irrigation Inlet</t>
  </si>
  <si>
    <t>DF</t>
  </si>
  <si>
    <t>Kish-22 1st IPC</t>
  </si>
  <si>
    <t>Embankment</t>
  </si>
  <si>
    <t>GT</t>
  </si>
  <si>
    <t>Kish-22 2nd IPC</t>
  </si>
  <si>
    <t>Kis -17 9th RA Bill</t>
  </si>
  <si>
    <t>Block Road</t>
  </si>
  <si>
    <t>Bagdia Khal Regulator</t>
  </si>
  <si>
    <t>Neora Khal Regulator</t>
  </si>
  <si>
    <t>Pipe Inlet</t>
  </si>
  <si>
    <t>Box Drainage Outlet</t>
  </si>
  <si>
    <t>Emb</t>
  </si>
  <si>
    <t>Reg/Box</t>
  </si>
  <si>
    <t>Inlet</t>
  </si>
  <si>
    <t>Kish -10 4th RA Bill</t>
  </si>
  <si>
    <t>EMB</t>
  </si>
  <si>
    <t>Regulator</t>
  </si>
  <si>
    <t>Kish -11 4th RA Bill</t>
  </si>
  <si>
    <t>Kish -25 5th RA Bill</t>
  </si>
  <si>
    <t>Mobilization</t>
  </si>
  <si>
    <t>Kish -13 5th RA Bill</t>
  </si>
  <si>
    <t>Reg_Rehab_Rehab</t>
  </si>
  <si>
    <t>Reg_CW_Box</t>
  </si>
  <si>
    <t>Khal_Riv_New</t>
  </si>
  <si>
    <t>Khal_Riv_Rehab</t>
  </si>
  <si>
    <t>Full_Emb_Rehab</t>
  </si>
  <si>
    <t>Sub_Emb_Rehab</t>
  </si>
  <si>
    <t>Sub_Emb_Const</t>
  </si>
  <si>
    <t>Reg_Rehab_New</t>
  </si>
  <si>
    <t>Wmg_Office</t>
  </si>
  <si>
    <t>IPCNo</t>
  </si>
  <si>
    <t>Gob</t>
  </si>
  <si>
    <t>Rpa</t>
  </si>
  <si>
    <t>372/Kish-25  7th  RA Bill</t>
  </si>
  <si>
    <t>363/Kish-24  8th/Final  RA Bill</t>
  </si>
  <si>
    <t>358/Kish-06  13th/Final  RA Bill</t>
  </si>
  <si>
    <t>364/Kish-02 7th  RA Bill</t>
  </si>
  <si>
    <t>376/Kish-23 5th  RA Bill</t>
  </si>
  <si>
    <t>365/Kish-19  6th  RA Bill</t>
  </si>
  <si>
    <t>366/Netr-01  6th  RA Bill</t>
  </si>
  <si>
    <t>367/Netr-02  5th  RA Bill</t>
  </si>
  <si>
    <t>368/Netr-03  6th  RA Bill</t>
  </si>
  <si>
    <t xml:space="preserve"> </t>
  </si>
  <si>
    <t xml:space="preserve">Sl No </t>
  </si>
  <si>
    <t>Gate_Repair</t>
  </si>
  <si>
    <t>GT-01</t>
  </si>
  <si>
    <t>GT-02</t>
  </si>
  <si>
    <t>KISH-22</t>
  </si>
  <si>
    <t>SUNM-01</t>
  </si>
  <si>
    <t>KISH-28/Lot-4</t>
  </si>
  <si>
    <t>KISH-12</t>
  </si>
  <si>
    <t>KISH-05</t>
  </si>
  <si>
    <t>SUNM-05</t>
  </si>
  <si>
    <t>KISH-23</t>
  </si>
  <si>
    <t>SUNM-02</t>
  </si>
  <si>
    <t>HOBI-02</t>
  </si>
  <si>
    <t>NETR-08</t>
  </si>
  <si>
    <t>KISH-06</t>
  </si>
  <si>
    <t>HOBI-05</t>
  </si>
  <si>
    <t>HOBI-04</t>
  </si>
  <si>
    <t>HOBI-06</t>
  </si>
  <si>
    <t>HOBI-01</t>
  </si>
  <si>
    <t>KISH-17</t>
  </si>
  <si>
    <t>PackageNo</t>
  </si>
  <si>
    <t>IPC1</t>
  </si>
  <si>
    <t>IPC2</t>
  </si>
  <si>
    <t>IPC3</t>
  </si>
  <si>
    <t>IPC4</t>
  </si>
  <si>
    <t>IPC5</t>
  </si>
  <si>
    <t>IPC6</t>
  </si>
  <si>
    <t>IPC7</t>
  </si>
  <si>
    <t>IPC8</t>
  </si>
  <si>
    <t>IPC9</t>
  </si>
  <si>
    <t>IPC10</t>
  </si>
  <si>
    <t>IPC11</t>
  </si>
  <si>
    <t>IPC12</t>
  </si>
  <si>
    <t>IPC13</t>
  </si>
  <si>
    <t>IPC14</t>
  </si>
  <si>
    <t>IPC15</t>
  </si>
  <si>
    <t>IPC16</t>
  </si>
  <si>
    <t>IPC17</t>
  </si>
  <si>
    <t>IPC18</t>
  </si>
  <si>
    <t>IPC19</t>
  </si>
  <si>
    <t>IPC20</t>
  </si>
  <si>
    <t>KISH-01</t>
  </si>
  <si>
    <t>KISH-02</t>
  </si>
  <si>
    <t>KISH-03</t>
  </si>
  <si>
    <t>KISH-04</t>
  </si>
  <si>
    <t>KISH-07</t>
  </si>
  <si>
    <t>KISH-09</t>
  </si>
  <si>
    <t>KISH-10</t>
  </si>
  <si>
    <t>KISH-11</t>
  </si>
  <si>
    <t>KISH-13</t>
  </si>
  <si>
    <t>KISH-14</t>
  </si>
  <si>
    <t>KISH-15</t>
  </si>
  <si>
    <t>KISH-16</t>
  </si>
  <si>
    <t>KISH-18</t>
  </si>
  <si>
    <t>KISH-19</t>
  </si>
  <si>
    <t>KISH-20</t>
  </si>
  <si>
    <t>KISH-21</t>
  </si>
  <si>
    <t>KISH-24</t>
  </si>
  <si>
    <t>KISH-25</t>
  </si>
  <si>
    <t>KISH-26</t>
  </si>
  <si>
    <t>KISH-27</t>
  </si>
  <si>
    <t>HOBI-07</t>
  </si>
  <si>
    <t>HOBI-08</t>
  </si>
  <si>
    <t>NETR-01</t>
  </si>
  <si>
    <t>NETR-02</t>
  </si>
  <si>
    <t>NETR-03</t>
  </si>
  <si>
    <t>NETR-04</t>
  </si>
  <si>
    <t>NETR-05</t>
  </si>
  <si>
    <t>NETR-06</t>
  </si>
  <si>
    <t>NETR-07</t>
  </si>
  <si>
    <t>SUNM-03</t>
  </si>
  <si>
    <t>SUNM-04</t>
  </si>
  <si>
    <t>SUNM-06</t>
  </si>
  <si>
    <t>GT-03</t>
  </si>
  <si>
    <t>KISH-28/Lot-1</t>
  </si>
  <si>
    <t>KISH-28/Lot-2</t>
  </si>
  <si>
    <t>KISH-28/Lot-3</t>
  </si>
  <si>
    <t>Month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</si>
  <si>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</si>
  <si>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</si>
  <si>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</si>
  <si>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</si>
  <si>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</si>
  <si>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</si>
  <si>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</si>
  <si>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</si>
  <si>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</si>
  <si>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</si>
  <si>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</si>
  <si>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</si>
  <si>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Package No</t>
  </si>
  <si>
    <t>IPC No</t>
  </si>
  <si>
    <t>126/Kish-02 1st Bill</t>
  </si>
  <si>
    <t>149/Kish-07 1st Bill</t>
  </si>
  <si>
    <t>152/Kish-02 .. Bill</t>
  </si>
  <si>
    <t>176/Kish-13 1st Bill</t>
  </si>
  <si>
    <t>197/Kish-14 1st Bill</t>
  </si>
  <si>
    <t>198/Kish-5 1st Bill</t>
  </si>
  <si>
    <t>201/Kish-6 1st Bill</t>
  </si>
  <si>
    <t>234/Kish-13 2nd Bill</t>
  </si>
  <si>
    <t>241/Kish-07 2nd Bill</t>
  </si>
  <si>
    <t>242/Kish-03 1st 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</si>
</sst>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0"/>
      <color theme="1"/>
      <name val="Arial Unicode MS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/>
    <xf numFmtId="2" fontId="0" fillId="0" borderId="0" xfId="0" applyNumberFormat="1"/>
    <xf numFmtId="4" fontId="0" fillId="0" borderId="0" xfId="0" applyNumberFormat="1" applyAlignment="1">
      <alignment horizontal="center"/>
    </xf>
    <xf numFmtId="0" fontId="0" fillId="0" borderId="1" xfId="0" applyBorder="1"/>
    <xf numFmtId="4" fontId="0" fillId="2" borderId="0" xfId="0" applyNumberFormat="1" applyFill="1" applyAlignment="1">
      <alignment horizontal="center"/>
    </xf>
    <xf numFmtId="4" fontId="0" fillId="0" borderId="0" xfId="0" applyNumberFormat="1" applyAlignment="1">
      <alignment horizontal="left"/>
    </xf>
    <xf numFmtId="2" fontId="0" fillId="0" borderId="0" xfId="0" applyNumberFormat="1" applyAlignment="1">
      <alignment horizontal="center"/>
    </xf>
    <xf numFmtId="4" fontId="0" fillId="0" borderId="0" xfId="0" applyNumberFormat="1" applyAlignment="1">
      <alignment horizontal="right"/>
    </xf>
    <xf numFmtId="0" fontId="0" fillId="5" borderId="1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4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2" fontId="0" fillId="3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1" xfId="0" applyFont="1" applyBorder="1"/>
    <xf numFmtId="0" fontId="1" fillId="3" borderId="2" xfId="0" applyFont="1" applyFill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3" borderId="0" xfId="0" applyFill="1"/>
    <xf numFmtId="0" fontId="3" fillId="3" borderId="1" xfId="0" applyFont="1" applyFill="1" applyBorder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0" fillId="3" borderId="3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4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99"/>
      <color rgb="FF3366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"/>
  <sheetViews>
    <sheetView tabSelected="1" zoomScaleNormal="100" workbookViewId="0">
      <pane ySplit="1" topLeftCell="A2" activePane="bottomLeft" state="frozen"/>
      <selection pane="bottomLeft" activeCell="F19" sqref="F19"/>
    </sheetView>
  </sheetViews>
  <sheetFormatPr defaultRowHeight="15" x14ac:dyDescent="0.25"/>
  <cols>
    <col min="2" max="2" width="38.5703125" customWidth="1"/>
    <col min="4" max="4" width="17.7109375" bestFit="1" customWidth="1"/>
    <col min="5" max="5" width="12.7109375" bestFit="1" customWidth="1"/>
    <col min="6" max="6" width="13.85546875" bestFit="1" customWidth="1"/>
    <col min="7" max="7" width="15.28515625" customWidth="1"/>
    <col min="8" max="9" width="15.85546875" customWidth="1"/>
    <col min="10" max="10" width="15.28515625" customWidth="1"/>
    <col min="11" max="11" width="16.140625" customWidth="1"/>
    <col min="12" max="13" width="12.140625" customWidth="1"/>
    <col min="14" max="14" width="12" customWidth="1"/>
    <col min="15" max="16" width="13.85546875" customWidth="1"/>
    <col min="17" max="17" width="17.140625" bestFit="1" customWidth="1"/>
  </cols>
  <sheetData>
    <row r="1" spans="1:19" x14ac:dyDescent="0.25">
      <c r="A1" s="25" t="s">
        <v>70</v>
      </c>
      <c r="B1" s="24" t="s">
        <v>57</v>
      </c>
      <c r="C1" s="24" t="s">
        <v>40</v>
      </c>
      <c r="D1" s="24" t="s">
        <v>48</v>
      </c>
      <c r="E1" s="24" t="s">
        <v>49</v>
      </c>
      <c r="F1" s="24" t="s">
        <v>50</v>
      </c>
      <c r="G1" s="24" t="s">
        <v>51</v>
      </c>
      <c r="H1" s="24" t="s">
        <v>52</v>
      </c>
      <c r="I1" s="24" t="s">
        <v>53</v>
      </c>
      <c r="J1" s="24" t="s">
        <v>54</v>
      </c>
      <c r="K1" s="24" t="s">
        <v>55</v>
      </c>
      <c r="L1" s="24" t="s">
        <v>56</v>
      </c>
      <c r="M1" s="24" t="s">
        <v>71</v>
      </c>
      <c r="N1" s="35" t="s">
        <v>14</v>
      </c>
      <c r="O1" s="24" t="s">
        <v>58</v>
      </c>
      <c r="P1" s="24" t="s">
        <v>59</v>
      </c>
      <c r="Q1" s="24" t="s">
        <v>160</v>
      </c>
      <c r="R1" s="26" t="s">
        <v>161</v>
      </c>
      <c r="S1" s="26" t="s">
        <v>147</v>
      </c>
    </row>
    <row r="2" spans="1:19" s="30" customFormat="1" ht="15.75" x14ac:dyDescent="0.25">
      <c r="A2" s="27">
        <v>1</v>
      </c>
      <c r="B2" s="31" t="s">
        <v>162</v>
      </c>
      <c r="C2" s="29">
        <v>0</v>
      </c>
      <c r="D2" s="28"/>
      <c r="E2" s="28"/>
      <c r="F2" s="28"/>
      <c r="G2" s="28">
        <v>9871121</v>
      </c>
      <c r="H2" s="28"/>
      <c r="I2" s="28"/>
      <c r="J2" s="28"/>
      <c r="K2" s="28"/>
      <c r="L2" s="28"/>
      <c r="N2" s="28"/>
      <c r="O2" s="29">
        <v>1085823</v>
      </c>
      <c r="P2" s="29">
        <v>8785298</v>
      </c>
      <c r="Q2" s="17" t="s">
        <v>112</v>
      </c>
      <c r="R2" s="29">
        <v>1</v>
      </c>
      <c r="S2" s="29">
        <v>2</v>
      </c>
    </row>
    <row r="3" spans="1:19" s="30" customFormat="1" ht="15.75" x14ac:dyDescent="0.25">
      <c r="A3" s="27">
        <v>2</v>
      </c>
      <c r="B3" s="31" t="s">
        <v>163</v>
      </c>
      <c r="C3" s="29">
        <v>0</v>
      </c>
      <c r="D3" s="28"/>
      <c r="E3" s="28"/>
      <c r="F3" s="28">
        <v>9485898</v>
      </c>
      <c r="G3" s="28"/>
      <c r="H3" s="28"/>
      <c r="I3" s="28"/>
      <c r="J3" s="28"/>
      <c r="K3" s="28"/>
      <c r="L3" s="28"/>
      <c r="M3" s="28"/>
      <c r="N3" s="28"/>
      <c r="O3" s="29">
        <v>1138308</v>
      </c>
      <c r="P3" s="29">
        <v>8442449</v>
      </c>
      <c r="Q3" s="17" t="s">
        <v>115</v>
      </c>
      <c r="R3" s="29">
        <v>1</v>
      </c>
      <c r="S3" s="29">
        <v>3</v>
      </c>
    </row>
    <row r="4" spans="1:19" s="30" customFormat="1" ht="15.75" x14ac:dyDescent="0.25">
      <c r="A4" s="27">
        <v>3</v>
      </c>
      <c r="B4" s="31" t="s">
        <v>164</v>
      </c>
      <c r="C4" s="29">
        <v>0</v>
      </c>
      <c r="D4" s="28"/>
      <c r="E4" s="28">
        <v>14978253</v>
      </c>
      <c r="F4" s="28"/>
      <c r="G4" s="28"/>
      <c r="H4" s="28"/>
      <c r="I4" s="28"/>
      <c r="J4" s="28"/>
      <c r="K4" s="28"/>
      <c r="L4" s="28"/>
      <c r="M4" s="28"/>
      <c r="N4" s="28"/>
      <c r="O4" s="29">
        <v>898695</v>
      </c>
      <c r="P4" s="29">
        <v>13180863</v>
      </c>
      <c r="Q4" s="17" t="s">
        <v>112</v>
      </c>
      <c r="R4" s="29">
        <v>2</v>
      </c>
      <c r="S4" s="29">
        <v>3</v>
      </c>
    </row>
    <row r="5" spans="1:19" s="30" customFormat="1" ht="15.75" x14ac:dyDescent="0.25">
      <c r="A5" s="27">
        <v>4</v>
      </c>
      <c r="B5" s="31" t="s">
        <v>165</v>
      </c>
      <c r="C5" s="29">
        <v>0</v>
      </c>
      <c r="D5" s="28"/>
      <c r="E5" s="28">
        <v>14259856</v>
      </c>
      <c r="F5" s="28"/>
      <c r="G5" s="28"/>
      <c r="H5" s="28"/>
      <c r="I5" s="28"/>
      <c r="J5" s="28"/>
      <c r="K5" s="28"/>
      <c r="L5" s="28"/>
      <c r="M5" s="28"/>
      <c r="N5" s="28"/>
      <c r="O5" s="29">
        <v>1853781</v>
      </c>
      <c r="P5" s="29">
        <v>12406075</v>
      </c>
      <c r="Q5" s="17" t="s">
        <v>119</v>
      </c>
      <c r="R5" s="29">
        <v>1</v>
      </c>
      <c r="S5" s="29">
        <v>4</v>
      </c>
    </row>
    <row r="6" spans="1:19" s="30" customFormat="1" ht="15.75" x14ac:dyDescent="0.25">
      <c r="A6" s="27">
        <v>5</v>
      </c>
      <c r="B6" s="32" t="s">
        <v>166</v>
      </c>
      <c r="C6" s="29">
        <v>0</v>
      </c>
      <c r="D6" s="28"/>
      <c r="E6" s="28"/>
      <c r="F6" s="28"/>
      <c r="G6" s="28"/>
      <c r="H6" s="28"/>
      <c r="I6" s="28"/>
      <c r="J6" s="28">
        <v>4144654</v>
      </c>
      <c r="K6" s="28"/>
      <c r="L6" s="28"/>
      <c r="M6" s="28"/>
      <c r="N6" s="28"/>
      <c r="O6" s="29">
        <v>497358</v>
      </c>
      <c r="P6" s="29">
        <v>3647296</v>
      </c>
      <c r="Q6" s="17" t="s">
        <v>120</v>
      </c>
      <c r="R6" s="29">
        <v>1</v>
      </c>
      <c r="S6" s="29">
        <v>5</v>
      </c>
    </row>
    <row r="7" spans="1:19" s="30" customFormat="1" x14ac:dyDescent="0.25">
      <c r="A7" s="27">
        <v>6</v>
      </c>
      <c r="B7" s="29" t="s">
        <v>167</v>
      </c>
      <c r="C7" s="29">
        <v>0</v>
      </c>
      <c r="D7" s="28"/>
      <c r="E7" s="28"/>
      <c r="F7" s="28"/>
      <c r="G7" s="28"/>
      <c r="H7" s="28"/>
      <c r="I7" s="28"/>
      <c r="J7" s="28">
        <v>9280540</v>
      </c>
      <c r="K7" s="28"/>
      <c r="L7" s="28"/>
      <c r="M7" s="28"/>
      <c r="N7" s="28"/>
      <c r="O7" s="28">
        <v>1113665</v>
      </c>
      <c r="P7" s="28">
        <v>8166875</v>
      </c>
      <c r="Q7" s="17" t="s">
        <v>78</v>
      </c>
      <c r="R7" s="29">
        <v>1</v>
      </c>
      <c r="S7" s="29">
        <v>5</v>
      </c>
    </row>
    <row r="8" spans="1:19" s="30" customFormat="1" x14ac:dyDescent="0.25">
      <c r="A8" s="27">
        <v>7</v>
      </c>
      <c r="B8" s="34" t="s">
        <v>168</v>
      </c>
      <c r="C8" s="29">
        <v>0</v>
      </c>
      <c r="D8" s="28"/>
      <c r="E8" s="28">
        <v>4132973.5</v>
      </c>
      <c r="F8" s="28">
        <v>6195366.8830000004</v>
      </c>
      <c r="G8" s="28"/>
      <c r="H8" s="28"/>
      <c r="I8" s="28"/>
      <c r="J8" s="28"/>
      <c r="K8" s="28"/>
      <c r="L8" s="28"/>
      <c r="M8" s="28"/>
      <c r="N8" s="28"/>
      <c r="O8" s="29">
        <v>1239401</v>
      </c>
      <c r="P8" s="33">
        <v>9088939</v>
      </c>
      <c r="Q8" s="17" t="s">
        <v>84</v>
      </c>
      <c r="R8" s="37">
        <v>1</v>
      </c>
      <c r="S8" s="29">
        <v>5</v>
      </c>
    </row>
    <row r="9" spans="1:19" s="30" customFormat="1" ht="15.75" x14ac:dyDescent="0.25">
      <c r="A9" s="27">
        <v>10</v>
      </c>
      <c r="B9" s="31" t="s">
        <v>169</v>
      </c>
      <c r="C9" s="29">
        <v>0</v>
      </c>
      <c r="D9" s="28"/>
      <c r="E9" s="28"/>
      <c r="F9" s="28"/>
      <c r="G9" s="28"/>
      <c r="H9" s="28"/>
      <c r="I9" s="28"/>
      <c r="J9" s="28">
        <v>2555298.56</v>
      </c>
      <c r="K9" s="28"/>
      <c r="L9" s="28"/>
      <c r="M9" s="28"/>
      <c r="N9" s="28"/>
      <c r="O9" s="29">
        <v>332188.81</v>
      </c>
      <c r="P9" s="29">
        <v>2223109.7400000002</v>
      </c>
      <c r="Q9" s="17" t="s">
        <v>119</v>
      </c>
      <c r="R9" s="29">
        <v>2</v>
      </c>
      <c r="S9" s="29">
        <v>6</v>
      </c>
    </row>
    <row r="10" spans="1:19" s="30" customFormat="1" ht="15.75" x14ac:dyDescent="0.25">
      <c r="A10" s="27">
        <v>11</v>
      </c>
      <c r="B10" s="31" t="s">
        <v>170</v>
      </c>
      <c r="C10" s="29">
        <v>0</v>
      </c>
      <c r="D10" s="28"/>
      <c r="E10" s="28"/>
      <c r="F10" s="28"/>
      <c r="G10" s="28"/>
      <c r="H10" s="28"/>
      <c r="I10" s="28"/>
      <c r="J10" s="28">
        <v>967951</v>
      </c>
      <c r="K10" s="28"/>
      <c r="L10" s="28"/>
      <c r="M10" s="28"/>
      <c r="N10" s="28"/>
      <c r="O10" s="29">
        <v>116154</v>
      </c>
      <c r="P10" s="29">
        <v>851797</v>
      </c>
      <c r="Q10" s="17" t="s">
        <v>115</v>
      </c>
      <c r="R10" s="29">
        <v>2</v>
      </c>
      <c r="S10" s="29">
        <v>6</v>
      </c>
    </row>
    <row r="11" spans="1:19" s="30" customFormat="1" ht="15.75" x14ac:dyDescent="0.25">
      <c r="A11" s="27">
        <v>12</v>
      </c>
      <c r="B11" s="31" t="s">
        <v>171</v>
      </c>
      <c r="C11" s="29">
        <v>0</v>
      </c>
      <c r="D11" s="28"/>
      <c r="E11" s="28">
        <v>2963861</v>
      </c>
      <c r="F11" s="28"/>
      <c r="G11" s="28"/>
      <c r="H11" s="28"/>
      <c r="I11" s="28"/>
      <c r="J11" s="28">
        <v>2323597</v>
      </c>
      <c r="K11" s="28"/>
      <c r="L11" s="28"/>
      <c r="M11" s="28"/>
      <c r="N11" s="28"/>
      <c r="O11" s="29">
        <v>634495</v>
      </c>
      <c r="P11" s="29">
        <v>4652963</v>
      </c>
      <c r="Q11" s="17" t="s">
        <v>113</v>
      </c>
      <c r="R11" s="29">
        <v>1</v>
      </c>
      <c r="S11" s="29">
        <v>6</v>
      </c>
    </row>
    <row r="15" spans="1:19" ht="15.75" x14ac:dyDescent="0.25">
      <c r="Q15" s="36"/>
    </row>
    <row r="16" spans="1:19" ht="15.75" x14ac:dyDescent="0.25">
      <c r="Q16" s="31"/>
    </row>
    <row r="17" spans="17:17" ht="15.75" x14ac:dyDescent="0.25">
      <c r="Q17" s="31"/>
    </row>
    <row r="18" spans="17:17" ht="15.75" x14ac:dyDescent="0.25">
      <c r="Q18" s="32"/>
    </row>
    <row r="19" spans="17:17" x14ac:dyDescent="0.25">
      <c r="Q19" s="29"/>
    </row>
    <row r="20" spans="17:17" x14ac:dyDescent="0.25">
      <c r="Q20" s="34"/>
    </row>
    <row r="21" spans="17:17" ht="15.75" x14ac:dyDescent="0.25">
      <c r="Q21" s="31"/>
    </row>
    <row r="22" spans="17:17" ht="15.75" x14ac:dyDescent="0.25">
      <c r="Q22" s="31"/>
    </row>
    <row r="23" spans="17:17" ht="15.75" x14ac:dyDescent="0.25">
      <c r="Q23" s="3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D2" sqref="D2:D12"/>
    </sheetView>
  </sheetViews>
  <sheetFormatPr defaultRowHeight="15" x14ac:dyDescent="0.25"/>
  <cols>
    <col min="2" max="2" width="18.28515625" customWidth="1"/>
    <col min="3" max="3" width="97.5703125" customWidth="1"/>
    <col min="4" max="4" width="52.85546875" customWidth="1"/>
  </cols>
  <sheetData>
    <row r="1" spans="1:4" x14ac:dyDescent="0.25">
      <c r="A1" s="1" t="s">
        <v>11</v>
      </c>
      <c r="B1" s="1" t="s">
        <v>12</v>
      </c>
      <c r="C1" s="2" t="s">
        <v>13</v>
      </c>
    </row>
    <row r="2" spans="1:4" x14ac:dyDescent="0.25">
      <c r="A2" s="1">
        <v>57</v>
      </c>
      <c r="B2" s="1">
        <v>4111306</v>
      </c>
      <c r="C2" s="2" t="s">
        <v>10</v>
      </c>
      <c r="D2" t="str">
        <f>CONCATENATE(B2,"_",C2)</f>
        <v>4111306_Construction of Irrigation Inlet (New Haors)</v>
      </c>
    </row>
    <row r="3" spans="1:4" x14ac:dyDescent="0.25">
      <c r="A3" s="1">
        <v>58</v>
      </c>
      <c r="B3" s="1">
        <v>4111307</v>
      </c>
      <c r="C3" s="2" t="s">
        <v>9</v>
      </c>
      <c r="D3" t="str">
        <f t="shared" ref="D3:D12" si="0">CONCATENATE(B3,"_",C3)</f>
        <v>4111307_ Re-installation/Construction of Regulator/ Causeway (Rehabilitation Sub-Projects)</v>
      </c>
    </row>
    <row r="4" spans="1:4" x14ac:dyDescent="0.25">
      <c r="A4" s="1">
        <v>59</v>
      </c>
      <c r="B4" s="1">
        <v>4111307</v>
      </c>
      <c r="C4" s="2" t="s">
        <v>8</v>
      </c>
      <c r="D4" t="str">
        <f t="shared" si="0"/>
        <v>4111307_ Installation/Construction of New Regulators/ Causeway/Bridge/Box Drainage Outlet) (New Haors)</v>
      </c>
    </row>
    <row r="5" spans="1:4" x14ac:dyDescent="0.25">
      <c r="A5" s="1">
        <v>60</v>
      </c>
      <c r="B5" s="1">
        <v>4111307</v>
      </c>
      <c r="C5" s="2" t="s">
        <v>7</v>
      </c>
      <c r="D5" t="str">
        <f t="shared" si="0"/>
        <v xml:space="preserve">4111307_ Re-excavation of Khal/River (New Haors) </v>
      </c>
    </row>
    <row r="6" spans="1:4" x14ac:dyDescent="0.25">
      <c r="A6" s="1">
        <v>61</v>
      </c>
      <c r="B6" s="1">
        <v>4111201</v>
      </c>
      <c r="C6" s="2" t="s">
        <v>6</v>
      </c>
      <c r="D6" t="str">
        <f t="shared" si="0"/>
        <v xml:space="preserve">4111201_ Re-excavation of Khal/River (Rehabilitation Sub-Projects) </v>
      </c>
    </row>
    <row r="7" spans="1:4" x14ac:dyDescent="0.25">
      <c r="A7" s="1">
        <v>62</v>
      </c>
      <c r="B7" s="1">
        <v>4111201</v>
      </c>
      <c r="C7" s="2" t="s">
        <v>5</v>
      </c>
      <c r="D7" t="str">
        <f t="shared" si="0"/>
        <v>4111201_ Rehabilitation of Full Embankment (Resection/ construction) (Rehabilitation Sub-Projects)</v>
      </c>
    </row>
    <row r="8" spans="1:4" x14ac:dyDescent="0.25">
      <c r="A8" s="1">
        <v>63</v>
      </c>
      <c r="B8" s="1">
        <v>4111201</v>
      </c>
      <c r="C8" s="2" t="s">
        <v>4</v>
      </c>
      <c r="D8" t="str">
        <f t="shared" si="0"/>
        <v>4111201_ Rehabilitation of Submergible Embankment  (Resection/construction)  (Rehabilitation Sub-Projects)</v>
      </c>
    </row>
    <row r="9" spans="1:4" x14ac:dyDescent="0.25">
      <c r="A9" s="1">
        <v>64</v>
      </c>
      <c r="B9" s="1">
        <v>4111201</v>
      </c>
      <c r="C9" s="2" t="s">
        <v>3</v>
      </c>
      <c r="D9" t="str">
        <f t="shared" si="0"/>
        <v>4111201_Construction of Submersible Embankment (New Haors) (Earth Volume: 29.98 lakh cum)</v>
      </c>
    </row>
    <row r="10" spans="1:4" x14ac:dyDescent="0.25">
      <c r="A10" s="1">
        <v>65</v>
      </c>
      <c r="B10" s="1">
        <v>4111201</v>
      </c>
      <c r="C10" s="2" t="s">
        <v>2</v>
      </c>
      <c r="D10" t="str">
        <f t="shared" si="0"/>
        <v>4111201_ Rehabilitation of Regulator (New Haors)</v>
      </c>
    </row>
    <row r="11" spans="1:4" x14ac:dyDescent="0.25">
      <c r="A11" s="1">
        <v>66</v>
      </c>
      <c r="B11" s="1">
        <v>4111201</v>
      </c>
      <c r="C11" s="2" t="s">
        <v>1</v>
      </c>
      <c r="D11" t="str">
        <f t="shared" si="0"/>
        <v>4111201_Construction of WMG Office</v>
      </c>
    </row>
    <row r="12" spans="1:4" x14ac:dyDescent="0.25">
      <c r="A12" s="1">
        <v>67</v>
      </c>
      <c r="B12" s="1">
        <v>4111201</v>
      </c>
      <c r="C12" s="2" t="s">
        <v>0</v>
      </c>
      <c r="D12" t="str">
        <f t="shared" si="0"/>
        <v>4111201_O&amp;M During Construction</v>
      </c>
    </row>
  </sheetData>
  <sortState ref="A2:C12">
    <sortCondition ref="A2:A1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0"/>
  <sheetViews>
    <sheetView topLeftCell="M27" zoomScale="115" zoomScaleNormal="115" workbookViewId="0">
      <selection activeCell="R4" sqref="R4"/>
    </sheetView>
  </sheetViews>
  <sheetFormatPr defaultRowHeight="15" x14ac:dyDescent="0.25"/>
  <cols>
    <col min="2" max="2" width="20.140625" style="3" customWidth="1"/>
    <col min="3" max="3" width="16" style="3" customWidth="1"/>
    <col min="5" max="5" width="17.140625" customWidth="1"/>
    <col min="8" max="8" width="22.85546875" customWidth="1"/>
    <col min="9" max="9" width="19.42578125" customWidth="1"/>
    <col min="12" max="12" width="19.42578125" customWidth="1"/>
    <col min="13" max="13" width="25.140625" style="3" customWidth="1"/>
    <col min="14" max="14" width="26.28515625" customWidth="1"/>
    <col min="15" max="15" width="17.7109375" style="3" customWidth="1"/>
    <col min="16" max="16" width="14.85546875" customWidth="1"/>
    <col min="17" max="17" width="13.7109375" bestFit="1" customWidth="1"/>
    <col min="18" max="18" width="12.28515625" style="4" customWidth="1"/>
    <col min="19" max="19" width="13.7109375" bestFit="1" customWidth="1"/>
    <col min="20" max="20" width="14.28515625" customWidth="1"/>
    <col min="21" max="21" width="16.5703125" customWidth="1"/>
  </cols>
  <sheetData>
    <row r="1" spans="1:19" x14ac:dyDescent="0.25">
      <c r="B1" s="5">
        <v>7146.0320000000002</v>
      </c>
      <c r="C1" s="5">
        <v>156388</v>
      </c>
      <c r="H1" s="1" t="s">
        <v>18</v>
      </c>
      <c r="I1" s="1" t="s">
        <v>19</v>
      </c>
      <c r="O1" s="5"/>
      <c r="P1" s="1"/>
    </row>
    <row r="2" spans="1:19" x14ac:dyDescent="0.25">
      <c r="B2" s="5">
        <v>2175338.3840000001</v>
      </c>
      <c r="C2" s="5">
        <v>582066.29599999997</v>
      </c>
      <c r="H2" s="1">
        <v>2651098.73</v>
      </c>
      <c r="I2" s="1">
        <v>3807686.27</v>
      </c>
      <c r="J2">
        <f>SUM(H2:I2)</f>
        <v>6458785</v>
      </c>
      <c r="L2" t="s">
        <v>20</v>
      </c>
      <c r="M2" s="7">
        <v>3058698.5830000001</v>
      </c>
      <c r="O2" s="5"/>
      <c r="P2" s="1"/>
    </row>
    <row r="3" spans="1:19" x14ac:dyDescent="0.25">
      <c r="B3" s="5">
        <v>442686.37599999999</v>
      </c>
      <c r="C3" s="5">
        <v>132743.20699999999</v>
      </c>
      <c r="H3" s="1">
        <f>H2/6458785</f>
        <v>0.41046400058215282</v>
      </c>
      <c r="I3" s="1">
        <f>I2/6458785</f>
        <v>0.58953599941784718</v>
      </c>
      <c r="L3" t="s">
        <v>21</v>
      </c>
      <c r="M3" s="7">
        <v>3991659.9350000001</v>
      </c>
      <c r="O3" s="5"/>
      <c r="P3" s="1"/>
    </row>
    <row r="4" spans="1:19" x14ac:dyDescent="0.25">
      <c r="B4" s="5">
        <v>25927.940999999999</v>
      </c>
      <c r="C4" s="5">
        <v>2610.3809999999999</v>
      </c>
      <c r="G4" t="s">
        <v>15</v>
      </c>
      <c r="H4" s="1">
        <f>ROUND(H3*807349,2)</f>
        <v>331387.7</v>
      </c>
      <c r="I4" s="1">
        <f>ROUND(I3*807349,2)</f>
        <v>475961.3</v>
      </c>
      <c r="L4" t="s">
        <v>22</v>
      </c>
      <c r="M4" s="7">
        <v>2816996.1630000002</v>
      </c>
      <c r="O4" s="5"/>
      <c r="P4" s="1"/>
    </row>
    <row r="5" spans="1:19" x14ac:dyDescent="0.25">
      <c r="A5" t="s">
        <v>17</v>
      </c>
      <c r="B5" s="5">
        <f>SUM(B1:B4)</f>
        <v>2651098.7330000005</v>
      </c>
      <c r="C5" s="5">
        <v>71523.692999999999</v>
      </c>
      <c r="G5" t="s">
        <v>16</v>
      </c>
      <c r="H5" s="1">
        <f>H2-H4</f>
        <v>2319711.0299999998</v>
      </c>
      <c r="I5" s="1">
        <f>I2-I4</f>
        <v>3331724.97</v>
      </c>
      <c r="J5">
        <f>SUM(H5:I5)</f>
        <v>5651436</v>
      </c>
      <c r="L5" t="s">
        <v>23</v>
      </c>
      <c r="M5" s="7">
        <v>3363880.156</v>
      </c>
      <c r="O5" s="5"/>
      <c r="P5" s="1"/>
    </row>
    <row r="6" spans="1:19" x14ac:dyDescent="0.25">
      <c r="B6" s="5"/>
      <c r="C6" s="5">
        <v>769684.61699999997</v>
      </c>
      <c r="H6" s="1">
        <f>SUM(H4:H5)</f>
        <v>2651098.73</v>
      </c>
      <c r="L6" t="s">
        <v>24</v>
      </c>
      <c r="M6" s="5">
        <v>808976.33900000004</v>
      </c>
      <c r="N6" t="s">
        <v>27</v>
      </c>
      <c r="O6" s="5" t="s">
        <v>15</v>
      </c>
      <c r="P6" s="1" t="s">
        <v>16</v>
      </c>
    </row>
    <row r="7" spans="1:19" x14ac:dyDescent="0.25">
      <c r="C7" s="5">
        <v>776580.14399999997</v>
      </c>
      <c r="L7" t="s">
        <v>25</v>
      </c>
      <c r="M7" s="5">
        <f>SUM(M2:M6)</f>
        <v>14040211.175999999</v>
      </c>
      <c r="N7">
        <f>M7/$M$9</f>
        <v>0.93161432831949342</v>
      </c>
      <c r="O7" s="5">
        <f>N7*1883855</f>
        <v>1755026.3104763194</v>
      </c>
      <c r="P7" s="5">
        <f>N7*13186986</f>
        <v>12285185.104948564</v>
      </c>
    </row>
    <row r="8" spans="1:19" x14ac:dyDescent="0.25">
      <c r="C8" s="5">
        <f>SUM(C1:C7)</f>
        <v>2491596.338</v>
      </c>
      <c r="L8" t="s">
        <v>26</v>
      </c>
      <c r="M8" s="5">
        <v>1030629.567</v>
      </c>
      <c r="N8">
        <f>M8/$M$9</f>
        <v>6.8385671680506604E-2</v>
      </c>
      <c r="O8" s="5">
        <f>N8*1883855</f>
        <v>128828.68952368078</v>
      </c>
      <c r="P8" s="5">
        <f>N8*13186986</f>
        <v>901800.89505143708</v>
      </c>
    </row>
    <row r="9" spans="1:19" x14ac:dyDescent="0.25">
      <c r="E9" s="5">
        <f>B6+C8</f>
        <v>2491596.338</v>
      </c>
      <c r="M9" s="5">
        <f>SUM(M7,M8)</f>
        <v>15070840.742999999</v>
      </c>
      <c r="O9" s="3">
        <f>SUM(O7:O8)</f>
        <v>1883855.0000000002</v>
      </c>
      <c r="P9" s="3">
        <f>SUM(P7:P8)</f>
        <v>13186986</v>
      </c>
      <c r="Q9" s="3">
        <f>SUM(O9:P9)</f>
        <v>15070841</v>
      </c>
    </row>
    <row r="12" spans="1:19" x14ac:dyDescent="0.25">
      <c r="L12" s="3" t="s">
        <v>28</v>
      </c>
    </row>
    <row r="13" spans="1:19" x14ac:dyDescent="0.25">
      <c r="L13" s="3" t="s">
        <v>29</v>
      </c>
      <c r="M13" s="5" t="s">
        <v>18</v>
      </c>
      <c r="P13" s="1" t="s">
        <v>27</v>
      </c>
      <c r="Q13" s="1" t="s">
        <v>15</v>
      </c>
      <c r="R13" s="9" t="s">
        <v>16</v>
      </c>
    </row>
    <row r="14" spans="1:19" x14ac:dyDescent="0.25">
      <c r="L14" s="8">
        <v>5478066.2400000002</v>
      </c>
      <c r="M14" s="5">
        <v>6284471.1500000004</v>
      </c>
      <c r="N14" t="s">
        <v>29</v>
      </c>
      <c r="O14" s="3">
        <v>5478066.2400000002</v>
      </c>
      <c r="P14">
        <f>O14/M17</f>
        <v>0.45354675633309538</v>
      </c>
      <c r="Q14">
        <f>P14*1358807</f>
        <v>616282.50733270438</v>
      </c>
      <c r="R14" s="9">
        <f>9511648*P14</f>
        <v>4313977.0977821741</v>
      </c>
    </row>
    <row r="15" spans="1:19" x14ac:dyDescent="0.25">
      <c r="L15" s="8"/>
      <c r="M15" s="5">
        <v>315745.96999999997</v>
      </c>
      <c r="N15" t="s">
        <v>18</v>
      </c>
      <c r="O15" s="3">
        <f>M16</f>
        <v>6600217.1200000001</v>
      </c>
      <c r="P15">
        <f>O15/M17</f>
        <v>0.54645324366690473</v>
      </c>
      <c r="Q15">
        <f>P15*1358807</f>
        <v>742524.49266729585</v>
      </c>
      <c r="R15" s="9">
        <f>9511648*P15</f>
        <v>5197670.9022178268</v>
      </c>
    </row>
    <row r="16" spans="1:19" x14ac:dyDescent="0.25">
      <c r="K16" t="s">
        <v>14</v>
      </c>
      <c r="L16" s="8">
        <f>SUM(L14:L15)</f>
        <v>5478066.2400000002</v>
      </c>
      <c r="M16" s="5">
        <f>SUM(M14:M15)</f>
        <v>6600217.1200000001</v>
      </c>
      <c r="P16">
        <f>SUM(P14:P15)</f>
        <v>1</v>
      </c>
      <c r="Q16" s="3">
        <f>SUM(Q14:Q15)</f>
        <v>1358807.0000000002</v>
      </c>
      <c r="R16" s="3">
        <f>SUM(R14:R15)</f>
        <v>9511648</v>
      </c>
      <c r="S16" s="3"/>
    </row>
    <row r="17" spans="11:19" x14ac:dyDescent="0.25">
      <c r="K17" t="s">
        <v>30</v>
      </c>
      <c r="L17" s="3"/>
      <c r="M17" s="5">
        <f>SUM(L16,M16)</f>
        <v>12078283.359999999</v>
      </c>
    </row>
    <row r="18" spans="11:19" x14ac:dyDescent="0.25">
      <c r="L18" s="3"/>
    </row>
    <row r="19" spans="11:19" x14ac:dyDescent="0.25">
      <c r="L19" s="3"/>
    </row>
    <row r="20" spans="11:19" x14ac:dyDescent="0.25">
      <c r="L20" s="3" t="s">
        <v>31</v>
      </c>
    </row>
    <row r="21" spans="11:19" x14ac:dyDescent="0.25">
      <c r="L21" s="3" t="s">
        <v>29</v>
      </c>
      <c r="M21" s="3" t="s">
        <v>18</v>
      </c>
      <c r="P21" t="s">
        <v>27</v>
      </c>
      <c r="Q21" t="s">
        <v>15</v>
      </c>
      <c r="R21" s="4" t="s">
        <v>16</v>
      </c>
    </row>
    <row r="22" spans="11:19" x14ac:dyDescent="0.25">
      <c r="L22" s="3">
        <v>5478066.2400000002</v>
      </c>
      <c r="M22" s="3">
        <v>6284471.1500000004</v>
      </c>
      <c r="N22" t="s">
        <v>29</v>
      </c>
      <c r="O22" s="3">
        <v>5478066.2400000002</v>
      </c>
      <c r="P22">
        <v>0.45354675633309538</v>
      </c>
      <c r="Q22" s="1">
        <f>P22*150979</f>
        <v>68476.035724414411</v>
      </c>
      <c r="R22" s="9">
        <f>P22*1056849</f>
        <v>479330.43588387553</v>
      </c>
    </row>
    <row r="23" spans="11:19" x14ac:dyDescent="0.25">
      <c r="L23" s="3"/>
      <c r="M23" s="3">
        <v>315745.96999999997</v>
      </c>
      <c r="N23" t="s">
        <v>18</v>
      </c>
      <c r="O23" s="3">
        <v>6600217.1200000001</v>
      </c>
      <c r="P23">
        <v>0.54645324366690473</v>
      </c>
      <c r="Q23" s="1">
        <f>P23*150979</f>
        <v>82502.964275585604</v>
      </c>
      <c r="R23" s="9">
        <f>P23*1056849</f>
        <v>577518.56411612465</v>
      </c>
    </row>
    <row r="24" spans="11:19" x14ac:dyDescent="0.25">
      <c r="K24" t="s">
        <v>14</v>
      </c>
      <c r="L24">
        <v>5478066.2400000002</v>
      </c>
      <c r="M24" s="3">
        <v>6600217.1200000001</v>
      </c>
      <c r="P24">
        <v>1</v>
      </c>
      <c r="Q24" s="9">
        <f>SUM(Q22:Q23)</f>
        <v>150979</v>
      </c>
      <c r="R24" s="9">
        <f>SUM(R22:R23)</f>
        <v>1056849.0000000002</v>
      </c>
      <c r="S24" s="9">
        <f>SUM(Q24:R24)</f>
        <v>1207828.0000000002</v>
      </c>
    </row>
    <row r="25" spans="11:19" x14ac:dyDescent="0.25">
      <c r="K25" t="s">
        <v>30</v>
      </c>
      <c r="M25" s="3">
        <v>12078283.359999999</v>
      </c>
    </row>
    <row r="35" spans="14:21" x14ac:dyDescent="0.25">
      <c r="N35" t="s">
        <v>32</v>
      </c>
    </row>
    <row r="36" spans="14:21" x14ac:dyDescent="0.25">
      <c r="N36" t="s">
        <v>29</v>
      </c>
      <c r="O36" s="3">
        <v>5923319.2699999996</v>
      </c>
    </row>
    <row r="37" spans="14:21" x14ac:dyDescent="0.25">
      <c r="N37" t="s">
        <v>33</v>
      </c>
      <c r="O37" s="5">
        <v>317931.49</v>
      </c>
    </row>
    <row r="38" spans="14:21" x14ac:dyDescent="0.25">
      <c r="N38" t="s">
        <v>14</v>
      </c>
      <c r="O38" s="5">
        <f>SUM(O36:O37)</f>
        <v>6241250.7599999998</v>
      </c>
      <c r="S38" s="1" t="s">
        <v>27</v>
      </c>
      <c r="T38" s="1" t="s">
        <v>15</v>
      </c>
      <c r="U38" s="1" t="s">
        <v>16</v>
      </c>
    </row>
    <row r="39" spans="14:21" x14ac:dyDescent="0.25">
      <c r="N39" t="s">
        <v>34</v>
      </c>
      <c r="O39" s="3">
        <v>1361092.04</v>
      </c>
      <c r="Q39" t="s">
        <v>38</v>
      </c>
      <c r="R39" s="4">
        <f>O38</f>
        <v>6241250.7599999998</v>
      </c>
      <c r="S39">
        <f>R39/$R$42</f>
        <v>0.33151403571357946</v>
      </c>
      <c r="T39" s="3">
        <f>S39*2321064</f>
        <v>769465.29378950363</v>
      </c>
      <c r="U39" s="5">
        <f>S39*16247451</f>
        <v>5386258.0510686319</v>
      </c>
    </row>
    <row r="40" spans="14:21" x14ac:dyDescent="0.25">
      <c r="N40" t="s">
        <v>35</v>
      </c>
      <c r="O40" s="10">
        <v>0</v>
      </c>
      <c r="Q40" t="s">
        <v>39</v>
      </c>
      <c r="R40" s="4">
        <f>SUM(O39,O42)</f>
        <v>6996164.2589999996</v>
      </c>
      <c r="S40">
        <f>R40/$R$42</f>
        <v>0.37161247596085917</v>
      </c>
      <c r="T40" s="3">
        <f t="shared" ref="T40:T41" si="0">S40*2321064</f>
        <v>862536.33990361565</v>
      </c>
      <c r="U40" s="5">
        <f t="shared" ref="U40:U41" si="1">S40*16247451</f>
        <v>6037755.4941627374</v>
      </c>
    </row>
    <row r="41" spans="14:21" x14ac:dyDescent="0.25">
      <c r="N41" t="s">
        <v>36</v>
      </c>
      <c r="O41" s="3">
        <v>5589090.3099999996</v>
      </c>
      <c r="Q41" t="s">
        <v>40</v>
      </c>
      <c r="R41" s="4">
        <f>O41</f>
        <v>5589090.3099999996</v>
      </c>
      <c r="S41">
        <f>R41/$R$42</f>
        <v>0.29687348832556132</v>
      </c>
      <c r="T41" s="3">
        <f t="shared" si="0"/>
        <v>689062.36630688061</v>
      </c>
      <c r="U41" s="5">
        <f t="shared" si="1"/>
        <v>4823437.4547686297</v>
      </c>
    </row>
    <row r="42" spans="14:21" x14ac:dyDescent="0.25">
      <c r="N42" t="s">
        <v>37</v>
      </c>
      <c r="O42" s="3">
        <v>5635072.2189999996</v>
      </c>
      <c r="R42" s="4">
        <f>SUM(R39:R41)</f>
        <v>18826505.329</v>
      </c>
      <c r="S42" s="4">
        <f t="shared" ref="S42:U42" si="2">SUM(S39:S41)</f>
        <v>1</v>
      </c>
      <c r="T42" s="5">
        <f t="shared" si="2"/>
        <v>2321064</v>
      </c>
      <c r="U42" s="5">
        <f t="shared" si="2"/>
        <v>16247450.999999998</v>
      </c>
    </row>
    <row r="43" spans="14:21" x14ac:dyDescent="0.25">
      <c r="N43" t="s">
        <v>14</v>
      </c>
      <c r="O43" s="3">
        <f>SUM(O39:O42)</f>
        <v>12585254.568999998</v>
      </c>
    </row>
    <row r="44" spans="14:21" x14ac:dyDescent="0.25">
      <c r="N44" t="s">
        <v>30</v>
      </c>
      <c r="O44" s="3">
        <f>SUM(O43,O38)</f>
        <v>18826505.328999996</v>
      </c>
    </row>
    <row r="48" spans="14:21" x14ac:dyDescent="0.25">
      <c r="N48" t="s">
        <v>41</v>
      </c>
      <c r="P48" t="s">
        <v>27</v>
      </c>
    </row>
    <row r="49" spans="14:20" x14ac:dyDescent="0.25">
      <c r="N49" t="s">
        <v>42</v>
      </c>
      <c r="O49" s="3">
        <v>4734271.7359999996</v>
      </c>
      <c r="P49">
        <f>O49/$O$51</f>
        <v>0.5205478689130878</v>
      </c>
      <c r="Q49" s="5">
        <f>P49*1136848</f>
        <v>591783.80367810605</v>
      </c>
      <c r="R49" s="5">
        <f>P49*7957939</f>
        <v>4142488.1873903489</v>
      </c>
    </row>
    <row r="50" spans="14:20" x14ac:dyDescent="0.25">
      <c r="N50" t="s">
        <v>43</v>
      </c>
      <c r="O50" s="3">
        <v>4360514.7740000002</v>
      </c>
      <c r="P50">
        <f>O50/$O$51</f>
        <v>0.47945213108691215</v>
      </c>
      <c r="Q50" s="5">
        <f>P50*1136848</f>
        <v>545064.19632189395</v>
      </c>
      <c r="R50" s="5">
        <f>P50*7957939</f>
        <v>3815450.8126096507</v>
      </c>
    </row>
    <row r="51" spans="14:20" x14ac:dyDescent="0.25">
      <c r="O51" s="3">
        <f>SUM(O49:O50)</f>
        <v>9094786.5099999998</v>
      </c>
      <c r="P51">
        <f>SUM(P49:P50)</f>
        <v>1</v>
      </c>
      <c r="Q51" s="5">
        <f>SUM(Q49:Q50)</f>
        <v>1136848</v>
      </c>
      <c r="R51" s="5">
        <f>SUM(R49:R50)</f>
        <v>7957939</v>
      </c>
      <c r="S51" s="3">
        <f>SUM(Q51,R51)</f>
        <v>9094787</v>
      </c>
    </row>
    <row r="54" spans="14:20" x14ac:dyDescent="0.25">
      <c r="N54" t="s">
        <v>44</v>
      </c>
      <c r="P54" t="s">
        <v>27</v>
      </c>
    </row>
    <row r="55" spans="14:20" x14ac:dyDescent="0.25">
      <c r="N55" t="s">
        <v>42</v>
      </c>
      <c r="O55" s="3">
        <v>0</v>
      </c>
      <c r="P55">
        <v>0.5205478689130878</v>
      </c>
      <c r="Q55">
        <v>591783.80367810605</v>
      </c>
      <c r="R55" s="4">
        <v>4142488.1873903489</v>
      </c>
    </row>
    <row r="56" spans="14:20" x14ac:dyDescent="0.25">
      <c r="N56" t="s">
        <v>43</v>
      </c>
      <c r="O56" s="3">
        <v>3214491.54</v>
      </c>
      <c r="P56">
        <v>0.47945213108691215</v>
      </c>
      <c r="Q56">
        <v>545064.19632189395</v>
      </c>
      <c r="R56" s="4">
        <v>3815450.8126096507</v>
      </c>
    </row>
    <row r="57" spans="14:20" x14ac:dyDescent="0.25">
      <c r="P57">
        <v>1</v>
      </c>
      <c r="Q57">
        <v>1136848</v>
      </c>
      <c r="R57" s="4">
        <v>7957939</v>
      </c>
      <c r="S57">
        <v>9094787</v>
      </c>
    </row>
    <row r="58" spans="14:20" x14ac:dyDescent="0.25">
      <c r="N58" t="s">
        <v>45</v>
      </c>
      <c r="R58" s="4" t="s">
        <v>27</v>
      </c>
      <c r="S58" t="s">
        <v>15</v>
      </c>
      <c r="T58" t="s">
        <v>16</v>
      </c>
    </row>
    <row r="59" spans="14:20" x14ac:dyDescent="0.25">
      <c r="N59" t="s">
        <v>18</v>
      </c>
      <c r="O59" s="3">
        <v>5702443.7800000003</v>
      </c>
      <c r="P59" t="s">
        <v>18</v>
      </c>
      <c r="Q59" s="3">
        <f>O59</f>
        <v>5702443.7800000003</v>
      </c>
      <c r="R59" s="4">
        <f>Q59/$O$63</f>
        <v>0.47729678645615281</v>
      </c>
      <c r="S59">
        <f>R59*1493422</f>
        <v>712805.52142292063</v>
      </c>
      <c r="T59">
        <f>R59*10453953</f>
        <v>4989638.1726636579</v>
      </c>
    </row>
    <row r="60" spans="14:20" x14ac:dyDescent="0.25">
      <c r="N60" t="s">
        <v>43</v>
      </c>
      <c r="O60" s="3">
        <v>6070081.2699999996</v>
      </c>
      <c r="P60" t="s">
        <v>43</v>
      </c>
      <c r="Q60" s="3">
        <f>O62</f>
        <v>6244931.3999999994</v>
      </c>
      <c r="R60" s="4">
        <f>Q60/$O$63</f>
        <v>0.52270321354384719</v>
      </c>
      <c r="S60">
        <f>R60*1493422</f>
        <v>780616.47857707937</v>
      </c>
      <c r="T60">
        <f>R60*10453953</f>
        <v>5464314.8273363421</v>
      </c>
    </row>
    <row r="61" spans="14:20" x14ac:dyDescent="0.25">
      <c r="N61" t="s">
        <v>46</v>
      </c>
      <c r="O61" s="3">
        <v>174850.13</v>
      </c>
      <c r="R61" s="4">
        <f>SUM(R59:R60)</f>
        <v>1</v>
      </c>
      <c r="S61" s="4">
        <f>SUM(S59:S60)</f>
        <v>1493422</v>
      </c>
      <c r="T61" s="4">
        <f>SUM(T59:T60)</f>
        <v>10453953</v>
      </c>
    </row>
    <row r="62" spans="14:20" x14ac:dyDescent="0.25">
      <c r="N62" t="s">
        <v>43</v>
      </c>
      <c r="O62" s="3">
        <f>O60+O61</f>
        <v>6244931.3999999994</v>
      </c>
    </row>
    <row r="63" spans="14:20" x14ac:dyDescent="0.25">
      <c r="O63" s="3">
        <f>SUM(O59,O62)</f>
        <v>11947375.18</v>
      </c>
    </row>
    <row r="65" spans="14:20" x14ac:dyDescent="0.25">
      <c r="N65" t="s">
        <v>47</v>
      </c>
      <c r="R65" s="4" t="s">
        <v>27</v>
      </c>
      <c r="S65" t="s">
        <v>15</v>
      </c>
      <c r="T65" t="s">
        <v>16</v>
      </c>
    </row>
    <row r="66" spans="14:20" x14ac:dyDescent="0.25">
      <c r="N66" t="s">
        <v>38</v>
      </c>
      <c r="O66" s="5">
        <v>4129593.08</v>
      </c>
      <c r="P66" t="s">
        <v>18</v>
      </c>
      <c r="Q66">
        <v>5702443.7800000003</v>
      </c>
      <c r="R66" s="4">
        <v>0.47729678645615281</v>
      </c>
      <c r="S66">
        <v>712805.52142292063</v>
      </c>
      <c r="T66">
        <v>4989638.1726636579</v>
      </c>
    </row>
    <row r="67" spans="14:20" x14ac:dyDescent="0.25">
      <c r="N67" t="s">
        <v>43</v>
      </c>
      <c r="O67" s="5"/>
      <c r="P67" t="s">
        <v>43</v>
      </c>
      <c r="Q67">
        <v>6244931.3999999994</v>
      </c>
      <c r="R67" s="4">
        <v>0.52270321354384719</v>
      </c>
      <c r="S67">
        <v>780616.47857707937</v>
      </c>
      <c r="T67">
        <v>5464314.8273363421</v>
      </c>
    </row>
    <row r="68" spans="14:20" x14ac:dyDescent="0.25">
      <c r="N68" t="s">
        <v>46</v>
      </c>
      <c r="O68" s="5">
        <v>174850.13</v>
      </c>
      <c r="R68" s="4">
        <v>1</v>
      </c>
      <c r="S68">
        <v>1493422</v>
      </c>
      <c r="T68">
        <v>10453953</v>
      </c>
    </row>
    <row r="69" spans="14:20" x14ac:dyDescent="0.25">
      <c r="N69" t="s">
        <v>43</v>
      </c>
      <c r="O69" s="5">
        <v>6244931.3999999994</v>
      </c>
    </row>
    <row r="70" spans="14:20" x14ac:dyDescent="0.25">
      <c r="O70" s="5">
        <v>11947375.18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7"/>
  <sheetViews>
    <sheetView topLeftCell="A16" zoomScale="130" zoomScaleNormal="130" workbookViewId="0">
      <selection activeCell="A27" sqref="A27"/>
    </sheetView>
  </sheetViews>
  <sheetFormatPr defaultRowHeight="15" x14ac:dyDescent="0.25"/>
  <cols>
    <col min="1" max="1" width="30.7109375" customWidth="1"/>
    <col min="2" max="2" width="6.140625" customWidth="1"/>
    <col min="3" max="3" width="5.42578125" customWidth="1"/>
    <col min="4" max="4" width="3.85546875" customWidth="1"/>
    <col min="5" max="5" width="15.42578125" style="1" customWidth="1"/>
    <col min="7" max="7" width="19.5703125" style="1" customWidth="1"/>
    <col min="9" max="9" width="13" style="1" customWidth="1"/>
    <col min="10" max="10" width="13.28515625" customWidth="1"/>
    <col min="13" max="13" width="10.85546875" customWidth="1"/>
    <col min="14" max="14" width="15.85546875" customWidth="1"/>
  </cols>
  <sheetData>
    <row r="2" spans="5:9" x14ac:dyDescent="0.25">
      <c r="G2" s="1" t="s">
        <v>42</v>
      </c>
      <c r="I2" s="1" t="s">
        <v>18</v>
      </c>
    </row>
    <row r="3" spans="5:9" x14ac:dyDescent="0.25">
      <c r="G3" s="1">
        <v>17644936.100000001</v>
      </c>
      <c r="I3" s="1">
        <v>204301.34</v>
      </c>
    </row>
    <row r="4" spans="5:9" x14ac:dyDescent="0.25">
      <c r="G4" s="1">
        <v>-166123.07999999999</v>
      </c>
      <c r="I4" s="1">
        <v>98414.79</v>
      </c>
    </row>
    <row r="5" spans="5:9" x14ac:dyDescent="0.25">
      <c r="G5" s="1">
        <v>4900152.0999999996</v>
      </c>
      <c r="I5" s="1">
        <v>3557905.85</v>
      </c>
    </row>
    <row r="6" spans="5:9" x14ac:dyDescent="0.25">
      <c r="G6" s="1">
        <v>286245</v>
      </c>
      <c r="I6" s="1">
        <v>866744.93</v>
      </c>
    </row>
    <row r="7" spans="5:9" x14ac:dyDescent="0.25">
      <c r="G7" s="1">
        <v>619378.32999999996</v>
      </c>
      <c r="I7" s="1">
        <v>161285.35999999999</v>
      </c>
    </row>
    <row r="8" spans="5:9" x14ac:dyDescent="0.25">
      <c r="G8" s="5">
        <f>SUM(G3:G7)</f>
        <v>23284588.450000003</v>
      </c>
      <c r="I8" s="1">
        <v>15775.98</v>
      </c>
    </row>
    <row r="9" spans="5:9" x14ac:dyDescent="0.25">
      <c r="G9" s="5">
        <v>28737182.920000002</v>
      </c>
      <c r="I9" s="1">
        <v>14288.02</v>
      </c>
    </row>
    <row r="10" spans="5:9" x14ac:dyDescent="0.25">
      <c r="G10" s="5">
        <f>G9-G8</f>
        <v>5452594.4699999988</v>
      </c>
      <c r="I10" s="1">
        <v>53423.24</v>
      </c>
    </row>
    <row r="11" spans="5:9" x14ac:dyDescent="0.25">
      <c r="I11" s="5">
        <f>SUM(I3:I10)</f>
        <v>4972139.5100000007</v>
      </c>
    </row>
    <row r="14" spans="5:9" x14ac:dyDescent="0.25">
      <c r="E14" s="1" t="s">
        <v>18</v>
      </c>
      <c r="G14" s="1" t="s">
        <v>38</v>
      </c>
    </row>
    <row r="15" spans="5:9" x14ac:dyDescent="0.25">
      <c r="E15" s="1">
        <v>875966.73300000001</v>
      </c>
      <c r="G15" s="1">
        <v>46900.13</v>
      </c>
    </row>
    <row r="16" spans="5:9" x14ac:dyDescent="0.25">
      <c r="E16" s="1">
        <v>906433.66399999999</v>
      </c>
      <c r="G16" s="1">
        <v>2590080.1800000002</v>
      </c>
    </row>
    <row r="17" spans="1:14" x14ac:dyDescent="0.25">
      <c r="E17" s="1">
        <f>SUM(E15:E16)</f>
        <v>1782400.3969999999</v>
      </c>
      <c r="G17" s="1">
        <v>1949709.13</v>
      </c>
    </row>
    <row r="18" spans="1:14" x14ac:dyDescent="0.25">
      <c r="E18" s="1">
        <v>7172327.3300000001</v>
      </c>
      <c r="G18" s="1">
        <v>1366206.83</v>
      </c>
    </row>
    <row r="19" spans="1:14" x14ac:dyDescent="0.25">
      <c r="E19" s="5">
        <f>E18-E17</f>
        <v>5389926.9330000002</v>
      </c>
      <c r="G19" s="1">
        <v>739134.85</v>
      </c>
    </row>
    <row r="20" spans="1:14" x14ac:dyDescent="0.25">
      <c r="G20" s="1">
        <v>379009.28000000003</v>
      </c>
    </row>
    <row r="21" spans="1:14" x14ac:dyDescent="0.25">
      <c r="G21" s="1">
        <v>600581.69999999995</v>
      </c>
    </row>
    <row r="22" spans="1:14" x14ac:dyDescent="0.25">
      <c r="G22" s="1">
        <f>SUM(G15:G21)</f>
        <v>7671622.0999999996</v>
      </c>
    </row>
    <row r="27" spans="1:14" x14ac:dyDescent="0.25">
      <c r="A27" s="15" t="s">
        <v>62</v>
      </c>
      <c r="B27" s="15"/>
      <c r="C27" s="15"/>
      <c r="D27" s="15"/>
      <c r="E27" s="15">
        <v>5035264.49</v>
      </c>
      <c r="F27" s="15"/>
      <c r="G27" s="15"/>
      <c r="H27" s="15"/>
      <c r="I27" s="15"/>
      <c r="J27" s="15">
        <v>1253692.1100000001</v>
      </c>
      <c r="K27" s="15" t="s">
        <v>69</v>
      </c>
      <c r="L27" s="15"/>
      <c r="M27" s="16">
        <v>786119.57500000007</v>
      </c>
      <c r="N27" s="16">
        <v>5502837.0250000004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130" zoomScaleNormal="130" workbookViewId="0">
      <selection activeCell="A2" sqref="A2:N9"/>
    </sheetView>
  </sheetViews>
  <sheetFormatPr defaultRowHeight="15" x14ac:dyDescent="0.25"/>
  <cols>
    <col min="1" max="1" width="33.28515625" customWidth="1"/>
    <col min="2" max="2" width="28.85546875" customWidth="1"/>
    <col min="9" max="9" width="21.140625" customWidth="1"/>
    <col min="13" max="13" width="13.5703125" customWidth="1"/>
    <col min="14" max="14" width="12" customWidth="1"/>
  </cols>
  <sheetData>
    <row r="1" spans="1:14" x14ac:dyDescent="0.25">
      <c r="A1" s="11" t="s">
        <v>60</v>
      </c>
      <c r="B1" s="11"/>
      <c r="C1" s="11"/>
      <c r="D1" s="11">
        <v>2004423.12</v>
      </c>
      <c r="E1" s="11">
        <v>2200388.38</v>
      </c>
      <c r="F1" s="11"/>
      <c r="G1" s="11"/>
      <c r="H1" s="11"/>
      <c r="I1" s="11">
        <v>27775</v>
      </c>
      <c r="J1" s="11"/>
      <c r="K1" s="11"/>
      <c r="L1" s="11"/>
      <c r="M1" s="11">
        <v>529073</v>
      </c>
      <c r="N1" s="11">
        <v>4232587</v>
      </c>
    </row>
    <row r="2" spans="1:14" x14ac:dyDescent="0.25">
      <c r="A2" s="11" t="s">
        <v>61</v>
      </c>
      <c r="B2" s="11"/>
      <c r="C2" s="11"/>
      <c r="D2" s="11"/>
      <c r="E2" s="11"/>
      <c r="F2" s="11"/>
      <c r="G2" s="11"/>
      <c r="H2" s="11"/>
      <c r="I2" s="12">
        <v>10277493</v>
      </c>
      <c r="J2" s="11"/>
      <c r="K2" s="11"/>
      <c r="L2" s="11"/>
      <c r="M2" s="13">
        <v>1284687</v>
      </c>
      <c r="N2" s="13">
        <v>8992806</v>
      </c>
    </row>
    <row r="3" spans="1:14" x14ac:dyDescent="0.25">
      <c r="A3" s="11" t="s">
        <v>62</v>
      </c>
      <c r="B3" s="11"/>
      <c r="C3" s="11"/>
      <c r="D3" s="11"/>
      <c r="E3" s="11">
        <v>5035264.49</v>
      </c>
      <c r="F3" s="11"/>
      <c r="G3" s="11"/>
      <c r="H3" s="11"/>
      <c r="I3" s="11"/>
      <c r="J3" s="11">
        <v>1253692.1100000001</v>
      </c>
      <c r="K3" s="11" t="s">
        <v>69</v>
      </c>
      <c r="L3" s="11"/>
      <c r="M3" s="11">
        <v>786119.57500000007</v>
      </c>
      <c r="N3" s="11">
        <v>5502837.0250000004</v>
      </c>
    </row>
    <row r="4" spans="1:14" x14ac:dyDescent="0.25">
      <c r="A4" s="11" t="s">
        <v>63</v>
      </c>
      <c r="B4" s="11"/>
      <c r="C4" s="11"/>
      <c r="D4" s="11"/>
      <c r="E4" s="11">
        <v>1360415.54</v>
      </c>
      <c r="F4" s="11"/>
      <c r="G4" s="11"/>
      <c r="H4" s="11"/>
      <c r="I4" s="11">
        <v>455742.37</v>
      </c>
      <c r="J4" s="11">
        <v>1831376.254</v>
      </c>
      <c r="K4" s="11"/>
      <c r="L4" s="11"/>
      <c r="M4" s="11">
        <v>455942</v>
      </c>
      <c r="N4" s="11">
        <v>3191592</v>
      </c>
    </row>
    <row r="5" spans="1:14" x14ac:dyDescent="0.25">
      <c r="A5" s="11" t="s">
        <v>64</v>
      </c>
      <c r="B5" s="11"/>
      <c r="C5" s="11"/>
      <c r="D5" s="11">
        <v>5389926.9299999997</v>
      </c>
      <c r="E5" s="11">
        <v>1782400.4</v>
      </c>
      <c r="F5" s="11"/>
      <c r="G5" s="11"/>
      <c r="H5" s="11"/>
      <c r="I5" s="11"/>
      <c r="J5" s="11"/>
      <c r="K5" s="11"/>
      <c r="L5" s="11"/>
      <c r="M5" s="11">
        <v>896541</v>
      </c>
      <c r="N5" s="11">
        <v>6275786</v>
      </c>
    </row>
    <row r="6" spans="1:14" x14ac:dyDescent="0.25">
      <c r="A6" s="11" t="s">
        <v>65</v>
      </c>
      <c r="B6" s="11"/>
      <c r="C6" s="11"/>
      <c r="D6" s="11"/>
      <c r="E6" s="11"/>
      <c r="F6" s="11"/>
      <c r="G6" s="11"/>
      <c r="H6" s="11"/>
      <c r="I6" s="11">
        <v>3499306</v>
      </c>
      <c r="J6" s="11"/>
      <c r="K6" s="11"/>
      <c r="L6" s="11"/>
      <c r="M6" s="11">
        <v>437413</v>
      </c>
      <c r="N6" s="11">
        <v>3061893</v>
      </c>
    </row>
    <row r="7" spans="1:14" x14ac:dyDescent="0.25">
      <c r="A7" s="11" t="s">
        <v>66</v>
      </c>
      <c r="B7" s="11"/>
      <c r="C7" s="11"/>
      <c r="D7" s="11"/>
      <c r="E7" s="11"/>
      <c r="F7" s="11"/>
      <c r="G7" s="11">
        <v>20826914</v>
      </c>
      <c r="H7" s="11"/>
      <c r="I7" s="11"/>
      <c r="J7" s="11"/>
      <c r="K7" s="11"/>
      <c r="L7" s="11"/>
      <c r="M7" s="11">
        <v>2603364</v>
      </c>
      <c r="N7" s="11">
        <v>18223550</v>
      </c>
    </row>
    <row r="8" spans="1:14" x14ac:dyDescent="0.25">
      <c r="A8" s="11" t="s">
        <v>67</v>
      </c>
      <c r="B8" s="11"/>
      <c r="C8" s="11"/>
      <c r="D8" s="11"/>
      <c r="E8" s="11"/>
      <c r="F8" s="11">
        <v>3669874</v>
      </c>
      <c r="G8" s="11"/>
      <c r="H8" s="11"/>
      <c r="I8" s="11"/>
      <c r="J8" s="11"/>
      <c r="K8" s="11"/>
      <c r="L8" s="11"/>
      <c r="M8" s="11">
        <v>458734</v>
      </c>
      <c r="N8" s="11">
        <v>3211140</v>
      </c>
    </row>
    <row r="9" spans="1:14" x14ac:dyDescent="0.25">
      <c r="A9" s="11" t="s">
        <v>68</v>
      </c>
      <c r="B9" s="11"/>
      <c r="C9" s="11"/>
      <c r="D9" s="11"/>
      <c r="E9" s="11"/>
      <c r="F9" s="11"/>
      <c r="G9" s="11">
        <v>24327546</v>
      </c>
      <c r="H9" s="11"/>
      <c r="I9" s="11"/>
      <c r="J9" s="11"/>
      <c r="K9" s="11"/>
      <c r="L9" s="11"/>
      <c r="M9" s="11">
        <v>3040943</v>
      </c>
      <c r="N9" s="11">
        <v>21286603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"/>
  <sheetViews>
    <sheetView zoomScaleNormal="100" workbookViewId="0">
      <selection activeCell="A3" sqref="A3"/>
    </sheetView>
  </sheetViews>
  <sheetFormatPr defaultRowHeight="15" x14ac:dyDescent="0.25"/>
  <cols>
    <col min="1" max="1" width="23.85546875" customWidth="1"/>
    <col min="2" max="21" width="9.7109375" customWidth="1"/>
    <col min="22" max="22" width="10.28515625" customWidth="1"/>
  </cols>
  <sheetData>
    <row r="1" spans="1:22" x14ac:dyDescent="0.25">
      <c r="A1" s="6" t="s">
        <v>90</v>
      </c>
      <c r="B1" s="17" t="s">
        <v>91</v>
      </c>
      <c r="C1" s="17" t="s">
        <v>92</v>
      </c>
      <c r="D1" s="17" t="s">
        <v>93</v>
      </c>
      <c r="E1" s="17" t="s">
        <v>94</v>
      </c>
      <c r="F1" s="17" t="s">
        <v>95</v>
      </c>
      <c r="G1" s="17" t="s">
        <v>96</v>
      </c>
      <c r="H1" s="17" t="s">
        <v>97</v>
      </c>
      <c r="I1" s="17" t="s">
        <v>98</v>
      </c>
      <c r="J1" s="17" t="s">
        <v>99</v>
      </c>
      <c r="K1" s="17" t="s">
        <v>100</v>
      </c>
      <c r="L1" s="17" t="s">
        <v>101</v>
      </c>
      <c r="M1" s="17" t="s">
        <v>102</v>
      </c>
      <c r="N1" s="17" t="s">
        <v>103</v>
      </c>
      <c r="O1" s="17" t="s">
        <v>104</v>
      </c>
      <c r="P1" s="17" t="s">
        <v>105</v>
      </c>
      <c r="Q1" s="17" t="s">
        <v>106</v>
      </c>
      <c r="R1" s="17" t="s">
        <v>107</v>
      </c>
      <c r="S1" s="17" t="s">
        <v>108</v>
      </c>
      <c r="T1" s="17" t="s">
        <v>109</v>
      </c>
      <c r="U1" s="17" t="s">
        <v>110</v>
      </c>
      <c r="V1" s="17" t="s">
        <v>14</v>
      </c>
    </row>
    <row r="2" spans="1:22" x14ac:dyDescent="0.25">
      <c r="A2" s="17" t="s">
        <v>111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7" t="s">
        <v>112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7" t="s">
        <v>113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7" t="s">
        <v>114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7" t="s">
        <v>78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7" t="s">
        <v>84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x14ac:dyDescent="0.25">
      <c r="A8" s="17" t="s">
        <v>115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</row>
    <row r="9" spans="1:22" x14ac:dyDescent="0.25">
      <c r="A9" s="17" t="s">
        <v>116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</row>
    <row r="10" spans="1:22" x14ac:dyDescent="0.25">
      <c r="A10" s="17" t="s">
        <v>117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</row>
    <row r="11" spans="1:22" x14ac:dyDescent="0.25">
      <c r="A11" s="17" t="s">
        <v>118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25">
      <c r="A12" s="17" t="s">
        <v>77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25">
      <c r="A13" s="17" t="s">
        <v>119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25">
      <c r="A14" s="17" t="s">
        <v>120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25">
      <c r="A15" s="17" t="s">
        <v>121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25">
      <c r="A16" s="17" t="s">
        <v>122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25">
      <c r="A17" s="17" t="s">
        <v>89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25">
      <c r="A18" s="17" t="s">
        <v>123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25">
      <c r="A19" s="17" t="s">
        <v>124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25">
      <c r="A20" s="17" t="s">
        <v>125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25">
      <c r="A21" s="17" t="s">
        <v>126</v>
      </c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25">
      <c r="A22" s="17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25">
      <c r="A23" s="17" t="s">
        <v>80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25">
      <c r="A24" s="17" t="s">
        <v>127</v>
      </c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25">
      <c r="A25" s="17" t="s">
        <v>128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25">
      <c r="A26" s="17" t="s">
        <v>129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25">
      <c r="A27" s="17" t="s">
        <v>130</v>
      </c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25">
      <c r="A28" s="18" t="s">
        <v>144</v>
      </c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25">
      <c r="A29" s="18" t="s">
        <v>145</v>
      </c>
      <c r="B29" s="6"/>
      <c r="C29" s="18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25">
      <c r="A30" s="18" t="s">
        <v>146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25">
      <c r="A31" s="18" t="s">
        <v>76</v>
      </c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25">
      <c r="A32" s="17" t="s">
        <v>88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25">
      <c r="A33" s="17" t="s">
        <v>82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25">
      <c r="A34" s="17" t="s">
        <v>86</v>
      </c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25">
      <c r="A35" s="17" t="s">
        <v>85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25">
      <c r="A36" s="17" t="s">
        <v>87</v>
      </c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25">
      <c r="A37" s="17" t="s">
        <v>131</v>
      </c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25">
      <c r="A38" s="17" t="s">
        <v>132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25">
      <c r="A39" s="17" t="s">
        <v>133</v>
      </c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25">
      <c r="A40" s="17" t="s">
        <v>134</v>
      </c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25">
      <c r="A41" s="17" t="s">
        <v>135</v>
      </c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25">
      <c r="A42" s="17" t="s">
        <v>136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25">
      <c r="A43" s="17" t="s">
        <v>137</v>
      </c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25">
      <c r="A44" s="17" t="s">
        <v>138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25">
      <c r="A45" s="17" t="s">
        <v>139</v>
      </c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25">
      <c r="A46" s="17" t="s">
        <v>83</v>
      </c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25">
      <c r="A47" s="17" t="s">
        <v>75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25">
      <c r="A48" s="17" t="s">
        <v>81</v>
      </c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25">
      <c r="A49" s="17" t="s">
        <v>140</v>
      </c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25">
      <c r="A50" s="17" t="s">
        <v>141</v>
      </c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25">
      <c r="A51" s="17" t="s">
        <v>79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25">
      <c r="A52" s="17" t="s">
        <v>142</v>
      </c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25">
      <c r="A53" s="19" t="s">
        <v>72</v>
      </c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25">
      <c r="A54" s="19" t="s">
        <v>73</v>
      </c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25">
      <c r="A55" s="19" t="s">
        <v>143</v>
      </c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zoomScaleNormal="100" workbookViewId="0">
      <selection activeCell="B16" sqref="B16"/>
    </sheetView>
  </sheetViews>
  <sheetFormatPr defaultRowHeight="15" x14ac:dyDescent="0.25"/>
  <cols>
    <col min="1" max="1" width="24.71093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ht="18.75" customHeight="1" x14ac:dyDescent="0.25">
      <c r="A2" s="14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ht="18.75" customHeight="1" x14ac:dyDescent="0.25">
      <c r="A3" s="14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ht="18.75" customHeight="1" x14ac:dyDescent="0.25">
      <c r="A4" s="14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ht="18.75" customHeight="1" x14ac:dyDescent="0.25">
      <c r="A5" s="14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ht="18.75" customHeight="1" x14ac:dyDescent="0.25">
      <c r="A6" s="14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ht="18.75" customHeight="1" x14ac:dyDescent="0.25">
      <c r="A7" s="14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ht="18.75" customHeight="1" x14ac:dyDescent="0.25">
      <c r="A8" s="14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ht="18.75" customHeight="1" x14ac:dyDescent="0.25">
      <c r="A9" s="14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ht="18.75" customHeight="1" x14ac:dyDescent="0.25">
      <c r="A10" s="14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ht="18.75" customHeight="1" x14ac:dyDescent="0.25">
      <c r="A11" s="14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ht="18.75" customHeight="1" x14ac:dyDescent="0.25">
      <c r="A12" s="14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  <row r="13" spans="1:13" s="21" customFormat="1" x14ac:dyDescent="0.25">
      <c r="A13" s="20"/>
    </row>
    <row r="14" spans="1:13" s="21" customFormat="1" x14ac:dyDescent="0.25">
      <c r="A14" s="20"/>
    </row>
    <row r="15" spans="1:13" s="21" customFormat="1" x14ac:dyDescent="0.25">
      <c r="A15" s="20"/>
    </row>
    <row r="16" spans="1:13" s="21" customFormat="1" x14ac:dyDescent="0.25">
      <c r="A16" s="20"/>
    </row>
    <row r="17" spans="1:3" s="21" customFormat="1" x14ac:dyDescent="0.25">
      <c r="A17" s="20"/>
    </row>
    <row r="18" spans="1:3" s="21" customFormat="1" x14ac:dyDescent="0.25">
      <c r="A18" s="20"/>
    </row>
    <row r="19" spans="1:3" s="21" customFormat="1" x14ac:dyDescent="0.25">
      <c r="A19" s="20"/>
    </row>
    <row r="20" spans="1:3" s="21" customFormat="1" x14ac:dyDescent="0.25">
      <c r="A20" s="20"/>
    </row>
    <row r="21" spans="1:3" s="21" customFormat="1" x14ac:dyDescent="0.25">
      <c r="A21" s="20"/>
    </row>
    <row r="22" spans="1:3" s="21" customFormat="1" x14ac:dyDescent="0.25">
      <c r="A22" s="20"/>
    </row>
    <row r="23" spans="1:3" s="21" customFormat="1" x14ac:dyDescent="0.25">
      <c r="A23" s="20"/>
    </row>
    <row r="24" spans="1:3" s="21" customFormat="1" x14ac:dyDescent="0.25">
      <c r="A24" s="20"/>
    </row>
    <row r="25" spans="1:3" s="21" customFormat="1" x14ac:dyDescent="0.25">
      <c r="A25" s="20"/>
    </row>
    <row r="26" spans="1:3" s="21" customFormat="1" x14ac:dyDescent="0.25">
      <c r="A26" s="20"/>
    </row>
    <row r="27" spans="1:3" s="21" customFormat="1" x14ac:dyDescent="0.25">
      <c r="A27" s="20"/>
    </row>
    <row r="28" spans="1:3" s="21" customFormat="1" x14ac:dyDescent="0.25">
      <c r="A28" s="22"/>
    </row>
    <row r="29" spans="1:3" s="21" customFormat="1" x14ac:dyDescent="0.25">
      <c r="A29" s="22"/>
      <c r="C29" s="22"/>
    </row>
    <row r="30" spans="1:3" s="21" customFormat="1" x14ac:dyDescent="0.25">
      <c r="A30" s="22"/>
    </row>
    <row r="31" spans="1:3" s="21" customFormat="1" x14ac:dyDescent="0.25">
      <c r="A31" s="22"/>
    </row>
    <row r="32" spans="1:3" s="21" customFormat="1" x14ac:dyDescent="0.25">
      <c r="A32" s="20"/>
    </row>
    <row r="33" spans="1:1" s="21" customFormat="1" x14ac:dyDescent="0.25">
      <c r="A33" s="20"/>
    </row>
    <row r="34" spans="1:1" s="21" customFormat="1" x14ac:dyDescent="0.25">
      <c r="A34" s="20"/>
    </row>
    <row r="35" spans="1:1" s="21" customFormat="1" x14ac:dyDescent="0.25">
      <c r="A35" s="20"/>
    </row>
    <row r="36" spans="1:1" s="21" customFormat="1" x14ac:dyDescent="0.25">
      <c r="A36" s="20"/>
    </row>
    <row r="37" spans="1:1" s="21" customFormat="1" x14ac:dyDescent="0.25">
      <c r="A37" s="20"/>
    </row>
    <row r="38" spans="1:1" s="21" customFormat="1" x14ac:dyDescent="0.25">
      <c r="A38" s="20"/>
    </row>
    <row r="39" spans="1:1" s="21" customFormat="1" x14ac:dyDescent="0.25">
      <c r="A39" s="20"/>
    </row>
    <row r="40" spans="1:1" s="21" customFormat="1" x14ac:dyDescent="0.25">
      <c r="A40" s="20"/>
    </row>
    <row r="41" spans="1:1" s="21" customFormat="1" x14ac:dyDescent="0.25">
      <c r="A41" s="20"/>
    </row>
    <row r="42" spans="1:1" s="21" customFormat="1" x14ac:dyDescent="0.25">
      <c r="A42" s="20"/>
    </row>
    <row r="43" spans="1:1" s="21" customFormat="1" x14ac:dyDescent="0.25">
      <c r="A43" s="20"/>
    </row>
    <row r="44" spans="1:1" s="21" customFormat="1" x14ac:dyDescent="0.25">
      <c r="A44" s="20"/>
    </row>
    <row r="45" spans="1:1" s="21" customFormat="1" x14ac:dyDescent="0.25">
      <c r="A45" s="20"/>
    </row>
    <row r="46" spans="1:1" s="21" customFormat="1" x14ac:dyDescent="0.25">
      <c r="A46" s="20"/>
    </row>
    <row r="47" spans="1:1" s="21" customFormat="1" x14ac:dyDescent="0.25">
      <c r="A47" s="20"/>
    </row>
    <row r="48" spans="1:1" s="21" customFormat="1" x14ac:dyDescent="0.25">
      <c r="A48" s="20"/>
    </row>
    <row r="49" spans="1:1" s="21" customFormat="1" x14ac:dyDescent="0.25">
      <c r="A49" s="20"/>
    </row>
    <row r="50" spans="1:1" s="21" customFormat="1" x14ac:dyDescent="0.25">
      <c r="A50" s="20"/>
    </row>
    <row r="51" spans="1:1" s="21" customFormat="1" x14ac:dyDescent="0.25">
      <c r="A51" s="20"/>
    </row>
    <row r="52" spans="1:1" s="21" customFormat="1" x14ac:dyDescent="0.25">
      <c r="A52" s="20"/>
    </row>
    <row r="53" spans="1:1" s="21" customFormat="1" x14ac:dyDescent="0.25">
      <c r="A53" s="23"/>
    </row>
    <row r="54" spans="1:1" s="21" customFormat="1" x14ac:dyDescent="0.25">
      <c r="A54" s="23"/>
    </row>
    <row r="55" spans="1:1" s="21" customFormat="1" x14ac:dyDescent="0.25">
      <c r="A55" s="2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zoomScaleNormal="100" workbookViewId="0">
      <selection activeCell="I17" sqref="I17"/>
    </sheetView>
  </sheetViews>
  <sheetFormatPr defaultRowHeight="15" x14ac:dyDescent="0.25"/>
  <cols>
    <col min="1" max="1" width="17.85546875" customWidth="1"/>
    <col min="2" max="13" width="9.7109375" customWidth="1"/>
  </cols>
  <sheetData>
    <row r="1" spans="1:13" x14ac:dyDescent="0.25">
      <c r="A1" s="17" t="s">
        <v>90</v>
      </c>
      <c r="B1" s="17" t="s">
        <v>159</v>
      </c>
      <c r="C1" s="17" t="s">
        <v>148</v>
      </c>
      <c r="D1" s="17" t="s">
        <v>149</v>
      </c>
      <c r="E1" s="17" t="s">
        <v>150</v>
      </c>
      <c r="F1" s="17" t="s">
        <v>151</v>
      </c>
      <c r="G1" s="17" t="s">
        <v>152</v>
      </c>
      <c r="H1" s="17" t="s">
        <v>153</v>
      </c>
      <c r="I1" s="17" t="s">
        <v>154</v>
      </c>
      <c r="J1" s="17" t="s">
        <v>155</v>
      </c>
      <c r="K1" s="17" t="s">
        <v>156</v>
      </c>
      <c r="L1" s="17" t="s">
        <v>157</v>
      </c>
      <c r="M1" s="17" t="s">
        <v>158</v>
      </c>
    </row>
    <row r="2" spans="1:13" x14ac:dyDescent="0.25">
      <c r="A2" s="17" t="s">
        <v>40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</row>
    <row r="3" spans="1:13" x14ac:dyDescent="0.25">
      <c r="A3" s="17" t="s">
        <v>48</v>
      </c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</row>
    <row r="4" spans="1:13" x14ac:dyDescent="0.25">
      <c r="A4" s="17" t="s">
        <v>49</v>
      </c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</row>
    <row r="5" spans="1:13" x14ac:dyDescent="0.25">
      <c r="A5" s="17" t="s">
        <v>50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</row>
    <row r="6" spans="1:13" x14ac:dyDescent="0.25">
      <c r="A6" s="17" t="s">
        <v>51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</row>
    <row r="7" spans="1:13" x14ac:dyDescent="0.25">
      <c r="A7" s="17" t="s">
        <v>52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3" x14ac:dyDescent="0.25">
      <c r="A8" s="17" t="s">
        <v>53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</row>
    <row r="9" spans="1:13" x14ac:dyDescent="0.25">
      <c r="A9" s="17" t="s">
        <v>54</v>
      </c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</row>
    <row r="10" spans="1:13" x14ac:dyDescent="0.25">
      <c r="A10" s="17" t="s">
        <v>55</v>
      </c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</row>
    <row r="11" spans="1:13" x14ac:dyDescent="0.25">
      <c r="A11" s="17" t="s">
        <v>56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</row>
    <row r="12" spans="1:13" x14ac:dyDescent="0.25">
      <c r="A12" s="17" t="s">
        <v>71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IPC_Dist</vt:lpstr>
      <vt:lpstr>Sheet1</vt:lpstr>
      <vt:lpstr>Sheet5</vt:lpstr>
      <vt:lpstr>Sheet3</vt:lpstr>
      <vt:lpstr>Sheet2</vt:lpstr>
      <vt:lpstr>Package_wise_cost</vt:lpstr>
      <vt:lpstr>Monthly_Rpa</vt:lpstr>
      <vt:lpstr>Monthly_Gob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2020-12-01T04:39:02Z</dcterms:modified>
</cp:coreProperties>
</file>