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Office Work\IMED\DPP_Revised\"/>
    </mc:Choice>
  </mc:AlternateContent>
  <bookViews>
    <workbookView xWindow="-105" yWindow="-105" windowWidth="19425" windowHeight="10425"/>
  </bookViews>
  <sheets>
    <sheet name="Revised_2nd" sheetId="1" r:id="rId1"/>
    <sheet name="Sheet1" sheetId="2" r:id="rId2"/>
    <sheet name="9.Detil Phasing" sheetId="3" r:id="rId3"/>
    <sheet name="Annex-II" sheetId="4" r:id="rId4"/>
    <sheet name="Inves._Cost" sheetId="5" r:id="rId5"/>
    <sheet name="Crop. Pattern" sheetId="6" r:id="rId6"/>
    <sheet name="FIRR" sheetId="7" r:id="rId7"/>
    <sheet name="Sheet2" sheetId="8" r:id="rId8"/>
    <sheet name="EIRR" sheetId="9" r:id="rId9"/>
    <sheet name="Annex-IV" sheetId="10" r:id="rId10"/>
    <sheet name="FIRR_Backup" sheetId="11" r:id="rId11"/>
    <sheet name="Package_wise_quantity" sheetId="12" r:id="rId12"/>
    <sheet name="Package_wise_cost" sheetId="13" r:id="rId13"/>
    <sheet name="Haor_wise_quantity" sheetId="14" r:id="rId14"/>
    <sheet name="distribution_of_cost" sheetId="15" r:id="rId15"/>
  </sheets>
  <definedNames>
    <definedName name="_xlnm.Print_Area" localSheetId="2">'9.Detil Phasing'!$A$1:$AQ$100</definedName>
    <definedName name="_xlnm.Print_Area" localSheetId="3">'Annex-II'!$A$1:$AF$99</definedName>
    <definedName name="_xlnm.Print_Area" localSheetId="14">distribution_of_cost!$A$1:$F$11</definedName>
    <definedName name="_xlnm.Print_Area" localSheetId="13">Haor_wise_quantity!$A$1:$U$33</definedName>
    <definedName name="_xlnm.Print_Area" localSheetId="4">Inves._Cost!$A$1:$U$98</definedName>
    <definedName name="_xlnm.Print_Area" localSheetId="12">Package_wise_cost!$A$1:$T$57</definedName>
    <definedName name="_xlnm.Print_Area" localSheetId="0">Revised_2nd!$A$1:$AD$110</definedName>
    <definedName name="_xlnm.Print_Titles" localSheetId="2">'9.Detil Phasing'!$1:$7,'9.Detil Phasing'!$A:$C</definedName>
    <definedName name="_xlnm.Print_Titles" localSheetId="3">'Annex-II'!$1:$6,'Annex-II'!$A:$H</definedName>
    <definedName name="_xlnm.Print_Titles" localSheetId="13">Haor_wise_quantity!$1:$1</definedName>
    <definedName name="_xlnm.Print_Titles" localSheetId="4">Inves._Cost!$1:$6</definedName>
    <definedName name="_xlnm.Print_Titles" localSheetId="12">Package_wise_cost!$1:$1</definedName>
  </definedNames>
  <calcPr calcId="162913"/>
</workbook>
</file>

<file path=xl/calcChain.xml><?xml version="1.0" encoding="utf-8"?>
<calcChain xmlns="http://schemas.openxmlformats.org/spreadsheetml/2006/main">
  <c r="F11" i="15" l="1"/>
  <c r="E11" i="15"/>
  <c r="D11" i="15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T5" i="13"/>
  <c r="T4" i="13"/>
  <c r="T3" i="13"/>
  <c r="T2" i="13"/>
  <c r="T57" i="12"/>
  <c r="S57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F38" i="11"/>
  <c r="B38" i="11"/>
  <c r="E18" i="11"/>
  <c r="G17" i="11"/>
  <c r="C17" i="11"/>
  <c r="D17" i="11" s="1"/>
  <c r="E16" i="11"/>
  <c r="G16" i="11" s="1"/>
  <c r="H16" i="11" s="1"/>
  <c r="D16" i="11"/>
  <c r="G15" i="11"/>
  <c r="E15" i="11"/>
  <c r="D15" i="11"/>
  <c r="H15" i="11" s="1"/>
  <c r="E14" i="11"/>
  <c r="G14" i="11" s="1"/>
  <c r="H14" i="11" s="1"/>
  <c r="D14" i="11"/>
  <c r="G13" i="11"/>
  <c r="H13" i="11" s="1"/>
  <c r="E13" i="11"/>
  <c r="D13" i="11"/>
  <c r="H12" i="11"/>
  <c r="G12" i="11"/>
  <c r="D12" i="11"/>
  <c r="A12" i="1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H11" i="11"/>
  <c r="G11" i="11"/>
  <c r="D11" i="11"/>
  <c r="A11" i="11"/>
  <c r="G10" i="11"/>
  <c r="H10" i="11" s="1"/>
  <c r="D10" i="11"/>
  <c r="H9" i="11"/>
  <c r="G9" i="11"/>
  <c r="D9" i="11"/>
  <c r="A9" i="11"/>
  <c r="A10" i="11" s="1"/>
  <c r="H8" i="11"/>
  <c r="G8" i="11"/>
  <c r="D8" i="11"/>
  <c r="K48" i="10"/>
  <c r="K47" i="10"/>
  <c r="I47" i="10"/>
  <c r="K46" i="10"/>
  <c r="C42" i="10"/>
  <c r="K41" i="10"/>
  <c r="J41" i="10"/>
  <c r="J47" i="10" s="1"/>
  <c r="I41" i="10"/>
  <c r="C41" i="10"/>
  <c r="K40" i="10"/>
  <c r="K42" i="10" s="1"/>
  <c r="J40" i="10"/>
  <c r="J46" i="10" s="1"/>
  <c r="J48" i="10" s="1"/>
  <c r="I40" i="10"/>
  <c r="C40" i="10"/>
  <c r="C39" i="10"/>
  <c r="C38" i="10"/>
  <c r="C37" i="10"/>
  <c r="L36" i="10"/>
  <c r="K36" i="10"/>
  <c r="J36" i="10"/>
  <c r="I36" i="10"/>
  <c r="C36" i="10"/>
  <c r="L35" i="10"/>
  <c r="C35" i="10"/>
  <c r="L34" i="10"/>
  <c r="C34" i="10"/>
  <c r="C33" i="10"/>
  <c r="C32" i="10"/>
  <c r="C31" i="10"/>
  <c r="C30" i="10"/>
  <c r="K29" i="10"/>
  <c r="J29" i="10"/>
  <c r="I29" i="10"/>
  <c r="C29" i="10"/>
  <c r="L28" i="10"/>
  <c r="C28" i="10"/>
  <c r="L27" i="10"/>
  <c r="L29" i="10" s="1"/>
  <c r="C27" i="10"/>
  <c r="C26" i="10"/>
  <c r="C25" i="10"/>
  <c r="C24" i="10"/>
  <c r="C23" i="10"/>
  <c r="J22" i="10"/>
  <c r="I22" i="10"/>
  <c r="I30" i="10" s="1"/>
  <c r="C22" i="10"/>
  <c r="K21" i="10"/>
  <c r="K22" i="10" s="1"/>
  <c r="K30" i="10" s="1"/>
  <c r="J21" i="10"/>
  <c r="I21" i="10"/>
  <c r="C21" i="10"/>
  <c r="L20" i="10"/>
  <c r="L21" i="10" s="1"/>
  <c r="C20" i="10"/>
  <c r="C43" i="10" s="1"/>
  <c r="L19" i="10"/>
  <c r="C19" i="10"/>
  <c r="C18" i="10"/>
  <c r="C17" i="10"/>
  <c r="C16" i="10"/>
  <c r="L15" i="10"/>
  <c r="L22" i="10" s="1"/>
  <c r="L30" i="10" s="1"/>
  <c r="K15" i="10"/>
  <c r="J15" i="10"/>
  <c r="I15" i="10"/>
  <c r="C15" i="10"/>
  <c r="L14" i="10"/>
  <c r="D14" i="10"/>
  <c r="C14" i="10"/>
  <c r="E14" i="10" s="1"/>
  <c r="L13" i="10"/>
  <c r="F13" i="10"/>
  <c r="B14" i="10" s="1"/>
  <c r="E13" i="10"/>
  <c r="D13" i="10"/>
  <c r="C13" i="10"/>
  <c r="F38" i="9"/>
  <c r="B38" i="9"/>
  <c r="G24" i="9"/>
  <c r="G23" i="9"/>
  <c r="E22" i="9"/>
  <c r="E23" i="9" s="1"/>
  <c r="E24" i="9" s="1"/>
  <c r="E25" i="9" s="1"/>
  <c r="G21" i="9"/>
  <c r="E20" i="9"/>
  <c r="E21" i="9" s="1"/>
  <c r="G19" i="9"/>
  <c r="C19" i="9"/>
  <c r="H18" i="9"/>
  <c r="G18" i="9"/>
  <c r="E18" i="9"/>
  <c r="E19" i="9" s="1"/>
  <c r="C18" i="9"/>
  <c r="D18" i="9" s="1"/>
  <c r="G17" i="9"/>
  <c r="H17" i="9" s="1"/>
  <c r="D17" i="9"/>
  <c r="H16" i="9"/>
  <c r="E16" i="9"/>
  <c r="G16" i="9" s="1"/>
  <c r="D16" i="9"/>
  <c r="E15" i="9"/>
  <c r="G15" i="9" s="1"/>
  <c r="G14" i="9"/>
  <c r="E14" i="9"/>
  <c r="C14" i="9"/>
  <c r="E13" i="9"/>
  <c r="G13" i="9" s="1"/>
  <c r="H13" i="9" s="1"/>
  <c r="D13" i="9"/>
  <c r="A13" i="9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G12" i="9"/>
  <c r="D12" i="9"/>
  <c r="H12" i="9" s="1"/>
  <c r="H11" i="9"/>
  <c r="G11" i="9"/>
  <c r="D11" i="9"/>
  <c r="G10" i="9"/>
  <c r="H10" i="9" s="1"/>
  <c r="D10" i="9"/>
  <c r="A10" i="9"/>
  <c r="A11" i="9" s="1"/>
  <c r="A12" i="9" s="1"/>
  <c r="G9" i="9"/>
  <c r="D9" i="9"/>
  <c r="H9" i="9" s="1"/>
  <c r="A9" i="9"/>
  <c r="G8" i="9"/>
  <c r="D8" i="9"/>
  <c r="F38" i="7"/>
  <c r="B38" i="7"/>
  <c r="G19" i="7"/>
  <c r="E19" i="7"/>
  <c r="E20" i="7" s="1"/>
  <c r="C19" i="7"/>
  <c r="H18" i="7"/>
  <c r="G18" i="7"/>
  <c r="E18" i="7"/>
  <c r="D18" i="7"/>
  <c r="C18" i="7"/>
  <c r="G17" i="7"/>
  <c r="H17" i="7" s="1"/>
  <c r="C17" i="7"/>
  <c r="D17" i="7" s="1"/>
  <c r="H16" i="7"/>
  <c r="G16" i="7"/>
  <c r="E16" i="7"/>
  <c r="D16" i="7"/>
  <c r="E15" i="7"/>
  <c r="G15" i="7" s="1"/>
  <c r="D15" i="7"/>
  <c r="E14" i="7"/>
  <c r="G14" i="7" s="1"/>
  <c r="H14" i="7" s="1"/>
  <c r="D14" i="7"/>
  <c r="G13" i="7"/>
  <c r="H13" i="7" s="1"/>
  <c r="E13" i="7"/>
  <c r="D13" i="7"/>
  <c r="H12" i="7"/>
  <c r="G12" i="7"/>
  <c r="D12" i="7"/>
  <c r="H11" i="7"/>
  <c r="G11" i="7"/>
  <c r="D11" i="7"/>
  <c r="G10" i="7"/>
  <c r="D10" i="7"/>
  <c r="H10" i="7" s="1"/>
  <c r="H9" i="7"/>
  <c r="G9" i="7"/>
  <c r="D9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G8" i="7"/>
  <c r="D8" i="7"/>
  <c r="H146" i="6"/>
  <c r="H114" i="6"/>
  <c r="H116" i="6" s="1"/>
  <c r="H135" i="6" s="1"/>
  <c r="E114" i="6"/>
  <c r="E116" i="6" s="1"/>
  <c r="E135" i="6" s="1"/>
  <c r="H104" i="6"/>
  <c r="H102" i="6"/>
  <c r="E102" i="6"/>
  <c r="E104" i="6" s="1"/>
  <c r="E146" i="6" s="1"/>
  <c r="H89" i="6"/>
  <c r="H88" i="6"/>
  <c r="G87" i="6"/>
  <c r="F87" i="6"/>
  <c r="H87" i="6" s="1"/>
  <c r="F85" i="6"/>
  <c r="G84" i="6"/>
  <c r="F84" i="6"/>
  <c r="H84" i="6" s="1"/>
  <c r="F83" i="6"/>
  <c r="H82" i="6"/>
  <c r="G82" i="6"/>
  <c r="F82" i="6"/>
  <c r="F81" i="6"/>
  <c r="H79" i="6"/>
  <c r="G79" i="6"/>
  <c r="F79" i="6"/>
  <c r="G78" i="6"/>
  <c r="F78" i="6"/>
  <c r="H78" i="6" s="1"/>
  <c r="H77" i="6"/>
  <c r="G77" i="6"/>
  <c r="F77" i="6"/>
  <c r="G76" i="6"/>
  <c r="F76" i="6"/>
  <c r="H76" i="6" s="1"/>
  <c r="G75" i="6"/>
  <c r="F75" i="6"/>
  <c r="H73" i="6"/>
  <c r="G73" i="6"/>
  <c r="H66" i="6"/>
  <c r="H65" i="6"/>
  <c r="F64" i="6"/>
  <c r="F63" i="6"/>
  <c r="F62" i="6"/>
  <c r="H60" i="6"/>
  <c r="G60" i="6"/>
  <c r="F60" i="6"/>
  <c r="G59" i="6"/>
  <c r="F59" i="6"/>
  <c r="H59" i="6" s="1"/>
  <c r="F58" i="6"/>
  <c r="H56" i="6"/>
  <c r="G56" i="6"/>
  <c r="E39" i="6"/>
  <c r="L38" i="6"/>
  <c r="D81" i="6" s="1"/>
  <c r="J38" i="6"/>
  <c r="D72" i="6" s="1"/>
  <c r="C38" i="6"/>
  <c r="L37" i="6"/>
  <c r="N37" i="6" s="1"/>
  <c r="N38" i="6" s="1"/>
  <c r="D85" i="6" s="1"/>
  <c r="G85" i="6" s="1"/>
  <c r="K37" i="6"/>
  <c r="K38" i="6" s="1"/>
  <c r="D75" i="6" s="1"/>
  <c r="H75" i="6" s="1"/>
  <c r="J37" i="6"/>
  <c r="H37" i="6"/>
  <c r="H38" i="6" s="1"/>
  <c r="E130" i="6" s="1"/>
  <c r="G37" i="6"/>
  <c r="E37" i="6"/>
  <c r="I37" i="6" s="1"/>
  <c r="I38" i="6" s="1"/>
  <c r="H130" i="6" s="1"/>
  <c r="E13" i="6"/>
  <c r="J11" i="6"/>
  <c r="D55" i="6" s="1"/>
  <c r="C11" i="6"/>
  <c r="M10" i="6"/>
  <c r="L10" i="6"/>
  <c r="N10" i="6" s="1"/>
  <c r="K10" i="6"/>
  <c r="K11" i="6" s="1"/>
  <c r="D58" i="6" s="1"/>
  <c r="J10" i="6"/>
  <c r="G10" i="6"/>
  <c r="E10" i="6"/>
  <c r="L9" i="6"/>
  <c r="K9" i="6"/>
  <c r="J9" i="6"/>
  <c r="I9" i="6"/>
  <c r="H9" i="6"/>
  <c r="G9" i="6"/>
  <c r="E9" i="6"/>
  <c r="U97" i="5"/>
  <c r="T97" i="5"/>
  <c r="S97" i="5"/>
  <c r="R97" i="5"/>
  <c r="Q97" i="5"/>
  <c r="P97" i="5"/>
  <c r="O97" i="5"/>
  <c r="N97" i="5"/>
  <c r="U96" i="5"/>
  <c r="T96" i="5"/>
  <c r="S96" i="5"/>
  <c r="R96" i="5"/>
  <c r="Q96" i="5"/>
  <c r="P96" i="5"/>
  <c r="O96" i="5"/>
  <c r="N96" i="5"/>
  <c r="G95" i="5"/>
  <c r="G98" i="5" s="1"/>
  <c r="L94" i="5"/>
  <c r="L95" i="5" s="1"/>
  <c r="L98" i="5" s="1"/>
  <c r="K94" i="5"/>
  <c r="K95" i="5" s="1"/>
  <c r="K98" i="5" s="1"/>
  <c r="J94" i="5"/>
  <c r="I94" i="5"/>
  <c r="H94" i="5"/>
  <c r="G94" i="5"/>
  <c r="F94" i="5"/>
  <c r="F95" i="5" s="1"/>
  <c r="F98" i="5" s="1"/>
  <c r="E94" i="5"/>
  <c r="D94" i="5"/>
  <c r="D95" i="5" s="1"/>
  <c r="D98" i="5" s="1"/>
  <c r="Y93" i="5"/>
  <c r="W93" i="5"/>
  <c r="Z93" i="5" s="1"/>
  <c r="U93" i="5"/>
  <c r="T93" i="5"/>
  <c r="S93" i="5"/>
  <c r="R93" i="5"/>
  <c r="Q93" i="5"/>
  <c r="P93" i="5"/>
  <c r="O93" i="5"/>
  <c r="X93" i="5" s="1"/>
  <c r="N93" i="5"/>
  <c r="Y92" i="5"/>
  <c r="X92" i="5"/>
  <c r="W92" i="5"/>
  <c r="Z92" i="5" s="1"/>
  <c r="U92" i="5"/>
  <c r="T92" i="5"/>
  <c r="S92" i="5"/>
  <c r="R92" i="5"/>
  <c r="Q92" i="5"/>
  <c r="P92" i="5"/>
  <c r="O92" i="5"/>
  <c r="N92" i="5"/>
  <c r="U91" i="5"/>
  <c r="T91" i="5"/>
  <c r="S91" i="5"/>
  <c r="R91" i="5"/>
  <c r="Q91" i="5"/>
  <c r="P91" i="5"/>
  <c r="O91" i="5"/>
  <c r="N91" i="5"/>
  <c r="Y90" i="5"/>
  <c r="W90" i="5"/>
  <c r="Z90" i="5" s="1"/>
  <c r="U90" i="5"/>
  <c r="T90" i="5"/>
  <c r="S90" i="5"/>
  <c r="R90" i="5"/>
  <c r="Q90" i="5"/>
  <c r="P90" i="5"/>
  <c r="O90" i="5"/>
  <c r="N90" i="5"/>
  <c r="Y89" i="5"/>
  <c r="W89" i="5"/>
  <c r="Z89" i="5" s="1"/>
  <c r="U89" i="5"/>
  <c r="T89" i="5"/>
  <c r="S89" i="5"/>
  <c r="R89" i="5"/>
  <c r="Q89" i="5"/>
  <c r="X89" i="5" s="1"/>
  <c r="P89" i="5"/>
  <c r="O89" i="5"/>
  <c r="N89" i="5"/>
  <c r="Y88" i="5"/>
  <c r="W88" i="5"/>
  <c r="U88" i="5"/>
  <c r="T88" i="5"/>
  <c r="S88" i="5"/>
  <c r="R88" i="5"/>
  <c r="Q88" i="5"/>
  <c r="P88" i="5"/>
  <c r="O88" i="5"/>
  <c r="N88" i="5"/>
  <c r="X88" i="5" s="1"/>
  <c r="Y87" i="5"/>
  <c r="W87" i="5"/>
  <c r="U87" i="5"/>
  <c r="T87" i="5"/>
  <c r="S87" i="5"/>
  <c r="R87" i="5"/>
  <c r="X87" i="5" s="1"/>
  <c r="Q87" i="5"/>
  <c r="P87" i="5"/>
  <c r="O87" i="5"/>
  <c r="N87" i="5"/>
  <c r="Y86" i="5"/>
  <c r="W86" i="5"/>
  <c r="Z86" i="5" s="1"/>
  <c r="U86" i="5"/>
  <c r="T86" i="5"/>
  <c r="S86" i="5"/>
  <c r="R86" i="5"/>
  <c r="Q86" i="5"/>
  <c r="P86" i="5"/>
  <c r="O86" i="5"/>
  <c r="N86" i="5"/>
  <c r="Y84" i="5"/>
  <c r="W84" i="5"/>
  <c r="Z84" i="5" s="1"/>
  <c r="U84" i="5"/>
  <c r="T84" i="5"/>
  <c r="S84" i="5"/>
  <c r="R84" i="5"/>
  <c r="Q84" i="5"/>
  <c r="P84" i="5"/>
  <c r="O84" i="5"/>
  <c r="N84" i="5"/>
  <c r="X84" i="5" s="1"/>
  <c r="Y83" i="5"/>
  <c r="W83" i="5"/>
  <c r="U83" i="5"/>
  <c r="T83" i="5"/>
  <c r="S83" i="5"/>
  <c r="R83" i="5"/>
  <c r="Q83" i="5"/>
  <c r="X83" i="5" s="1"/>
  <c r="P83" i="5"/>
  <c r="O83" i="5"/>
  <c r="N83" i="5"/>
  <c r="Y82" i="5"/>
  <c r="W82" i="5"/>
  <c r="U82" i="5"/>
  <c r="T82" i="5"/>
  <c r="S82" i="5"/>
  <c r="X82" i="5" s="1"/>
  <c r="R82" i="5"/>
  <c r="Q82" i="5"/>
  <c r="P82" i="5"/>
  <c r="O82" i="5"/>
  <c r="N82" i="5"/>
  <c r="Y81" i="5"/>
  <c r="X81" i="5"/>
  <c r="W81" i="5"/>
  <c r="Z81" i="5" s="1"/>
  <c r="U80" i="5"/>
  <c r="T80" i="5"/>
  <c r="S80" i="5"/>
  <c r="R80" i="5"/>
  <c r="Q80" i="5"/>
  <c r="P80" i="5"/>
  <c r="O80" i="5"/>
  <c r="N80" i="5"/>
  <c r="Y79" i="5"/>
  <c r="X79" i="5"/>
  <c r="W79" i="5"/>
  <c r="Y77" i="5"/>
  <c r="W77" i="5"/>
  <c r="Z77" i="5" s="1"/>
  <c r="U77" i="5"/>
  <c r="T77" i="5"/>
  <c r="S77" i="5"/>
  <c r="R77" i="5"/>
  <c r="Q77" i="5"/>
  <c r="P77" i="5"/>
  <c r="O77" i="5"/>
  <c r="N77" i="5"/>
  <c r="U75" i="5"/>
  <c r="T75" i="5"/>
  <c r="S75" i="5"/>
  <c r="R75" i="5"/>
  <c r="Q75" i="5"/>
  <c r="P75" i="5"/>
  <c r="O75" i="5"/>
  <c r="N75" i="5"/>
  <c r="U74" i="5"/>
  <c r="T74" i="5"/>
  <c r="S74" i="5"/>
  <c r="R74" i="5"/>
  <c r="Q74" i="5"/>
  <c r="P74" i="5"/>
  <c r="O74" i="5"/>
  <c r="N74" i="5"/>
  <c r="U73" i="5"/>
  <c r="T73" i="5"/>
  <c r="S73" i="5"/>
  <c r="R73" i="5"/>
  <c r="Q73" i="5"/>
  <c r="P73" i="5"/>
  <c r="O73" i="5"/>
  <c r="N73" i="5"/>
  <c r="Y72" i="5"/>
  <c r="W72" i="5"/>
  <c r="Z72" i="5" s="1"/>
  <c r="U72" i="5"/>
  <c r="T72" i="5"/>
  <c r="S72" i="5"/>
  <c r="R72" i="5"/>
  <c r="Q72" i="5"/>
  <c r="P72" i="5"/>
  <c r="O72" i="5"/>
  <c r="N72" i="5"/>
  <c r="X72" i="5" s="1"/>
  <c r="Y71" i="5"/>
  <c r="W71" i="5"/>
  <c r="Z71" i="5" s="1"/>
  <c r="U71" i="5"/>
  <c r="T71" i="5"/>
  <c r="S71" i="5"/>
  <c r="R71" i="5"/>
  <c r="Q71" i="5"/>
  <c r="P71" i="5"/>
  <c r="O71" i="5"/>
  <c r="N71" i="5"/>
  <c r="Y70" i="5"/>
  <c r="W70" i="5"/>
  <c r="Z70" i="5" s="1"/>
  <c r="U70" i="5"/>
  <c r="T70" i="5"/>
  <c r="S70" i="5"/>
  <c r="R70" i="5"/>
  <c r="Q70" i="5"/>
  <c r="P70" i="5"/>
  <c r="O70" i="5"/>
  <c r="N70" i="5"/>
  <c r="X70" i="5" s="1"/>
  <c r="Y68" i="5"/>
  <c r="W68" i="5"/>
  <c r="Z68" i="5" s="1"/>
  <c r="U68" i="5"/>
  <c r="T68" i="5"/>
  <c r="S68" i="5"/>
  <c r="R68" i="5"/>
  <c r="Q68" i="5"/>
  <c r="P68" i="5"/>
  <c r="O68" i="5"/>
  <c r="N68" i="5"/>
  <c r="X68" i="5" s="1"/>
  <c r="Y67" i="5"/>
  <c r="X67" i="5"/>
  <c r="W67" i="5"/>
  <c r="Z67" i="5" s="1"/>
  <c r="U67" i="5"/>
  <c r="T67" i="5"/>
  <c r="S67" i="5"/>
  <c r="R67" i="5"/>
  <c r="Q67" i="5"/>
  <c r="P67" i="5"/>
  <c r="O67" i="5"/>
  <c r="N67" i="5"/>
  <c r="Y66" i="5"/>
  <c r="W66" i="5"/>
  <c r="Z66" i="5" s="1"/>
  <c r="U66" i="5"/>
  <c r="T66" i="5"/>
  <c r="S66" i="5"/>
  <c r="R66" i="5"/>
  <c r="Q66" i="5"/>
  <c r="P66" i="5"/>
  <c r="O66" i="5"/>
  <c r="N66" i="5"/>
  <c r="Y64" i="5"/>
  <c r="W64" i="5"/>
  <c r="Z64" i="5" s="1"/>
  <c r="U64" i="5"/>
  <c r="X64" i="5" s="1"/>
  <c r="T64" i="5"/>
  <c r="S64" i="5"/>
  <c r="R64" i="5"/>
  <c r="Q64" i="5"/>
  <c r="P64" i="5"/>
  <c r="O64" i="5"/>
  <c r="N64" i="5"/>
  <c r="Y63" i="5"/>
  <c r="W63" i="5"/>
  <c r="Z63" i="5" s="1"/>
  <c r="U63" i="5"/>
  <c r="T63" i="5"/>
  <c r="S63" i="5"/>
  <c r="R63" i="5"/>
  <c r="Q63" i="5"/>
  <c r="P63" i="5"/>
  <c r="O63" i="5"/>
  <c r="N63" i="5"/>
  <c r="X63" i="5" s="1"/>
  <c r="U61" i="5"/>
  <c r="T61" i="5"/>
  <c r="S61" i="5"/>
  <c r="R61" i="5"/>
  <c r="Q61" i="5"/>
  <c r="P61" i="5"/>
  <c r="O61" i="5"/>
  <c r="N61" i="5"/>
  <c r="Y59" i="5"/>
  <c r="W59" i="5"/>
  <c r="U59" i="5"/>
  <c r="T59" i="5"/>
  <c r="S59" i="5"/>
  <c r="R59" i="5"/>
  <c r="Q59" i="5"/>
  <c r="P59" i="5"/>
  <c r="O59" i="5"/>
  <c r="N59" i="5"/>
  <c r="X59" i="5" s="1"/>
  <c r="Y58" i="5"/>
  <c r="W58" i="5"/>
  <c r="Z58" i="5" s="1"/>
  <c r="U58" i="5"/>
  <c r="T58" i="5"/>
  <c r="S58" i="5"/>
  <c r="R58" i="5"/>
  <c r="Q58" i="5"/>
  <c r="P58" i="5"/>
  <c r="O58" i="5"/>
  <c r="N58" i="5"/>
  <c r="X58" i="5" s="1"/>
  <c r="Y57" i="5"/>
  <c r="X57" i="5"/>
  <c r="W57" i="5"/>
  <c r="Y54" i="5"/>
  <c r="L54" i="5"/>
  <c r="K54" i="5"/>
  <c r="J54" i="5"/>
  <c r="I54" i="5"/>
  <c r="I95" i="5" s="1"/>
  <c r="I98" i="5" s="1"/>
  <c r="H54" i="5"/>
  <c r="G54" i="5"/>
  <c r="F54" i="5"/>
  <c r="E54" i="5"/>
  <c r="W54" i="5" s="1"/>
  <c r="D54" i="5"/>
  <c r="Y53" i="5"/>
  <c r="Z53" i="5" s="1"/>
  <c r="W53" i="5"/>
  <c r="U53" i="5"/>
  <c r="T53" i="5"/>
  <c r="S53" i="5"/>
  <c r="R53" i="5"/>
  <c r="Q53" i="5"/>
  <c r="P53" i="5"/>
  <c r="O53" i="5"/>
  <c r="N53" i="5"/>
  <c r="Y52" i="5"/>
  <c r="Z52" i="5" s="1"/>
  <c r="W52" i="5"/>
  <c r="U52" i="5"/>
  <c r="T52" i="5"/>
  <c r="S52" i="5"/>
  <c r="R52" i="5"/>
  <c r="Q52" i="5"/>
  <c r="P52" i="5"/>
  <c r="O52" i="5"/>
  <c r="X52" i="5" s="1"/>
  <c r="N52" i="5"/>
  <c r="Y51" i="5"/>
  <c r="Z51" i="5" s="1"/>
  <c r="W51" i="5"/>
  <c r="U51" i="5"/>
  <c r="T51" i="5"/>
  <c r="S51" i="5"/>
  <c r="R51" i="5"/>
  <c r="Q51" i="5"/>
  <c r="P51" i="5"/>
  <c r="O51" i="5"/>
  <c r="N51" i="5"/>
  <c r="U49" i="5"/>
  <c r="T49" i="5"/>
  <c r="S49" i="5"/>
  <c r="R49" i="5"/>
  <c r="Q49" i="5"/>
  <c r="P49" i="5"/>
  <c r="O49" i="5"/>
  <c r="N49" i="5"/>
  <c r="Y48" i="5"/>
  <c r="W48" i="5"/>
  <c r="Z48" i="5" s="1"/>
  <c r="U48" i="5"/>
  <c r="T48" i="5"/>
  <c r="S48" i="5"/>
  <c r="R48" i="5"/>
  <c r="Q48" i="5"/>
  <c r="P48" i="5"/>
  <c r="O48" i="5"/>
  <c r="N48" i="5"/>
  <c r="Y47" i="5"/>
  <c r="W47" i="5"/>
  <c r="Z47" i="5" s="1"/>
  <c r="U47" i="5"/>
  <c r="T47" i="5"/>
  <c r="S47" i="5"/>
  <c r="R47" i="5"/>
  <c r="Q47" i="5"/>
  <c r="P47" i="5"/>
  <c r="O47" i="5"/>
  <c r="N47" i="5"/>
  <c r="Y46" i="5"/>
  <c r="W46" i="5"/>
  <c r="Z46" i="5" s="1"/>
  <c r="U46" i="5"/>
  <c r="T46" i="5"/>
  <c r="S46" i="5"/>
  <c r="R46" i="5"/>
  <c r="Q46" i="5"/>
  <c r="P46" i="5"/>
  <c r="O46" i="5"/>
  <c r="N46" i="5"/>
  <c r="X46" i="5" s="1"/>
  <c r="U45" i="5"/>
  <c r="T45" i="5"/>
  <c r="S45" i="5"/>
  <c r="R45" i="5"/>
  <c r="Q45" i="5"/>
  <c r="P45" i="5"/>
  <c r="O45" i="5"/>
  <c r="N45" i="5"/>
  <c r="U44" i="5"/>
  <c r="T44" i="5"/>
  <c r="S44" i="5"/>
  <c r="R44" i="5"/>
  <c r="Q44" i="5"/>
  <c r="P44" i="5"/>
  <c r="O44" i="5"/>
  <c r="N44" i="5"/>
  <c r="U43" i="5"/>
  <c r="T43" i="5"/>
  <c r="S43" i="5"/>
  <c r="R43" i="5"/>
  <c r="Q43" i="5"/>
  <c r="P43" i="5"/>
  <c r="O43" i="5"/>
  <c r="N43" i="5"/>
  <c r="Y41" i="5"/>
  <c r="U41" i="5"/>
  <c r="T41" i="5"/>
  <c r="S41" i="5"/>
  <c r="R41" i="5"/>
  <c r="Q41" i="5"/>
  <c r="P41" i="5"/>
  <c r="O41" i="5"/>
  <c r="N41" i="5"/>
  <c r="Y40" i="5"/>
  <c r="Z40" i="5" s="1"/>
  <c r="W40" i="5"/>
  <c r="U40" i="5"/>
  <c r="T40" i="5"/>
  <c r="S40" i="5"/>
  <c r="R40" i="5"/>
  <c r="Q40" i="5"/>
  <c r="P40" i="5"/>
  <c r="O40" i="5"/>
  <c r="N40" i="5"/>
  <c r="U39" i="5"/>
  <c r="T39" i="5"/>
  <c r="S39" i="5"/>
  <c r="R39" i="5"/>
  <c r="Q39" i="5"/>
  <c r="P39" i="5"/>
  <c r="O39" i="5"/>
  <c r="N39" i="5"/>
  <c r="U38" i="5"/>
  <c r="T38" i="5"/>
  <c r="S38" i="5"/>
  <c r="R38" i="5"/>
  <c r="Q38" i="5"/>
  <c r="P38" i="5"/>
  <c r="O38" i="5"/>
  <c r="N38" i="5"/>
  <c r="U37" i="5"/>
  <c r="T37" i="5"/>
  <c r="S37" i="5"/>
  <c r="R37" i="5"/>
  <c r="Q37" i="5"/>
  <c r="P37" i="5"/>
  <c r="O37" i="5"/>
  <c r="N37" i="5"/>
  <c r="Z36" i="5"/>
  <c r="Y36" i="5"/>
  <c r="W36" i="5"/>
  <c r="U36" i="5"/>
  <c r="T36" i="5"/>
  <c r="S36" i="5"/>
  <c r="R36" i="5"/>
  <c r="Q36" i="5"/>
  <c r="P36" i="5"/>
  <c r="O36" i="5"/>
  <c r="N36" i="5"/>
  <c r="Y35" i="5"/>
  <c r="Z35" i="5" s="1"/>
  <c r="W35" i="5"/>
  <c r="U35" i="5"/>
  <c r="T35" i="5"/>
  <c r="S35" i="5"/>
  <c r="R35" i="5"/>
  <c r="Q35" i="5"/>
  <c r="P35" i="5"/>
  <c r="O35" i="5"/>
  <c r="N35" i="5"/>
  <c r="Z34" i="5"/>
  <c r="Y34" i="5"/>
  <c r="W34" i="5"/>
  <c r="U34" i="5"/>
  <c r="T34" i="5"/>
  <c r="S34" i="5"/>
  <c r="R34" i="5"/>
  <c r="Q34" i="5"/>
  <c r="P34" i="5"/>
  <c r="O34" i="5"/>
  <c r="N34" i="5"/>
  <c r="U33" i="5"/>
  <c r="T33" i="5"/>
  <c r="S33" i="5"/>
  <c r="R33" i="5"/>
  <c r="Q33" i="5"/>
  <c r="P33" i="5"/>
  <c r="O33" i="5"/>
  <c r="N33" i="5"/>
  <c r="Z32" i="5"/>
  <c r="Y32" i="5"/>
  <c r="W32" i="5"/>
  <c r="U32" i="5"/>
  <c r="T32" i="5"/>
  <c r="S32" i="5"/>
  <c r="R32" i="5"/>
  <c r="Q32" i="5"/>
  <c r="P32" i="5"/>
  <c r="O32" i="5"/>
  <c r="N32" i="5"/>
  <c r="X32" i="5" s="1"/>
  <c r="Y31" i="5"/>
  <c r="W31" i="5"/>
  <c r="Z31" i="5" s="1"/>
  <c r="U31" i="5"/>
  <c r="T31" i="5"/>
  <c r="S31" i="5"/>
  <c r="R31" i="5"/>
  <c r="Q31" i="5"/>
  <c r="P31" i="5"/>
  <c r="O31" i="5"/>
  <c r="N31" i="5"/>
  <c r="X31" i="5" s="1"/>
  <c r="Y30" i="5"/>
  <c r="W30" i="5"/>
  <c r="Z30" i="5" s="1"/>
  <c r="Z54" i="5" s="1"/>
  <c r="U30" i="5"/>
  <c r="T30" i="5"/>
  <c r="S30" i="5"/>
  <c r="R30" i="5"/>
  <c r="Q30" i="5"/>
  <c r="P30" i="5"/>
  <c r="O30" i="5"/>
  <c r="N30" i="5"/>
  <c r="U29" i="5"/>
  <c r="T29" i="5"/>
  <c r="S29" i="5"/>
  <c r="R29" i="5"/>
  <c r="Q29" i="5"/>
  <c r="P29" i="5"/>
  <c r="O29" i="5"/>
  <c r="N29" i="5"/>
  <c r="U27" i="5"/>
  <c r="T27" i="5"/>
  <c r="S27" i="5"/>
  <c r="R27" i="5"/>
  <c r="Q27" i="5"/>
  <c r="P27" i="5"/>
  <c r="O27" i="5"/>
  <c r="N27" i="5"/>
  <c r="U26" i="5"/>
  <c r="T26" i="5"/>
  <c r="S26" i="5"/>
  <c r="R26" i="5"/>
  <c r="Q26" i="5"/>
  <c r="P26" i="5"/>
  <c r="O26" i="5"/>
  <c r="N26" i="5"/>
  <c r="U25" i="5"/>
  <c r="T25" i="5"/>
  <c r="S25" i="5"/>
  <c r="R25" i="5"/>
  <c r="Q25" i="5"/>
  <c r="P25" i="5"/>
  <c r="O25" i="5"/>
  <c r="N25" i="5"/>
  <c r="U24" i="5"/>
  <c r="T24" i="5"/>
  <c r="S24" i="5"/>
  <c r="R24" i="5"/>
  <c r="Q24" i="5"/>
  <c r="P24" i="5"/>
  <c r="O24" i="5"/>
  <c r="N24" i="5"/>
  <c r="U23" i="5"/>
  <c r="T23" i="5"/>
  <c r="S23" i="5"/>
  <c r="R23" i="5"/>
  <c r="Q23" i="5"/>
  <c r="P23" i="5"/>
  <c r="O23" i="5"/>
  <c r="N23" i="5"/>
  <c r="U22" i="5"/>
  <c r="T22" i="5"/>
  <c r="S22" i="5"/>
  <c r="R22" i="5"/>
  <c r="Q22" i="5"/>
  <c r="P22" i="5"/>
  <c r="O22" i="5"/>
  <c r="N22" i="5"/>
  <c r="U21" i="5"/>
  <c r="T21" i="5"/>
  <c r="S21" i="5"/>
  <c r="R21" i="5"/>
  <c r="Q21" i="5"/>
  <c r="P21" i="5"/>
  <c r="O21" i="5"/>
  <c r="N21" i="5"/>
  <c r="U20" i="5"/>
  <c r="T20" i="5"/>
  <c r="S20" i="5"/>
  <c r="R20" i="5"/>
  <c r="Q20" i="5"/>
  <c r="P20" i="5"/>
  <c r="O20" i="5"/>
  <c r="N20" i="5"/>
  <c r="U19" i="5"/>
  <c r="T19" i="5"/>
  <c r="S19" i="5"/>
  <c r="R19" i="5"/>
  <c r="Q19" i="5"/>
  <c r="P19" i="5"/>
  <c r="O19" i="5"/>
  <c r="N19" i="5"/>
  <c r="U18" i="5"/>
  <c r="T18" i="5"/>
  <c r="S18" i="5"/>
  <c r="R18" i="5"/>
  <c r="Q18" i="5"/>
  <c r="P18" i="5"/>
  <c r="O18" i="5"/>
  <c r="N18" i="5"/>
  <c r="U17" i="5"/>
  <c r="T17" i="5"/>
  <c r="S17" i="5"/>
  <c r="R17" i="5"/>
  <c r="Q17" i="5"/>
  <c r="P17" i="5"/>
  <c r="O17" i="5"/>
  <c r="N17" i="5"/>
  <c r="U16" i="5"/>
  <c r="T16" i="5"/>
  <c r="S16" i="5"/>
  <c r="R16" i="5"/>
  <c r="Q16" i="5"/>
  <c r="P16" i="5"/>
  <c r="O16" i="5"/>
  <c r="N16" i="5"/>
  <c r="U15" i="5"/>
  <c r="T15" i="5"/>
  <c r="S15" i="5"/>
  <c r="R15" i="5"/>
  <c r="Q15" i="5"/>
  <c r="P15" i="5"/>
  <c r="O15" i="5"/>
  <c r="N15" i="5"/>
  <c r="U14" i="5"/>
  <c r="T14" i="5"/>
  <c r="S14" i="5"/>
  <c r="R14" i="5"/>
  <c r="Q14" i="5"/>
  <c r="P14" i="5"/>
  <c r="O14" i="5"/>
  <c r="N14" i="5"/>
  <c r="U13" i="5"/>
  <c r="T13" i="5"/>
  <c r="S13" i="5"/>
  <c r="R13" i="5"/>
  <c r="Q13" i="5"/>
  <c r="P13" i="5"/>
  <c r="O13" i="5"/>
  <c r="N13" i="5"/>
  <c r="U11" i="5"/>
  <c r="T11" i="5"/>
  <c r="S11" i="5"/>
  <c r="R11" i="5"/>
  <c r="Q11" i="5"/>
  <c r="P11" i="5"/>
  <c r="O11" i="5"/>
  <c r="N11" i="5"/>
  <c r="U10" i="5"/>
  <c r="T10" i="5"/>
  <c r="S10" i="5"/>
  <c r="R10" i="5"/>
  <c r="Q10" i="5"/>
  <c r="P10" i="5"/>
  <c r="O10" i="5"/>
  <c r="O54" i="5" s="1"/>
  <c r="N10" i="5"/>
  <c r="U9" i="5"/>
  <c r="T9" i="5"/>
  <c r="S9" i="5"/>
  <c r="R9" i="5"/>
  <c r="R54" i="5" s="1"/>
  <c r="Q9" i="5"/>
  <c r="Q54" i="5" s="1"/>
  <c r="P9" i="5"/>
  <c r="P54" i="5" s="1"/>
  <c r="O9" i="5"/>
  <c r="N9" i="5"/>
  <c r="AI99" i="4"/>
  <c r="AI98" i="4"/>
  <c r="AF98" i="4"/>
  <c r="AE98" i="4"/>
  <c r="AB98" i="4"/>
  <c r="AC98" i="4" s="1"/>
  <c r="Z98" i="4"/>
  <c r="Y98" i="4"/>
  <c r="W98" i="4"/>
  <c r="V98" i="4"/>
  <c r="Q98" i="4"/>
  <c r="M98" i="4"/>
  <c r="N98" i="4" s="1"/>
  <c r="K98" i="4"/>
  <c r="J98" i="4"/>
  <c r="AI97" i="4"/>
  <c r="AF97" i="4"/>
  <c r="AE97" i="4"/>
  <c r="AC97" i="4"/>
  <c r="AB97" i="4"/>
  <c r="Z97" i="4"/>
  <c r="Y97" i="4"/>
  <c r="V97" i="4"/>
  <c r="W97" i="4" s="1"/>
  <c r="Q97" i="4"/>
  <c r="N97" i="4"/>
  <c r="M97" i="4"/>
  <c r="J97" i="4"/>
  <c r="K97" i="4" s="1"/>
  <c r="AI96" i="4"/>
  <c r="U96" i="4"/>
  <c r="U99" i="4" s="1"/>
  <c r="AI95" i="4"/>
  <c r="AD95" i="4"/>
  <c r="AA95" i="4"/>
  <c r="X95" i="4"/>
  <c r="U95" i="4"/>
  <c r="R95" i="4"/>
  <c r="O95" i="4"/>
  <c r="L95" i="4"/>
  <c r="I95" i="4"/>
  <c r="H95" i="4"/>
  <c r="G95" i="4"/>
  <c r="AI94" i="4"/>
  <c r="AG94" i="4"/>
  <c r="AE94" i="4"/>
  <c r="AF94" i="4" s="1"/>
  <c r="AB94" i="4"/>
  <c r="AC94" i="4" s="1"/>
  <c r="Y94" i="4"/>
  <c r="Z94" i="4" s="1"/>
  <c r="V94" i="4"/>
  <c r="W94" i="4" s="1"/>
  <c r="Q94" i="4"/>
  <c r="P94" i="4"/>
  <c r="M94" i="4"/>
  <c r="N94" i="4" s="1"/>
  <c r="K94" i="4"/>
  <c r="J94" i="4"/>
  <c r="AI93" i="4"/>
  <c r="AG93" i="4"/>
  <c r="AE93" i="4"/>
  <c r="AF93" i="4" s="1"/>
  <c r="AB93" i="4"/>
  <c r="AC93" i="4" s="1"/>
  <c r="Y93" i="4"/>
  <c r="Z93" i="4" s="1"/>
  <c r="W93" i="4"/>
  <c r="V93" i="4"/>
  <c r="T93" i="4"/>
  <c r="S93" i="4"/>
  <c r="P93" i="4"/>
  <c r="Q93" i="4" s="1"/>
  <c r="M93" i="4"/>
  <c r="N93" i="4" s="1"/>
  <c r="AH93" i="4" s="1"/>
  <c r="K93" i="4"/>
  <c r="J93" i="4"/>
  <c r="AI92" i="4"/>
  <c r="AI91" i="4"/>
  <c r="AF91" i="4"/>
  <c r="AE91" i="4"/>
  <c r="AB91" i="4"/>
  <c r="AC91" i="4" s="1"/>
  <c r="Y91" i="4"/>
  <c r="Z91" i="4" s="1"/>
  <c r="V91" i="4"/>
  <c r="W91" i="4" s="1"/>
  <c r="P91" i="4"/>
  <c r="Q91" i="4" s="1"/>
  <c r="AH91" i="4" s="1"/>
  <c r="M91" i="4"/>
  <c r="N91" i="4" s="1"/>
  <c r="K91" i="4"/>
  <c r="J91" i="4"/>
  <c r="AI90" i="4"/>
  <c r="AG90" i="4"/>
  <c r="AE90" i="4"/>
  <c r="AF90" i="4" s="1"/>
  <c r="AC90" i="4"/>
  <c r="AB90" i="4"/>
  <c r="Z90" i="4"/>
  <c r="Y90" i="4"/>
  <c r="W90" i="4"/>
  <c r="V90" i="4"/>
  <c r="S90" i="4"/>
  <c r="T90" i="4" s="1"/>
  <c r="P90" i="4"/>
  <c r="Q90" i="4" s="1"/>
  <c r="N90" i="4"/>
  <c r="AH90" i="4" s="1"/>
  <c r="M90" i="4"/>
  <c r="K90" i="4"/>
  <c r="J90" i="4"/>
  <c r="AI89" i="4"/>
  <c r="AF89" i="4"/>
  <c r="AE89" i="4"/>
  <c r="AB89" i="4"/>
  <c r="Y89" i="4"/>
  <c r="Z89" i="4" s="1"/>
  <c r="W89" i="4"/>
  <c r="V89" i="4"/>
  <c r="S89" i="4"/>
  <c r="T89" i="4" s="1"/>
  <c r="P89" i="4"/>
  <c r="Q89" i="4" s="1"/>
  <c r="N89" i="4"/>
  <c r="M89" i="4"/>
  <c r="J89" i="4"/>
  <c r="K89" i="4" s="1"/>
  <c r="AI88" i="4"/>
  <c r="AF88" i="4"/>
  <c r="AE88" i="4"/>
  <c r="AB88" i="4"/>
  <c r="Y88" i="4"/>
  <c r="Z88" i="4" s="1"/>
  <c r="V88" i="4"/>
  <c r="W88" i="4" s="1"/>
  <c r="S88" i="4"/>
  <c r="T88" i="4" s="1"/>
  <c r="P88" i="4"/>
  <c r="Q88" i="4" s="1"/>
  <c r="N88" i="4"/>
  <c r="M88" i="4"/>
  <c r="K88" i="4"/>
  <c r="J88" i="4"/>
  <c r="AI87" i="4"/>
  <c r="AE87" i="4"/>
  <c r="AC87" i="4"/>
  <c r="AB87" i="4"/>
  <c r="Z87" i="4"/>
  <c r="Y87" i="4"/>
  <c r="V87" i="4"/>
  <c r="W87" i="4" s="1"/>
  <c r="S87" i="4"/>
  <c r="T87" i="4" s="1"/>
  <c r="Q87" i="4"/>
  <c r="P87" i="4"/>
  <c r="M87" i="4"/>
  <c r="N87" i="4" s="1"/>
  <c r="J87" i="4"/>
  <c r="K87" i="4" s="1"/>
  <c r="AI85" i="4"/>
  <c r="AF85" i="4"/>
  <c r="AE85" i="4"/>
  <c r="AC85" i="4"/>
  <c r="AB85" i="4"/>
  <c r="Y85" i="4"/>
  <c r="Z85" i="4" s="1"/>
  <c r="W85" i="4"/>
  <c r="V85" i="4"/>
  <c r="S85" i="4"/>
  <c r="T85" i="4" s="1"/>
  <c r="Q85" i="4"/>
  <c r="P85" i="4"/>
  <c r="M85" i="4"/>
  <c r="N85" i="4" s="1"/>
  <c r="K85" i="4"/>
  <c r="J85" i="4"/>
  <c r="AI84" i="4"/>
  <c r="AF84" i="4"/>
  <c r="AE84" i="4"/>
  <c r="AC84" i="4"/>
  <c r="AB84" i="4"/>
  <c r="AG84" i="4" s="1"/>
  <c r="Y84" i="4"/>
  <c r="Z84" i="4" s="1"/>
  <c r="W84" i="4"/>
  <c r="V84" i="4"/>
  <c r="T84" i="4"/>
  <c r="S84" i="4"/>
  <c r="P84" i="4"/>
  <c r="Q84" i="4" s="1"/>
  <c r="M84" i="4"/>
  <c r="N84" i="4" s="1"/>
  <c r="K84" i="4"/>
  <c r="J84" i="4"/>
  <c r="AI83" i="4"/>
  <c r="AF83" i="4"/>
  <c r="AE83" i="4"/>
  <c r="AB83" i="4"/>
  <c r="AC83" i="4" s="1"/>
  <c r="Y83" i="4"/>
  <c r="Z83" i="4" s="1"/>
  <c r="V83" i="4"/>
  <c r="W83" i="4" s="1"/>
  <c r="T83" i="4"/>
  <c r="S83" i="4"/>
  <c r="P83" i="4"/>
  <c r="Q83" i="4" s="1"/>
  <c r="N83" i="4"/>
  <c r="M83" i="4"/>
  <c r="J83" i="4"/>
  <c r="K83" i="4" s="1"/>
  <c r="AI81" i="4"/>
  <c r="AE81" i="4"/>
  <c r="AF81" i="4" s="1"/>
  <c r="AB81" i="4"/>
  <c r="AC81" i="4" s="1"/>
  <c r="Y81" i="4"/>
  <c r="Z81" i="4" s="1"/>
  <c r="W81" i="4"/>
  <c r="V81" i="4"/>
  <c r="P81" i="4"/>
  <c r="Q81" i="4" s="1"/>
  <c r="M81" i="4"/>
  <c r="N81" i="4" s="1"/>
  <c r="AH81" i="4" s="1"/>
  <c r="J81" i="4"/>
  <c r="K81" i="4" s="1"/>
  <c r="AI78" i="4"/>
  <c r="AE78" i="4"/>
  <c r="AF78" i="4" s="1"/>
  <c r="AB78" i="4"/>
  <c r="AC78" i="4" s="1"/>
  <c r="Z78" i="4"/>
  <c r="Y78" i="4"/>
  <c r="V78" i="4"/>
  <c r="W78" i="4" s="1"/>
  <c r="T78" i="4"/>
  <c r="S78" i="4"/>
  <c r="P78" i="4"/>
  <c r="Q78" i="4" s="1"/>
  <c r="N78" i="4"/>
  <c r="AH78" i="4" s="1"/>
  <c r="M78" i="4"/>
  <c r="J78" i="4"/>
  <c r="K78" i="4" s="1"/>
  <c r="AI76" i="4"/>
  <c r="AE76" i="4"/>
  <c r="AF76" i="4" s="1"/>
  <c r="AB76" i="4"/>
  <c r="AC76" i="4" s="1"/>
  <c r="Z76" i="4"/>
  <c r="Y76" i="4"/>
  <c r="W76" i="4"/>
  <c r="V76" i="4"/>
  <c r="S76" i="4"/>
  <c r="T76" i="4" s="1"/>
  <c r="P76" i="4"/>
  <c r="Q76" i="4" s="1"/>
  <c r="M76" i="4"/>
  <c r="N76" i="4" s="1"/>
  <c r="AH76" i="4" s="1"/>
  <c r="J76" i="4"/>
  <c r="K76" i="4" s="1"/>
  <c r="AI75" i="4"/>
  <c r="AE75" i="4"/>
  <c r="AF75" i="4" s="1"/>
  <c r="AC75" i="4"/>
  <c r="AB75" i="4"/>
  <c r="Y75" i="4"/>
  <c r="Z75" i="4" s="1"/>
  <c r="W75" i="4"/>
  <c r="V75" i="4"/>
  <c r="T75" i="4"/>
  <c r="S75" i="4"/>
  <c r="P75" i="4"/>
  <c r="Q75" i="4" s="1"/>
  <c r="M75" i="4"/>
  <c r="N75" i="4" s="1"/>
  <c r="AH75" i="4" s="1"/>
  <c r="J75" i="4"/>
  <c r="K75" i="4" s="1"/>
  <c r="AI74" i="4"/>
  <c r="AE74" i="4"/>
  <c r="AF74" i="4" s="1"/>
  <c r="AB74" i="4"/>
  <c r="AC74" i="4" s="1"/>
  <c r="Z74" i="4"/>
  <c r="Y74" i="4"/>
  <c r="V74" i="4"/>
  <c r="W74" i="4" s="1"/>
  <c r="S74" i="4"/>
  <c r="T74" i="4" s="1"/>
  <c r="Q74" i="4"/>
  <c r="P74" i="4"/>
  <c r="M74" i="4"/>
  <c r="N74" i="4" s="1"/>
  <c r="J74" i="4"/>
  <c r="K74" i="4" s="1"/>
  <c r="AI73" i="4"/>
  <c r="AF73" i="4"/>
  <c r="AE73" i="4"/>
  <c r="AG73" i="4" s="1"/>
  <c r="AB73" i="4"/>
  <c r="AC73" i="4" s="1"/>
  <c r="Y73" i="4"/>
  <c r="Z73" i="4" s="1"/>
  <c r="V73" i="4"/>
  <c r="W73" i="4" s="1"/>
  <c r="T73" i="4"/>
  <c r="S73" i="4"/>
  <c r="P73" i="4"/>
  <c r="Q73" i="4" s="1"/>
  <c r="M73" i="4"/>
  <c r="N73" i="4" s="1"/>
  <c r="J73" i="4"/>
  <c r="K73" i="4" s="1"/>
  <c r="AI72" i="4"/>
  <c r="AF72" i="4"/>
  <c r="AE72" i="4"/>
  <c r="AB72" i="4"/>
  <c r="AC72" i="4" s="1"/>
  <c r="Y72" i="4"/>
  <c r="Z72" i="4" s="1"/>
  <c r="V72" i="4"/>
  <c r="W72" i="4" s="1"/>
  <c r="T72" i="4"/>
  <c r="S72" i="4"/>
  <c r="Q72" i="4"/>
  <c r="P72" i="4"/>
  <c r="M72" i="4"/>
  <c r="N72" i="4" s="1"/>
  <c r="AH72" i="4" s="1"/>
  <c r="J72" i="4"/>
  <c r="K72" i="4" s="1"/>
  <c r="AI71" i="4"/>
  <c r="AE71" i="4"/>
  <c r="AF71" i="4" s="1"/>
  <c r="AB71" i="4"/>
  <c r="AC71" i="4" s="1"/>
  <c r="Y71" i="4"/>
  <c r="AG71" i="4" s="1"/>
  <c r="W71" i="4"/>
  <c r="V71" i="4"/>
  <c r="T71" i="4"/>
  <c r="S71" i="4"/>
  <c r="Q71" i="4"/>
  <c r="P71" i="4"/>
  <c r="N71" i="4"/>
  <c r="M71" i="4"/>
  <c r="J71" i="4"/>
  <c r="K71" i="4" s="1"/>
  <c r="AI69" i="4"/>
  <c r="AE69" i="4"/>
  <c r="AF69" i="4" s="1"/>
  <c r="AB69" i="4"/>
  <c r="AG69" i="4" s="1"/>
  <c r="Y69" i="4"/>
  <c r="Z69" i="4" s="1"/>
  <c r="W69" i="4"/>
  <c r="V69" i="4"/>
  <c r="S69" i="4"/>
  <c r="T69" i="4" s="1"/>
  <c r="P69" i="4"/>
  <c r="Q69" i="4" s="1"/>
  <c r="M69" i="4"/>
  <c r="N69" i="4" s="1"/>
  <c r="K69" i="4"/>
  <c r="J69" i="4"/>
  <c r="AI68" i="4"/>
  <c r="AE68" i="4"/>
  <c r="AF68" i="4" s="1"/>
  <c r="AC68" i="4"/>
  <c r="AB68" i="4"/>
  <c r="Z68" i="4"/>
  <c r="Y68" i="4"/>
  <c r="V68" i="4"/>
  <c r="AG68" i="4" s="1"/>
  <c r="T68" i="4"/>
  <c r="S68" i="4"/>
  <c r="Q68" i="4"/>
  <c r="P68" i="4"/>
  <c r="M68" i="4"/>
  <c r="N68" i="4" s="1"/>
  <c r="J68" i="4"/>
  <c r="K68" i="4" s="1"/>
  <c r="AI67" i="4"/>
  <c r="AE67" i="4"/>
  <c r="AG67" i="4" s="1"/>
  <c r="AC67" i="4"/>
  <c r="AB67" i="4"/>
  <c r="Z67" i="4"/>
  <c r="Y67" i="4"/>
  <c r="V67" i="4"/>
  <c r="W67" i="4" s="1"/>
  <c r="S67" i="4"/>
  <c r="T67" i="4" s="1"/>
  <c r="P67" i="4"/>
  <c r="Q67" i="4" s="1"/>
  <c r="N67" i="4"/>
  <c r="M67" i="4"/>
  <c r="J67" i="4"/>
  <c r="K67" i="4" s="1"/>
  <c r="AI66" i="4"/>
  <c r="AI65" i="4"/>
  <c r="AF65" i="4"/>
  <c r="AE65" i="4"/>
  <c r="AG65" i="4" s="1"/>
  <c r="AB65" i="4"/>
  <c r="AC65" i="4" s="1"/>
  <c r="Y65" i="4"/>
  <c r="Z65" i="4" s="1"/>
  <c r="V65" i="4"/>
  <c r="W65" i="4" s="1"/>
  <c r="T65" i="4"/>
  <c r="S65" i="4"/>
  <c r="P65" i="4"/>
  <c r="Q65" i="4" s="1"/>
  <c r="M65" i="4"/>
  <c r="N65" i="4" s="1"/>
  <c r="J65" i="4"/>
  <c r="K65" i="4" s="1"/>
  <c r="AI64" i="4"/>
  <c r="AE64" i="4"/>
  <c r="AG64" i="4" s="1"/>
  <c r="AB64" i="4"/>
  <c r="AC64" i="4" s="1"/>
  <c r="Z64" i="4"/>
  <c r="Y64" i="4"/>
  <c r="W64" i="4"/>
  <c r="V64" i="4"/>
  <c r="T64" i="4"/>
  <c r="S64" i="4"/>
  <c r="Q64" i="4"/>
  <c r="P64" i="4"/>
  <c r="N64" i="4"/>
  <c r="M64" i="4"/>
  <c r="J64" i="4"/>
  <c r="K64" i="4" s="1"/>
  <c r="AI63" i="4"/>
  <c r="AH63" i="4"/>
  <c r="AI62" i="4"/>
  <c r="AG62" i="4"/>
  <c r="AE62" i="4"/>
  <c r="AF62" i="4" s="1"/>
  <c r="AB62" i="4"/>
  <c r="AC62" i="4" s="1"/>
  <c r="Z62" i="4"/>
  <c r="Y62" i="4"/>
  <c r="V62" i="4"/>
  <c r="W62" i="4" s="1"/>
  <c r="T62" i="4"/>
  <c r="S62" i="4"/>
  <c r="P62" i="4"/>
  <c r="Q62" i="4" s="1"/>
  <c r="N62" i="4"/>
  <c r="M62" i="4"/>
  <c r="K62" i="4"/>
  <c r="J62" i="4"/>
  <c r="AI60" i="4"/>
  <c r="AF60" i="4"/>
  <c r="AE60" i="4"/>
  <c r="AG60" i="4" s="1"/>
  <c r="AC60" i="4"/>
  <c r="AB60" i="4"/>
  <c r="Z60" i="4"/>
  <c r="Y60" i="4"/>
  <c r="W60" i="4"/>
  <c r="V60" i="4"/>
  <c r="T60" i="4"/>
  <c r="S60" i="4"/>
  <c r="P60" i="4"/>
  <c r="Q60" i="4" s="1"/>
  <c r="M60" i="4"/>
  <c r="N60" i="4" s="1"/>
  <c r="AH60" i="4" s="1"/>
  <c r="K60" i="4"/>
  <c r="J60" i="4"/>
  <c r="AI59" i="4"/>
  <c r="AF59" i="4"/>
  <c r="AE59" i="4"/>
  <c r="AC59" i="4"/>
  <c r="AB59" i="4"/>
  <c r="Z59" i="4"/>
  <c r="Y59" i="4"/>
  <c r="W59" i="4"/>
  <c r="V59" i="4"/>
  <c r="S59" i="4"/>
  <c r="T59" i="4" s="1"/>
  <c r="T95" i="4" s="1"/>
  <c r="Q59" i="4"/>
  <c r="P59" i="4"/>
  <c r="P95" i="4" s="1"/>
  <c r="P96" i="4" s="1"/>
  <c r="M59" i="4"/>
  <c r="N59" i="4" s="1"/>
  <c r="K59" i="4"/>
  <c r="J59" i="4"/>
  <c r="AI55" i="4"/>
  <c r="AD55" i="4"/>
  <c r="AD96" i="4" s="1"/>
  <c r="AD99" i="4" s="1"/>
  <c r="AA55" i="4"/>
  <c r="X55" i="4"/>
  <c r="X96" i="4" s="1"/>
  <c r="X99" i="4" s="1"/>
  <c r="U55" i="4"/>
  <c r="R55" i="4"/>
  <c r="R96" i="4" s="1"/>
  <c r="R99" i="4" s="1"/>
  <c r="O55" i="4"/>
  <c r="O96" i="4" s="1"/>
  <c r="O99" i="4" s="1"/>
  <c r="L55" i="4"/>
  <c r="L96" i="4" s="1"/>
  <c r="L99" i="4" s="1"/>
  <c r="I55" i="4"/>
  <c r="I96" i="4" s="1"/>
  <c r="I99" i="4" s="1"/>
  <c r="H55" i="4"/>
  <c r="H96" i="4" s="1"/>
  <c r="H99" i="4" s="1"/>
  <c r="AI54" i="4"/>
  <c r="AE54" i="4"/>
  <c r="AF54" i="4" s="1"/>
  <c r="AB54" i="4"/>
  <c r="AC54" i="4" s="1"/>
  <c r="Z54" i="4"/>
  <c r="Y54" i="4"/>
  <c r="V54" i="4"/>
  <c r="W54" i="4" s="1"/>
  <c r="S54" i="4"/>
  <c r="T54" i="4" s="1"/>
  <c r="Q54" i="4"/>
  <c r="P54" i="4"/>
  <c r="M54" i="4"/>
  <c r="N54" i="4" s="1"/>
  <c r="K54" i="4"/>
  <c r="J54" i="4"/>
  <c r="AI53" i="4"/>
  <c r="AF53" i="4"/>
  <c r="AE53" i="4"/>
  <c r="AG53" i="4" s="1"/>
  <c r="AC53" i="4"/>
  <c r="AB53" i="4"/>
  <c r="Z53" i="4"/>
  <c r="Y53" i="4"/>
  <c r="W53" i="4"/>
  <c r="V53" i="4"/>
  <c r="T53" i="4"/>
  <c r="S53" i="4"/>
  <c r="P53" i="4"/>
  <c r="Q53" i="4" s="1"/>
  <c r="M53" i="4"/>
  <c r="N53" i="4" s="1"/>
  <c r="AH53" i="4" s="1"/>
  <c r="J53" i="4"/>
  <c r="K53" i="4" s="1"/>
  <c r="AI52" i="4"/>
  <c r="AF52" i="4"/>
  <c r="AE52" i="4"/>
  <c r="AG52" i="4" s="1"/>
  <c r="AC52" i="4"/>
  <c r="AB52" i="4"/>
  <c r="Y52" i="4"/>
  <c r="Z52" i="4" s="1"/>
  <c r="V52" i="4"/>
  <c r="W52" i="4" s="1"/>
  <c r="S52" i="4"/>
  <c r="T52" i="4" s="1"/>
  <c r="P52" i="4"/>
  <c r="Q52" i="4" s="1"/>
  <c r="M52" i="4"/>
  <c r="N52" i="4" s="1"/>
  <c r="K52" i="4"/>
  <c r="J52" i="4"/>
  <c r="AI51" i="4"/>
  <c r="AI50" i="4"/>
  <c r="AF50" i="4"/>
  <c r="AE50" i="4"/>
  <c r="AG50" i="4" s="1"/>
  <c r="AB50" i="4"/>
  <c r="AC50" i="4" s="1"/>
  <c r="Y50" i="4"/>
  <c r="Z50" i="4" s="1"/>
  <c r="W50" i="4"/>
  <c r="V50" i="4"/>
  <c r="S50" i="4"/>
  <c r="T50" i="4" s="1"/>
  <c r="P50" i="4"/>
  <c r="Q50" i="4" s="1"/>
  <c r="M50" i="4"/>
  <c r="N50" i="4" s="1"/>
  <c r="J50" i="4"/>
  <c r="K50" i="4" s="1"/>
  <c r="AI49" i="4"/>
  <c r="AE49" i="4"/>
  <c r="AF49" i="4" s="1"/>
  <c r="AC49" i="4"/>
  <c r="AB49" i="4"/>
  <c r="Z49" i="4"/>
  <c r="Y49" i="4"/>
  <c r="W49" i="4"/>
  <c r="V49" i="4"/>
  <c r="T49" i="4"/>
  <c r="S49" i="4"/>
  <c r="Q49" i="4"/>
  <c r="P49" i="4"/>
  <c r="M49" i="4"/>
  <c r="N49" i="4" s="1"/>
  <c r="AH49" i="4" s="1"/>
  <c r="K49" i="4"/>
  <c r="J49" i="4"/>
  <c r="AI48" i="4"/>
  <c r="AE48" i="4"/>
  <c r="AF48" i="4" s="1"/>
  <c r="AB48" i="4"/>
  <c r="AC48" i="4" s="1"/>
  <c r="Z48" i="4"/>
  <c r="Y48" i="4"/>
  <c r="V48" i="4"/>
  <c r="W48" i="4" s="1"/>
  <c r="T48" i="4"/>
  <c r="S48" i="4"/>
  <c r="P48" i="4"/>
  <c r="Q48" i="4" s="1"/>
  <c r="M48" i="4"/>
  <c r="N48" i="4" s="1"/>
  <c r="K48" i="4"/>
  <c r="J48" i="4"/>
  <c r="AI47" i="4"/>
  <c r="AF47" i="4"/>
  <c r="AE47" i="4"/>
  <c r="AG47" i="4" s="1"/>
  <c r="AB47" i="4"/>
  <c r="AC47" i="4" s="1"/>
  <c r="Z47" i="4"/>
  <c r="Y47" i="4"/>
  <c r="W47" i="4"/>
  <c r="V47" i="4"/>
  <c r="T47" i="4"/>
  <c r="S47" i="4"/>
  <c r="P47" i="4"/>
  <c r="Q47" i="4" s="1"/>
  <c r="M47" i="4"/>
  <c r="N47" i="4" s="1"/>
  <c r="J47" i="4"/>
  <c r="K47" i="4" s="1"/>
  <c r="AI46" i="4"/>
  <c r="AE46" i="4"/>
  <c r="AG46" i="4" s="1"/>
  <c r="AC46" i="4"/>
  <c r="AB46" i="4"/>
  <c r="Y46" i="4"/>
  <c r="Z46" i="4" s="1"/>
  <c r="V46" i="4"/>
  <c r="W46" i="4" s="1"/>
  <c r="S46" i="4"/>
  <c r="T46" i="4" s="1"/>
  <c r="P46" i="4"/>
  <c r="Q46" i="4" s="1"/>
  <c r="N46" i="4"/>
  <c r="M46" i="4"/>
  <c r="K46" i="4"/>
  <c r="J46" i="4"/>
  <c r="AI45" i="4"/>
  <c r="AE45" i="4"/>
  <c r="AF45" i="4" s="1"/>
  <c r="AC45" i="4"/>
  <c r="AB45" i="4"/>
  <c r="Z45" i="4"/>
  <c r="Y45" i="4"/>
  <c r="V45" i="4"/>
  <c r="AG45" i="4" s="1"/>
  <c r="S45" i="4"/>
  <c r="T45" i="4" s="1"/>
  <c r="Q45" i="4"/>
  <c r="P45" i="4"/>
  <c r="N45" i="4"/>
  <c r="M45" i="4"/>
  <c r="K45" i="4"/>
  <c r="J45" i="4"/>
  <c r="AI44" i="4"/>
  <c r="AF44" i="4"/>
  <c r="AE44" i="4"/>
  <c r="AB44" i="4"/>
  <c r="AC44" i="4" s="1"/>
  <c r="Y44" i="4"/>
  <c r="Z44" i="4" s="1"/>
  <c r="V44" i="4"/>
  <c r="W44" i="4" s="1"/>
  <c r="S44" i="4"/>
  <c r="T44" i="4" s="1"/>
  <c r="P44" i="4"/>
  <c r="Q44" i="4" s="1"/>
  <c r="N44" i="4"/>
  <c r="M44" i="4"/>
  <c r="K44" i="4"/>
  <c r="J44" i="4"/>
  <c r="AI42" i="4"/>
  <c r="AG42" i="4"/>
  <c r="AF42" i="4"/>
  <c r="AE42" i="4"/>
  <c r="AB42" i="4"/>
  <c r="AC42" i="4" s="1"/>
  <c r="Z42" i="4"/>
  <c r="Y42" i="4"/>
  <c r="V42" i="4"/>
  <c r="W42" i="4" s="1"/>
  <c r="T42" i="4"/>
  <c r="S42" i="4"/>
  <c r="Q42" i="4"/>
  <c r="P42" i="4"/>
  <c r="N42" i="4"/>
  <c r="AH42" i="4" s="1"/>
  <c r="M42" i="4"/>
  <c r="K42" i="4"/>
  <c r="J42" i="4"/>
  <c r="AI41" i="4"/>
  <c r="AF41" i="4"/>
  <c r="AE41" i="4"/>
  <c r="AC41" i="4"/>
  <c r="AB41" i="4"/>
  <c r="Z41" i="4"/>
  <c r="Y41" i="4"/>
  <c r="V41" i="4"/>
  <c r="W41" i="4" s="1"/>
  <c r="S41" i="4"/>
  <c r="T41" i="4" s="1"/>
  <c r="Q41" i="4"/>
  <c r="P41" i="4"/>
  <c r="N41" i="4"/>
  <c r="M41" i="4"/>
  <c r="J41" i="4"/>
  <c r="K41" i="4" s="1"/>
  <c r="AI40" i="4"/>
  <c r="AE40" i="4"/>
  <c r="AB40" i="4"/>
  <c r="AC40" i="4" s="1"/>
  <c r="Y40" i="4"/>
  <c r="Z40" i="4" s="1"/>
  <c r="V40" i="4"/>
  <c r="W40" i="4" s="1"/>
  <c r="T40" i="4"/>
  <c r="S40" i="4"/>
  <c r="Q40" i="4"/>
  <c r="P40" i="4"/>
  <c r="N40" i="4"/>
  <c r="M40" i="4"/>
  <c r="K40" i="4"/>
  <c r="J40" i="4"/>
  <c r="AI39" i="4"/>
  <c r="AF39" i="4"/>
  <c r="AE39" i="4"/>
  <c r="AG39" i="4" s="1"/>
  <c r="AB39" i="4"/>
  <c r="AC39" i="4" s="1"/>
  <c r="Y39" i="4"/>
  <c r="Z39" i="4" s="1"/>
  <c r="W39" i="4"/>
  <c r="V39" i="4"/>
  <c r="T39" i="4"/>
  <c r="S39" i="4"/>
  <c r="Q39" i="4"/>
  <c r="P39" i="4"/>
  <c r="M39" i="4"/>
  <c r="N39" i="4" s="1"/>
  <c r="AH39" i="4" s="1"/>
  <c r="K39" i="4"/>
  <c r="J39" i="4"/>
  <c r="AI38" i="4"/>
  <c r="AE38" i="4"/>
  <c r="AG38" i="4" s="1"/>
  <c r="AB38" i="4"/>
  <c r="AC38" i="4" s="1"/>
  <c r="Y38" i="4"/>
  <c r="Z38" i="4" s="1"/>
  <c r="W38" i="4"/>
  <c r="V38" i="4"/>
  <c r="S38" i="4"/>
  <c r="T38" i="4" s="1"/>
  <c r="P38" i="4"/>
  <c r="Q38" i="4" s="1"/>
  <c r="M38" i="4"/>
  <c r="N38" i="4" s="1"/>
  <c r="J38" i="4"/>
  <c r="K38" i="4" s="1"/>
  <c r="AI37" i="4"/>
  <c r="AF37" i="4"/>
  <c r="AE37" i="4"/>
  <c r="AC37" i="4"/>
  <c r="AB37" i="4"/>
  <c r="Z37" i="4"/>
  <c r="Y37" i="4"/>
  <c r="W37" i="4"/>
  <c r="V37" i="4"/>
  <c r="T37" i="4"/>
  <c r="S37" i="4"/>
  <c r="P37" i="4"/>
  <c r="Q37" i="4" s="1"/>
  <c r="N37" i="4"/>
  <c r="M37" i="4"/>
  <c r="K37" i="4"/>
  <c r="J37" i="4"/>
  <c r="AI36" i="4"/>
  <c r="AE36" i="4"/>
  <c r="AF36" i="4" s="1"/>
  <c r="AB36" i="4"/>
  <c r="AC36" i="4" s="1"/>
  <c r="Z36" i="4"/>
  <c r="Y36" i="4"/>
  <c r="V36" i="4"/>
  <c r="AG36" i="4" s="1"/>
  <c r="S36" i="4"/>
  <c r="T36" i="4" s="1"/>
  <c r="P36" i="4"/>
  <c r="Q36" i="4" s="1"/>
  <c r="M36" i="4"/>
  <c r="N36" i="4" s="1"/>
  <c r="J36" i="4"/>
  <c r="K36" i="4" s="1"/>
  <c r="AI35" i="4"/>
  <c r="AF35" i="4"/>
  <c r="AE35" i="4"/>
  <c r="AC35" i="4"/>
  <c r="AB35" i="4"/>
  <c r="Z35" i="4"/>
  <c r="Y35" i="4"/>
  <c r="W35" i="4"/>
  <c r="V35" i="4"/>
  <c r="S35" i="4"/>
  <c r="T35" i="4" s="1"/>
  <c r="Q35" i="4"/>
  <c r="P35" i="4"/>
  <c r="N35" i="4"/>
  <c r="M35" i="4"/>
  <c r="K35" i="4"/>
  <c r="J35" i="4"/>
  <c r="AI34" i="4"/>
  <c r="AE34" i="4"/>
  <c r="AF34" i="4" s="1"/>
  <c r="AC34" i="4"/>
  <c r="AB34" i="4"/>
  <c r="AG34" i="4" s="1"/>
  <c r="Y34" i="4"/>
  <c r="Z34" i="4" s="1"/>
  <c r="V34" i="4"/>
  <c r="W34" i="4" s="1"/>
  <c r="S34" i="4"/>
  <c r="T34" i="4" s="1"/>
  <c r="P34" i="4"/>
  <c r="Q34" i="4" s="1"/>
  <c r="M34" i="4"/>
  <c r="N34" i="4" s="1"/>
  <c r="K34" i="4"/>
  <c r="J34" i="4"/>
  <c r="AI33" i="4"/>
  <c r="AF33" i="4"/>
  <c r="AE33" i="4"/>
  <c r="AG33" i="4" s="1"/>
  <c r="AC33" i="4"/>
  <c r="AB33" i="4"/>
  <c r="Z33" i="4"/>
  <c r="Y33" i="4"/>
  <c r="V33" i="4"/>
  <c r="W33" i="4" s="1"/>
  <c r="T33" i="4"/>
  <c r="S33" i="4"/>
  <c r="Q33" i="4"/>
  <c r="AH33" i="4" s="1"/>
  <c r="P33" i="4"/>
  <c r="N33" i="4"/>
  <c r="M33" i="4"/>
  <c r="K33" i="4"/>
  <c r="J33" i="4"/>
  <c r="AI32" i="4"/>
  <c r="AF32" i="4"/>
  <c r="AE32" i="4"/>
  <c r="AG32" i="4" s="1"/>
  <c r="AB32" i="4"/>
  <c r="AC32" i="4" s="1"/>
  <c r="Y32" i="4"/>
  <c r="Z32" i="4" s="1"/>
  <c r="V32" i="4"/>
  <c r="W32" i="4" s="1"/>
  <c r="S32" i="4"/>
  <c r="T32" i="4" s="1"/>
  <c r="P32" i="4"/>
  <c r="Q32" i="4" s="1"/>
  <c r="N32" i="4"/>
  <c r="AH32" i="4" s="1"/>
  <c r="M32" i="4"/>
  <c r="J32" i="4"/>
  <c r="K32" i="4" s="1"/>
  <c r="AI31" i="4"/>
  <c r="AF31" i="4"/>
  <c r="AE31" i="4"/>
  <c r="AG31" i="4" s="1"/>
  <c r="AC31" i="4"/>
  <c r="AB31" i="4"/>
  <c r="Y31" i="4"/>
  <c r="Z31" i="4" s="1"/>
  <c r="W31" i="4"/>
  <c r="V31" i="4"/>
  <c r="T31" i="4"/>
  <c r="S31" i="4"/>
  <c r="Q31" i="4"/>
  <c r="P31" i="4"/>
  <c r="N31" i="4"/>
  <c r="AH31" i="4" s="1"/>
  <c r="M31" i="4"/>
  <c r="K31" i="4"/>
  <c r="J31" i="4"/>
  <c r="AI30" i="4"/>
  <c r="AE30" i="4"/>
  <c r="AG30" i="4" s="1"/>
  <c r="AB30" i="4"/>
  <c r="AC30" i="4" s="1"/>
  <c r="Y30" i="4"/>
  <c r="Z30" i="4" s="1"/>
  <c r="V30" i="4"/>
  <c r="W30" i="4" s="1"/>
  <c r="S30" i="4"/>
  <c r="T30" i="4" s="1"/>
  <c r="Q30" i="4"/>
  <c r="P30" i="4"/>
  <c r="M30" i="4"/>
  <c r="N30" i="4" s="1"/>
  <c r="J30" i="4"/>
  <c r="K30" i="4" s="1"/>
  <c r="AI28" i="4"/>
  <c r="AF28" i="4"/>
  <c r="AE28" i="4"/>
  <c r="AG28" i="4" s="1"/>
  <c r="AB28" i="4"/>
  <c r="AC28" i="4" s="1"/>
  <c r="Z28" i="4"/>
  <c r="Y28" i="4"/>
  <c r="W28" i="4"/>
  <c r="V28" i="4"/>
  <c r="T28" i="4"/>
  <c r="S28" i="4"/>
  <c r="Q28" i="4"/>
  <c r="AH28" i="4" s="1"/>
  <c r="P28" i="4"/>
  <c r="N28" i="4"/>
  <c r="M28" i="4"/>
  <c r="J28" i="4"/>
  <c r="K28" i="4" s="1"/>
  <c r="AI27" i="4"/>
  <c r="AE27" i="4"/>
  <c r="AF27" i="4" s="1"/>
  <c r="AB27" i="4"/>
  <c r="AC27" i="4" s="1"/>
  <c r="Y27" i="4"/>
  <c r="Z27" i="4" s="1"/>
  <c r="V27" i="4"/>
  <c r="W27" i="4" s="1"/>
  <c r="T27" i="4"/>
  <c r="S27" i="4"/>
  <c r="P27" i="4"/>
  <c r="AG27" i="4" s="1"/>
  <c r="M27" i="4"/>
  <c r="N27" i="4" s="1"/>
  <c r="J27" i="4"/>
  <c r="K27" i="4" s="1"/>
  <c r="AI26" i="4"/>
  <c r="AE26" i="4"/>
  <c r="AG26" i="4" s="1"/>
  <c r="AC26" i="4"/>
  <c r="AB26" i="4"/>
  <c r="Z26" i="4"/>
  <c r="Y26" i="4"/>
  <c r="W26" i="4"/>
  <c r="V26" i="4"/>
  <c r="T26" i="4"/>
  <c r="S26" i="4"/>
  <c r="Q26" i="4"/>
  <c r="P26" i="4"/>
  <c r="M26" i="4"/>
  <c r="N26" i="4" s="1"/>
  <c r="K26" i="4"/>
  <c r="J26" i="4"/>
  <c r="AI25" i="4"/>
  <c r="AE25" i="4"/>
  <c r="AG25" i="4" s="1"/>
  <c r="AB25" i="4"/>
  <c r="AC25" i="4" s="1"/>
  <c r="Y25" i="4"/>
  <c r="Z25" i="4" s="1"/>
  <c r="W25" i="4"/>
  <c r="V25" i="4"/>
  <c r="S25" i="4"/>
  <c r="T25" i="4" s="1"/>
  <c r="P25" i="4"/>
  <c r="Q25" i="4" s="1"/>
  <c r="M25" i="4"/>
  <c r="N25" i="4" s="1"/>
  <c r="J25" i="4"/>
  <c r="K25" i="4" s="1"/>
  <c r="AI24" i="4"/>
  <c r="AF24" i="4"/>
  <c r="AE24" i="4"/>
  <c r="AC24" i="4"/>
  <c r="AB24" i="4"/>
  <c r="Z24" i="4"/>
  <c r="Y24" i="4"/>
  <c r="W24" i="4"/>
  <c r="V24" i="4"/>
  <c r="T24" i="4"/>
  <c r="S24" i="4"/>
  <c r="P24" i="4"/>
  <c r="Q24" i="4" s="1"/>
  <c r="N24" i="4"/>
  <c r="M24" i="4"/>
  <c r="K24" i="4"/>
  <c r="J24" i="4"/>
  <c r="AI23" i="4"/>
  <c r="AE23" i="4"/>
  <c r="AF23" i="4" s="1"/>
  <c r="AB23" i="4"/>
  <c r="AC23" i="4" s="1"/>
  <c r="Z23" i="4"/>
  <c r="Y23" i="4"/>
  <c r="AG23" i="4" s="1"/>
  <c r="V23" i="4"/>
  <c r="W23" i="4" s="1"/>
  <c r="S23" i="4"/>
  <c r="T23" i="4" s="1"/>
  <c r="P23" i="4"/>
  <c r="Q23" i="4" s="1"/>
  <c r="M23" i="4"/>
  <c r="N23" i="4" s="1"/>
  <c r="J23" i="4"/>
  <c r="K23" i="4" s="1"/>
  <c r="AI22" i="4"/>
  <c r="AF22" i="4"/>
  <c r="AE22" i="4"/>
  <c r="AC22" i="4"/>
  <c r="AB22" i="4"/>
  <c r="Z22" i="4"/>
  <c r="Y22" i="4"/>
  <c r="W22" i="4"/>
  <c r="V22" i="4"/>
  <c r="S22" i="4"/>
  <c r="T22" i="4" s="1"/>
  <c r="Q22" i="4"/>
  <c r="P22" i="4"/>
  <c r="N22" i="4"/>
  <c r="M22" i="4"/>
  <c r="K22" i="4"/>
  <c r="J22" i="4"/>
  <c r="AI21" i="4"/>
  <c r="AE21" i="4"/>
  <c r="AF21" i="4" s="1"/>
  <c r="AC21" i="4"/>
  <c r="AB21" i="4"/>
  <c r="AG21" i="4" s="1"/>
  <c r="Y21" i="4"/>
  <c r="Z21" i="4" s="1"/>
  <c r="V21" i="4"/>
  <c r="W21" i="4" s="1"/>
  <c r="S21" i="4"/>
  <c r="T21" i="4" s="1"/>
  <c r="P21" i="4"/>
  <c r="Q21" i="4" s="1"/>
  <c r="M21" i="4"/>
  <c r="N21" i="4" s="1"/>
  <c r="K21" i="4"/>
  <c r="J21" i="4"/>
  <c r="AI20" i="4"/>
  <c r="AF20" i="4"/>
  <c r="AE20" i="4"/>
  <c r="AG20" i="4" s="1"/>
  <c r="AC20" i="4"/>
  <c r="AB20" i="4"/>
  <c r="Z20" i="4"/>
  <c r="Y20" i="4"/>
  <c r="V20" i="4"/>
  <c r="W20" i="4" s="1"/>
  <c r="T20" i="4"/>
  <c r="S20" i="4"/>
  <c r="Q20" i="4"/>
  <c r="AH20" i="4" s="1"/>
  <c r="P20" i="4"/>
  <c r="N20" i="4"/>
  <c r="M20" i="4"/>
  <c r="K20" i="4"/>
  <c r="J20" i="4"/>
  <c r="AI19" i="4"/>
  <c r="AF19" i="4"/>
  <c r="AE19" i="4"/>
  <c r="AG19" i="4" s="1"/>
  <c r="AB19" i="4"/>
  <c r="AC19" i="4" s="1"/>
  <c r="Y19" i="4"/>
  <c r="Z19" i="4" s="1"/>
  <c r="V19" i="4"/>
  <c r="W19" i="4" s="1"/>
  <c r="S19" i="4"/>
  <c r="T19" i="4" s="1"/>
  <c r="P19" i="4"/>
  <c r="Q19" i="4" s="1"/>
  <c r="N19" i="4"/>
  <c r="AH19" i="4" s="1"/>
  <c r="M19" i="4"/>
  <c r="J19" i="4"/>
  <c r="K19" i="4" s="1"/>
  <c r="AI18" i="4"/>
  <c r="AF18" i="4"/>
  <c r="AE18" i="4"/>
  <c r="AG18" i="4" s="1"/>
  <c r="AC18" i="4"/>
  <c r="AB18" i="4"/>
  <c r="Y18" i="4"/>
  <c r="Z18" i="4" s="1"/>
  <c r="W18" i="4"/>
  <c r="V18" i="4"/>
  <c r="T18" i="4"/>
  <c r="S18" i="4"/>
  <c r="Q18" i="4"/>
  <c r="P18" i="4"/>
  <c r="N18" i="4"/>
  <c r="AH18" i="4" s="1"/>
  <c r="M18" i="4"/>
  <c r="K18" i="4"/>
  <c r="J18" i="4"/>
  <c r="AI17" i="4"/>
  <c r="AE17" i="4"/>
  <c r="AG17" i="4" s="1"/>
  <c r="AB17" i="4"/>
  <c r="AC17" i="4" s="1"/>
  <c r="Y17" i="4"/>
  <c r="Z17" i="4" s="1"/>
  <c r="V17" i="4"/>
  <c r="W17" i="4" s="1"/>
  <c r="S17" i="4"/>
  <c r="T17" i="4" s="1"/>
  <c r="Q17" i="4"/>
  <c r="P17" i="4"/>
  <c r="M17" i="4"/>
  <c r="N17" i="4" s="1"/>
  <c r="J17" i="4"/>
  <c r="K17" i="4" s="1"/>
  <c r="AI16" i="4"/>
  <c r="AF16" i="4"/>
  <c r="AE16" i="4"/>
  <c r="AG16" i="4" s="1"/>
  <c r="AB16" i="4"/>
  <c r="AC16" i="4" s="1"/>
  <c r="Z16" i="4"/>
  <c r="Y16" i="4"/>
  <c r="W16" i="4"/>
  <c r="V16" i="4"/>
  <c r="T16" i="4"/>
  <c r="S16" i="4"/>
  <c r="Q16" i="4"/>
  <c r="P16" i="4"/>
  <c r="N16" i="4"/>
  <c r="M16" i="4"/>
  <c r="J16" i="4"/>
  <c r="K16" i="4" s="1"/>
  <c r="AJ15" i="4"/>
  <c r="AI15" i="4"/>
  <c r="AE15" i="4"/>
  <c r="AG15" i="4" s="1"/>
  <c r="AB15" i="4"/>
  <c r="AC15" i="4" s="1"/>
  <c r="Y15" i="4"/>
  <c r="Z15" i="4" s="1"/>
  <c r="W15" i="4"/>
  <c r="V15" i="4"/>
  <c r="S15" i="4"/>
  <c r="AK15" i="4" s="1"/>
  <c r="P15" i="4"/>
  <c r="Q15" i="4" s="1"/>
  <c r="M15" i="4"/>
  <c r="N15" i="4" s="1"/>
  <c r="J15" i="4"/>
  <c r="K15" i="4" s="1"/>
  <c r="AI14" i="4"/>
  <c r="AF14" i="4"/>
  <c r="AE14" i="4"/>
  <c r="AC14" i="4"/>
  <c r="AB14" i="4"/>
  <c r="Z14" i="4"/>
  <c r="Y14" i="4"/>
  <c r="W14" i="4"/>
  <c r="V14" i="4"/>
  <c r="T14" i="4"/>
  <c r="S14" i="4"/>
  <c r="P14" i="4"/>
  <c r="Q14" i="4" s="1"/>
  <c r="N14" i="4"/>
  <c r="M14" i="4"/>
  <c r="K14" i="4"/>
  <c r="J14" i="4"/>
  <c r="AI12" i="4"/>
  <c r="AE12" i="4"/>
  <c r="AG12" i="4" s="1"/>
  <c r="AB12" i="4"/>
  <c r="AC12" i="4" s="1"/>
  <c r="Z12" i="4"/>
  <c r="Y12" i="4"/>
  <c r="V12" i="4"/>
  <c r="W12" i="4" s="1"/>
  <c r="S12" i="4"/>
  <c r="T12" i="4" s="1"/>
  <c r="P12" i="4"/>
  <c r="Q12" i="4" s="1"/>
  <c r="M12" i="4"/>
  <c r="N12" i="4" s="1"/>
  <c r="J12" i="4"/>
  <c r="K12" i="4" s="1"/>
  <c r="AI11" i="4"/>
  <c r="AF11" i="4"/>
  <c r="AE11" i="4"/>
  <c r="AC11" i="4"/>
  <c r="AB11" i="4"/>
  <c r="Z11" i="4"/>
  <c r="Y11" i="4"/>
  <c r="W11" i="4"/>
  <c r="V11" i="4"/>
  <c r="S11" i="4"/>
  <c r="T11" i="4" s="1"/>
  <c r="Q11" i="4"/>
  <c r="P11" i="4"/>
  <c r="N11" i="4"/>
  <c r="M11" i="4"/>
  <c r="K11" i="4"/>
  <c r="J11" i="4"/>
  <c r="AI10" i="4"/>
  <c r="AE10" i="4"/>
  <c r="AF10" i="4" s="1"/>
  <c r="AB10" i="4"/>
  <c r="AC10" i="4" s="1"/>
  <c r="Y10" i="4"/>
  <c r="Z10" i="4" s="1"/>
  <c r="V10" i="4"/>
  <c r="W10" i="4" s="1"/>
  <c r="S10" i="4"/>
  <c r="T10" i="4" s="1"/>
  <c r="P10" i="4"/>
  <c r="Q10" i="4" s="1"/>
  <c r="M10" i="4"/>
  <c r="N10" i="4" s="1"/>
  <c r="J10" i="4"/>
  <c r="H99" i="3"/>
  <c r="H98" i="3"/>
  <c r="AD97" i="3"/>
  <c r="AD100" i="3" s="1"/>
  <c r="AC97" i="3"/>
  <c r="AC100" i="3" s="1"/>
  <c r="AA97" i="3"/>
  <c r="AA100" i="3" s="1"/>
  <c r="Z97" i="3"/>
  <c r="Z100" i="3" s="1"/>
  <c r="AN96" i="3"/>
  <c r="AM96" i="3"/>
  <c r="AK96" i="3"/>
  <c r="AJ96" i="3"/>
  <c r="AD96" i="3"/>
  <c r="AC96" i="3"/>
  <c r="AA96" i="3"/>
  <c r="Z96" i="3"/>
  <c r="T96" i="3"/>
  <c r="S96" i="3"/>
  <c r="Q96" i="3"/>
  <c r="P96" i="3"/>
  <c r="J96" i="3"/>
  <c r="I96" i="3"/>
  <c r="G96" i="3"/>
  <c r="F96" i="3"/>
  <c r="H95" i="3"/>
  <c r="H94" i="3"/>
  <c r="H93" i="3"/>
  <c r="H92" i="3"/>
  <c r="H91" i="3"/>
  <c r="H90" i="3"/>
  <c r="H89" i="3"/>
  <c r="H88" i="3"/>
  <c r="H86" i="3"/>
  <c r="H85" i="3"/>
  <c r="H84" i="3"/>
  <c r="H82" i="3"/>
  <c r="H79" i="3"/>
  <c r="H77" i="3"/>
  <c r="H76" i="3"/>
  <c r="H75" i="3"/>
  <c r="H74" i="3"/>
  <c r="H73" i="3"/>
  <c r="H72" i="3"/>
  <c r="H70" i="3"/>
  <c r="AN56" i="3"/>
  <c r="AN97" i="3" s="1"/>
  <c r="AN100" i="3" s="1"/>
  <c r="AM56" i="3"/>
  <c r="AM97" i="3" s="1"/>
  <c r="AM100" i="3" s="1"/>
  <c r="AK56" i="3"/>
  <c r="AK97" i="3" s="1"/>
  <c r="AK100" i="3" s="1"/>
  <c r="AJ56" i="3"/>
  <c r="AJ97" i="3" s="1"/>
  <c r="AJ100" i="3" s="1"/>
  <c r="AD56" i="3"/>
  <c r="AC56" i="3"/>
  <c r="AA56" i="3"/>
  <c r="Z56" i="3"/>
  <c r="T56" i="3"/>
  <c r="T97" i="3" s="1"/>
  <c r="T100" i="3" s="1"/>
  <c r="S56" i="3"/>
  <c r="S97" i="3" s="1"/>
  <c r="S100" i="3" s="1"/>
  <c r="Q56" i="3"/>
  <c r="Q97" i="3" s="1"/>
  <c r="Q100" i="3" s="1"/>
  <c r="J56" i="3"/>
  <c r="J97" i="3" s="1"/>
  <c r="J100" i="3" s="1"/>
  <c r="I56" i="3"/>
  <c r="I97" i="3" s="1"/>
  <c r="I100" i="3" s="1"/>
  <c r="G56" i="3"/>
  <c r="G97" i="3" s="1"/>
  <c r="G100" i="3" s="1"/>
  <c r="F56" i="3"/>
  <c r="F97" i="3" s="1"/>
  <c r="F100" i="3" s="1"/>
  <c r="P52" i="3"/>
  <c r="S124" i="1"/>
  <c r="R124" i="1"/>
  <c r="O124" i="1"/>
  <c r="F124" i="1"/>
  <c r="S123" i="1"/>
  <c r="S122" i="1"/>
  <c r="S125" i="1" s="1"/>
  <c r="R119" i="1"/>
  <c r="I119" i="1"/>
  <c r="G117" i="1"/>
  <c r="AA115" i="1"/>
  <c r="Y115" i="1"/>
  <c r="X115" i="1"/>
  <c r="U115" i="1"/>
  <c r="U117" i="1" s="1"/>
  <c r="R115" i="1"/>
  <c r="R117" i="1" s="1"/>
  <c r="R120" i="1" s="1"/>
  <c r="P115" i="1"/>
  <c r="P117" i="1" s="1"/>
  <c r="O115" i="1"/>
  <c r="I115" i="1"/>
  <c r="I117" i="1" s="1"/>
  <c r="G115" i="1"/>
  <c r="F115" i="1"/>
  <c r="AA113" i="1"/>
  <c r="Y113" i="1"/>
  <c r="X113" i="1"/>
  <c r="U113" i="1"/>
  <c r="R113" i="1"/>
  <c r="P113" i="1"/>
  <c r="O113" i="1"/>
  <c r="I113" i="1"/>
  <c r="G113" i="1"/>
  <c r="F113" i="1"/>
  <c r="AB104" i="1"/>
  <c r="AA104" i="1"/>
  <c r="Y104" i="1"/>
  <c r="X104" i="1"/>
  <c r="S104" i="1"/>
  <c r="R104" i="1"/>
  <c r="P104" i="1"/>
  <c r="O104" i="1"/>
  <c r="O105" i="1" s="1"/>
  <c r="O108" i="1" s="1"/>
  <c r="J104" i="1"/>
  <c r="J105" i="1" s="1"/>
  <c r="J108" i="1" s="1"/>
  <c r="I104" i="1"/>
  <c r="I105" i="1" s="1"/>
  <c r="I108" i="1" s="1"/>
  <c r="G104" i="1"/>
  <c r="F104" i="1"/>
  <c r="AM103" i="1"/>
  <c r="AL103" i="1"/>
  <c r="AI103" i="1"/>
  <c r="AH103" i="1"/>
  <c r="AN102" i="1"/>
  <c r="AJ102" i="1"/>
  <c r="AO102" i="1" s="1"/>
  <c r="AN100" i="1"/>
  <c r="AO100" i="1" s="1"/>
  <c r="AJ100" i="1"/>
  <c r="AG100" i="1"/>
  <c r="AG99" i="1"/>
  <c r="AG98" i="1"/>
  <c r="AN97" i="1"/>
  <c r="AO97" i="1" s="1"/>
  <c r="AJ97" i="1"/>
  <c r="AG97" i="1"/>
  <c r="AN96" i="1"/>
  <c r="AO96" i="1" s="1"/>
  <c r="AJ96" i="1"/>
  <c r="AG96" i="1"/>
  <c r="AN95" i="1"/>
  <c r="AO95" i="1" s="1"/>
  <c r="AJ95" i="1"/>
  <c r="AG95" i="1"/>
  <c r="AG94" i="1"/>
  <c r="AN93" i="1"/>
  <c r="AO93" i="1" s="1"/>
  <c r="AJ93" i="1"/>
  <c r="AG93" i="1"/>
  <c r="AO92" i="1"/>
  <c r="AN92" i="1"/>
  <c r="AJ92" i="1"/>
  <c r="AG92" i="1"/>
  <c r="AN91" i="1"/>
  <c r="AJ91" i="1"/>
  <c r="AO91" i="1" s="1"/>
  <c r="AG91" i="1"/>
  <c r="AN89" i="1"/>
  <c r="AN103" i="1" s="1"/>
  <c r="AJ89" i="1"/>
  <c r="AG89" i="1"/>
  <c r="AN87" i="1"/>
  <c r="AI87" i="1"/>
  <c r="AJ87" i="1" s="1"/>
  <c r="AH87" i="1"/>
  <c r="Q85" i="1"/>
  <c r="AB57" i="1"/>
  <c r="AB105" i="1" s="1"/>
  <c r="AB108" i="1" s="1"/>
  <c r="AA57" i="1"/>
  <c r="AA105" i="1" s="1"/>
  <c r="AA108" i="1" s="1"/>
  <c r="Y57" i="1"/>
  <c r="Y105" i="1" s="1"/>
  <c r="Y108" i="1" s="1"/>
  <c r="X57" i="1"/>
  <c r="X105" i="1" s="1"/>
  <c r="X108" i="1" s="1"/>
  <c r="S57" i="1"/>
  <c r="S105" i="1" s="1"/>
  <c r="S108" i="1" s="1"/>
  <c r="R57" i="1"/>
  <c r="R105" i="1" s="1"/>
  <c r="R108" i="1" s="1"/>
  <c r="P57" i="1"/>
  <c r="P105" i="1" s="1"/>
  <c r="P108" i="1" s="1"/>
  <c r="O57" i="1"/>
  <c r="J57" i="1"/>
  <c r="I57" i="1"/>
  <c r="G57" i="1"/>
  <c r="G105" i="1" s="1"/>
  <c r="G108" i="1" s="1"/>
  <c r="G119" i="1" s="1"/>
  <c r="F57" i="1"/>
  <c r="F105" i="1" s="1"/>
  <c r="F108" i="1" s="1"/>
  <c r="Q95" i="4" l="1"/>
  <c r="AH94" i="4"/>
  <c r="AH54" i="4"/>
  <c r="Q106" i="4"/>
  <c r="AH11" i="4"/>
  <c r="AH21" i="4"/>
  <c r="AH22" i="4"/>
  <c r="AH34" i="4"/>
  <c r="AH35" i="4"/>
  <c r="N55" i="4"/>
  <c r="AH10" i="4"/>
  <c r="AH47" i="4"/>
  <c r="AH83" i="4"/>
  <c r="AH14" i="4"/>
  <c r="AH23" i="4"/>
  <c r="AH24" i="4"/>
  <c r="AH37" i="4"/>
  <c r="AH44" i="4"/>
  <c r="AJ103" i="1"/>
  <c r="AO87" i="1"/>
  <c r="AO103" i="1" s="1"/>
  <c r="T55" i="4"/>
  <c r="T96" i="4" s="1"/>
  <c r="T99" i="4" s="1"/>
  <c r="AH26" i="4"/>
  <c r="AH16" i="4"/>
  <c r="AH48" i="4"/>
  <c r="Z55" i="4"/>
  <c r="AH50" i="4"/>
  <c r="AH65" i="4"/>
  <c r="AH68" i="4"/>
  <c r="AH74" i="4"/>
  <c r="G96" i="4"/>
  <c r="G99" i="4" s="1"/>
  <c r="K106" i="4" s="1"/>
  <c r="I120" i="1"/>
  <c r="AC55" i="4"/>
  <c r="AH40" i="4"/>
  <c r="AH41" i="4"/>
  <c r="AH52" i="4"/>
  <c r="N95" i="4"/>
  <c r="AH59" i="4"/>
  <c r="AH73" i="4"/>
  <c r="AH62" i="4"/>
  <c r="AG11" i="4"/>
  <c r="T15" i="4"/>
  <c r="AH15" i="4" s="1"/>
  <c r="AF17" i="4"/>
  <c r="AH17" i="4" s="1"/>
  <c r="AG22" i="4"/>
  <c r="Q27" i="4"/>
  <c r="Q55" i="4" s="1"/>
  <c r="Q96" i="4" s="1"/>
  <c r="Q99" i="4" s="1"/>
  <c r="AF30" i="4"/>
  <c r="AH30" i="4" s="1"/>
  <c r="AG35" i="4"/>
  <c r="W36" i="4"/>
  <c r="AH36" i="4" s="1"/>
  <c r="AG41" i="4"/>
  <c r="W45" i="4"/>
  <c r="AH45" i="4" s="1"/>
  <c r="AF46" i="4"/>
  <c r="AG54" i="4"/>
  <c r="AG59" i="4"/>
  <c r="AC69" i="4"/>
  <c r="AH69" i="4" s="1"/>
  <c r="AG72" i="4"/>
  <c r="AG74" i="4"/>
  <c r="AG83" i="4"/>
  <c r="I10" i="6"/>
  <c r="H10" i="6"/>
  <c r="J55" i="4"/>
  <c r="AG44" i="4"/>
  <c r="AH46" i="4"/>
  <c r="X47" i="5"/>
  <c r="X53" i="5"/>
  <c r="K10" i="4"/>
  <c r="K55" i="4" s="1"/>
  <c r="AG14" i="4"/>
  <c r="AG24" i="4"/>
  <c r="AG37" i="4"/>
  <c r="N94" i="5"/>
  <c r="N95" i="5" s="1"/>
  <c r="N98" i="5" s="1"/>
  <c r="X86" i="5"/>
  <c r="H95" i="5"/>
  <c r="H98" i="5" s="1"/>
  <c r="P56" i="3"/>
  <c r="P97" i="3" s="1"/>
  <c r="P100" i="3" s="1"/>
  <c r="AF26" i="4"/>
  <c r="AG49" i="4"/>
  <c r="G55" i="4"/>
  <c r="W68" i="4"/>
  <c r="Z71" i="4"/>
  <c r="Z95" i="4" s="1"/>
  <c r="AG75" i="4"/>
  <c r="H58" i="6"/>
  <c r="G58" i="6"/>
  <c r="AF64" i="4"/>
  <c r="AH64" i="4" s="1"/>
  <c r="AF67" i="4"/>
  <c r="AH67" i="4" s="1"/>
  <c r="AG98" i="4"/>
  <c r="T54" i="5"/>
  <c r="X41" i="5"/>
  <c r="X66" i="5"/>
  <c r="AO89" i="1"/>
  <c r="AG10" i="4"/>
  <c r="W95" i="4"/>
  <c r="AH84" i="4"/>
  <c r="U54" i="5"/>
  <c r="X51" i="5"/>
  <c r="Q94" i="5"/>
  <c r="Q95" i="5" s="1"/>
  <c r="Q98" i="5" s="1"/>
  <c r="S94" i="5"/>
  <c r="H15" i="7"/>
  <c r="AF12" i="4"/>
  <c r="AH12" i="4" s="1"/>
  <c r="AG76" i="4"/>
  <c r="AG85" i="4"/>
  <c r="AG91" i="4"/>
  <c r="N54" i="5"/>
  <c r="H81" i="6"/>
  <c r="G81" i="6"/>
  <c r="AG40" i="4"/>
  <c r="AH97" i="4"/>
  <c r="AH98" i="4"/>
  <c r="X36" i="5"/>
  <c r="X90" i="5"/>
  <c r="R94" i="5"/>
  <c r="R95" i="5" s="1"/>
  <c r="R98" i="5" s="1"/>
  <c r="G55" i="6"/>
  <c r="H55" i="6"/>
  <c r="I42" i="10"/>
  <c r="I46" i="10"/>
  <c r="L40" i="10"/>
  <c r="AC89" i="4"/>
  <c r="AH89" i="4" s="1"/>
  <c r="AG89" i="4"/>
  <c r="AF15" i="4"/>
  <c r="AF25" i="4"/>
  <c r="AH25" i="4" s="1"/>
  <c r="AF38" i="4"/>
  <c r="AH38" i="4" s="1"/>
  <c r="AF40" i="4"/>
  <c r="AG78" i="4"/>
  <c r="AG81" i="4"/>
  <c r="AH85" i="4"/>
  <c r="AG87" i="4"/>
  <c r="AF87" i="4"/>
  <c r="AH87" i="4" s="1"/>
  <c r="X77" i="5"/>
  <c r="U94" i="5"/>
  <c r="U95" i="5" s="1"/>
  <c r="U98" i="5" s="1"/>
  <c r="I11" i="6"/>
  <c r="H141" i="6" s="1"/>
  <c r="H85" i="6"/>
  <c r="AC88" i="4"/>
  <c r="AH88" i="4" s="1"/>
  <c r="AG88" i="4"/>
  <c r="X35" i="5"/>
  <c r="F15" i="6"/>
  <c r="AG48" i="4"/>
  <c r="K95" i="4"/>
  <c r="X48" i="5"/>
  <c r="Z57" i="5"/>
  <c r="X71" i="5"/>
  <c r="H8" i="7"/>
  <c r="E26" i="9"/>
  <c r="G25" i="9"/>
  <c r="X34" i="5"/>
  <c r="Z83" i="5"/>
  <c r="L11" i="6"/>
  <c r="G20" i="9"/>
  <c r="H17" i="11"/>
  <c r="Z59" i="5"/>
  <c r="Z82" i="5"/>
  <c r="N9" i="6"/>
  <c r="M9" i="6"/>
  <c r="G72" i="6"/>
  <c r="D92" i="6"/>
  <c r="D14" i="9"/>
  <c r="H14" i="9" s="1"/>
  <c r="J42" i="10"/>
  <c r="C18" i="11"/>
  <c r="T57" i="13"/>
  <c r="Z79" i="5"/>
  <c r="E19" i="11"/>
  <c r="G18" i="11"/>
  <c r="AA96" i="4"/>
  <c r="AA99" i="4" s="1"/>
  <c r="AC106" i="4" s="1"/>
  <c r="S54" i="5"/>
  <c r="P94" i="5"/>
  <c r="P95" i="5" s="1"/>
  <c r="P98" i="5" s="1"/>
  <c r="E95" i="5"/>
  <c r="E98" i="5" s="1"/>
  <c r="F40" i="6"/>
  <c r="F41" i="6" s="1"/>
  <c r="H72" i="6"/>
  <c r="C15" i="9"/>
  <c r="D15" i="9" s="1"/>
  <c r="H15" i="9" s="1"/>
  <c r="C20" i="7"/>
  <c r="D19" i="7"/>
  <c r="H19" i="7" s="1"/>
  <c r="O94" i="5"/>
  <c r="O95" i="5" s="1"/>
  <c r="O98" i="5" s="1"/>
  <c r="G20" i="7"/>
  <c r="E21" i="7"/>
  <c r="J30" i="10"/>
  <c r="X30" i="5"/>
  <c r="D19" i="9"/>
  <c r="H19" i="9" s="1"/>
  <c r="C20" i="9"/>
  <c r="G22" i="9"/>
  <c r="L47" i="10"/>
  <c r="T94" i="5"/>
  <c r="T95" i="5" s="1"/>
  <c r="T98" i="5" s="1"/>
  <c r="Z88" i="5"/>
  <c r="H8" i="9"/>
  <c r="L41" i="10"/>
  <c r="AG97" i="4"/>
  <c r="X40" i="5"/>
  <c r="Z87" i="5"/>
  <c r="J95" i="5"/>
  <c r="J98" i="5" s="1"/>
  <c r="H11" i="6"/>
  <c r="E141" i="6" s="1"/>
  <c r="M37" i="6"/>
  <c r="M38" i="6" s="1"/>
  <c r="D83" i="6" s="1"/>
  <c r="F14" i="10"/>
  <c r="B15" i="10" s="1"/>
  <c r="AH106" i="4" l="1"/>
  <c r="C19" i="11"/>
  <c r="D18" i="11"/>
  <c r="AF55" i="4"/>
  <c r="AF96" i="4" s="1"/>
  <c r="AF99" i="4" s="1"/>
  <c r="X98" i="5"/>
  <c r="AC95" i="4"/>
  <c r="AC96" i="4" s="1"/>
  <c r="AC99" i="4" s="1"/>
  <c r="AH71" i="4"/>
  <c r="K96" i="4"/>
  <c r="K99" i="4" s="1"/>
  <c r="W55" i="4"/>
  <c r="W96" i="4" s="1"/>
  <c r="W99" i="4" s="1"/>
  <c r="E22" i="7"/>
  <c r="G21" i="7"/>
  <c r="S95" i="5"/>
  <c r="S98" i="5" s="1"/>
  <c r="W98" i="5" s="1"/>
  <c r="H20" i="7"/>
  <c r="T106" i="4"/>
  <c r="G19" i="11"/>
  <c r="E20" i="11"/>
  <c r="L42" i="10"/>
  <c r="AF95" i="4"/>
  <c r="W106" i="4"/>
  <c r="F15" i="10"/>
  <c r="B16" i="10" s="1"/>
  <c r="D15" i="10"/>
  <c r="Z96" i="4"/>
  <c r="Z99" i="4" s="1"/>
  <c r="G83" i="6"/>
  <c r="G90" i="6" s="1"/>
  <c r="E134" i="6" s="1"/>
  <c r="E137" i="6" s="1"/>
  <c r="H83" i="6"/>
  <c r="H90" i="6" s="1"/>
  <c r="H134" i="6" s="1"/>
  <c r="H137" i="6" s="1"/>
  <c r="I48" i="10"/>
  <c r="L46" i="10"/>
  <c r="L48" i="10" s="1"/>
  <c r="AF106" i="4"/>
  <c r="C21" i="7"/>
  <c r="D20" i="7"/>
  <c r="AH27" i="4"/>
  <c r="N11" i="6"/>
  <c r="D64" i="6" s="1"/>
  <c r="M11" i="6"/>
  <c r="D63" i="6" s="1"/>
  <c r="D62" i="6"/>
  <c r="D20" i="9"/>
  <c r="H20" i="9" s="1"/>
  <c r="C21" i="9"/>
  <c r="X54" i="5"/>
  <c r="N96" i="4"/>
  <c r="N99" i="4" s="1"/>
  <c r="N106" i="4"/>
  <c r="E27" i="9"/>
  <c r="G26" i="9"/>
  <c r="O100" i="5"/>
  <c r="Z106" i="4"/>
  <c r="E28" i="9" l="1"/>
  <c r="G27" i="9"/>
  <c r="F16" i="10"/>
  <c r="B17" i="10" s="1"/>
  <c r="D16" i="10"/>
  <c r="E16" i="10" s="1"/>
  <c r="G64" i="6"/>
  <c r="H64" i="6"/>
  <c r="AK99" i="4"/>
  <c r="G22" i="7"/>
  <c r="E23" i="7"/>
  <c r="E15" i="10"/>
  <c r="C20" i="11"/>
  <c r="D19" i="11"/>
  <c r="G62" i="6"/>
  <c r="H62" i="6"/>
  <c r="H21" i="7"/>
  <c r="H63" i="6"/>
  <c r="G63" i="6"/>
  <c r="C22" i="7"/>
  <c r="D21" i="7"/>
  <c r="D21" i="9"/>
  <c r="H21" i="9" s="1"/>
  <c r="C22" i="9"/>
  <c r="E21" i="11"/>
  <c r="G20" i="11"/>
  <c r="H18" i="11"/>
  <c r="D22" i="9" l="1"/>
  <c r="H22" i="9" s="1"/>
  <c r="C23" i="9"/>
  <c r="G67" i="6"/>
  <c r="E145" i="6" s="1"/>
  <c r="E148" i="6" s="1"/>
  <c r="E150" i="6" s="1"/>
  <c r="H19" i="11"/>
  <c r="C23" i="7"/>
  <c r="D22" i="7"/>
  <c r="H22" i="7" s="1"/>
  <c r="D20" i="11"/>
  <c r="H20" i="11" s="1"/>
  <c r="C21" i="11"/>
  <c r="F17" i="10"/>
  <c r="B18" i="10" s="1"/>
  <c r="D17" i="10"/>
  <c r="E17" i="10" s="1"/>
  <c r="H67" i="6"/>
  <c r="H145" i="6" s="1"/>
  <c r="H148" i="6" s="1"/>
  <c r="H150" i="6" s="1"/>
  <c r="E29" i="9"/>
  <c r="G28" i="9"/>
  <c r="E22" i="11"/>
  <c r="G21" i="11"/>
  <c r="E24" i="7"/>
  <c r="G23" i="7"/>
  <c r="C24" i="7" l="1"/>
  <c r="D23" i="7"/>
  <c r="H23" i="7" s="1"/>
  <c r="E23" i="11"/>
  <c r="G22" i="11"/>
  <c r="G24" i="7"/>
  <c r="E25" i="7"/>
  <c r="H21" i="11"/>
  <c r="F18" i="10"/>
  <c r="B19" i="10" s="1"/>
  <c r="D18" i="10"/>
  <c r="G29" i="9"/>
  <c r="E30" i="9"/>
  <c r="D23" i="9"/>
  <c r="H23" i="9" s="1"/>
  <c r="C24" i="9"/>
  <c r="C22" i="11"/>
  <c r="D21" i="11"/>
  <c r="E31" i="9" l="1"/>
  <c r="G30" i="9"/>
  <c r="C25" i="7"/>
  <c r="D24" i="7"/>
  <c r="E18" i="10"/>
  <c r="E26" i="7"/>
  <c r="G25" i="7"/>
  <c r="F19" i="10"/>
  <c r="B20" i="10" s="1"/>
  <c r="D19" i="10"/>
  <c r="E19" i="10" s="1"/>
  <c r="G23" i="11"/>
  <c r="E24" i="11"/>
  <c r="H24" i="7"/>
  <c r="C23" i="11"/>
  <c r="D22" i="11"/>
  <c r="H22" i="11" s="1"/>
  <c r="D24" i="9"/>
  <c r="H24" i="9" s="1"/>
  <c r="C25" i="9"/>
  <c r="D23" i="11" l="1"/>
  <c r="C24" i="11"/>
  <c r="E25" i="11"/>
  <c r="G24" i="11"/>
  <c r="C26" i="7"/>
  <c r="D25" i="7"/>
  <c r="H25" i="7" s="1"/>
  <c r="H23" i="11"/>
  <c r="F20" i="10"/>
  <c r="B21" i="10" s="1"/>
  <c r="D20" i="10"/>
  <c r="E32" i="9"/>
  <c r="G31" i="9"/>
  <c r="D25" i="9"/>
  <c r="H25" i="9" s="1"/>
  <c r="C26" i="9"/>
  <c r="G26" i="7"/>
  <c r="E27" i="7"/>
  <c r="E20" i="10" l="1"/>
  <c r="E28" i="7"/>
  <c r="G27" i="7"/>
  <c r="E33" i="9"/>
  <c r="G32" i="9"/>
  <c r="F21" i="10"/>
  <c r="B22" i="10" s="1"/>
  <c r="D21" i="10"/>
  <c r="E21" i="10" s="1"/>
  <c r="D26" i="7"/>
  <c r="C27" i="7"/>
  <c r="H26" i="7"/>
  <c r="D26" i="9"/>
  <c r="H26" i="9" s="1"/>
  <c r="C27" i="9"/>
  <c r="E26" i="11"/>
  <c r="G25" i="11"/>
  <c r="D24" i="11"/>
  <c r="H24" i="11" s="1"/>
  <c r="C25" i="11"/>
  <c r="C28" i="7" l="1"/>
  <c r="D27" i="7"/>
  <c r="E27" i="11"/>
  <c r="G26" i="11"/>
  <c r="F22" i="10"/>
  <c r="B23" i="10" s="1"/>
  <c r="D22" i="10"/>
  <c r="E22" i="10" s="1"/>
  <c r="C26" i="11"/>
  <c r="D25" i="11"/>
  <c r="H25" i="11"/>
  <c r="G33" i="9"/>
  <c r="E34" i="9"/>
  <c r="D27" i="9"/>
  <c r="H27" i="9" s="1"/>
  <c r="C28" i="9"/>
  <c r="H27" i="7"/>
  <c r="G28" i="7"/>
  <c r="E29" i="7"/>
  <c r="E35" i="9" l="1"/>
  <c r="G34" i="9"/>
  <c r="C27" i="11"/>
  <c r="D26" i="11"/>
  <c r="E30" i="7"/>
  <c r="G29" i="7"/>
  <c r="F23" i="10"/>
  <c r="B24" i="10" s="1"/>
  <c r="D23" i="10"/>
  <c r="E23" i="10" s="1"/>
  <c r="H28" i="7"/>
  <c r="H26" i="11"/>
  <c r="G27" i="11"/>
  <c r="E28" i="11"/>
  <c r="D28" i="9"/>
  <c r="H28" i="9" s="1"/>
  <c r="C29" i="9"/>
  <c r="C29" i="7"/>
  <c r="D28" i="7"/>
  <c r="D24" i="10" l="1"/>
  <c r="E24" i="10" s="1"/>
  <c r="F24" i="10"/>
  <c r="B25" i="10" s="1"/>
  <c r="C30" i="7"/>
  <c r="D29" i="7"/>
  <c r="H29" i="7"/>
  <c r="G30" i="7"/>
  <c r="E31" i="7"/>
  <c r="C28" i="11"/>
  <c r="D27" i="11"/>
  <c r="H27" i="11" s="1"/>
  <c r="D29" i="9"/>
  <c r="H29" i="9" s="1"/>
  <c r="C30" i="9"/>
  <c r="E29" i="11"/>
  <c r="G28" i="11"/>
  <c r="E36" i="9"/>
  <c r="G35" i="9"/>
  <c r="E32" i="7" l="1"/>
  <c r="G31" i="7"/>
  <c r="E37" i="9"/>
  <c r="G36" i="9"/>
  <c r="E30" i="11"/>
  <c r="G29" i="11"/>
  <c r="D30" i="9"/>
  <c r="H30" i="9" s="1"/>
  <c r="C31" i="9"/>
  <c r="C29" i="11"/>
  <c r="D28" i="11"/>
  <c r="H28" i="11" s="1"/>
  <c r="D30" i="7"/>
  <c r="H30" i="7" s="1"/>
  <c r="C31" i="7"/>
  <c r="D25" i="10"/>
  <c r="E25" i="10" s="1"/>
  <c r="F25" i="10"/>
  <c r="B26" i="10" s="1"/>
  <c r="C30" i="11" l="1"/>
  <c r="D29" i="11"/>
  <c r="G32" i="7"/>
  <c r="E33" i="7"/>
  <c r="D31" i="9"/>
  <c r="H31" i="9" s="1"/>
  <c r="C32" i="9"/>
  <c r="H29" i="11"/>
  <c r="E31" i="11"/>
  <c r="G30" i="11"/>
  <c r="F26" i="10"/>
  <c r="B27" i="10" s="1"/>
  <c r="D26" i="10"/>
  <c r="E26" i="10" s="1"/>
  <c r="G37" i="9"/>
  <c r="E38" i="9"/>
  <c r="C32" i="7"/>
  <c r="D31" i="7"/>
  <c r="H31" i="7"/>
  <c r="F27" i="10" l="1"/>
  <c r="B28" i="10" s="1"/>
  <c r="D27" i="10"/>
  <c r="E27" i="10" s="1"/>
  <c r="E32" i="11"/>
  <c r="G31" i="11"/>
  <c r="D32" i="9"/>
  <c r="H32" i="9" s="1"/>
  <c r="C33" i="9"/>
  <c r="E34" i="7"/>
  <c r="G33" i="7"/>
  <c r="C33" i="7"/>
  <c r="D32" i="7"/>
  <c r="H32" i="7" s="1"/>
  <c r="G38" i="9"/>
  <c r="D30" i="11"/>
  <c r="H30" i="11" s="1"/>
  <c r="C31" i="11"/>
  <c r="G34" i="7" l="1"/>
  <c r="E35" i="7"/>
  <c r="E33" i="11"/>
  <c r="G32" i="11"/>
  <c r="D33" i="9"/>
  <c r="C34" i="9"/>
  <c r="C34" i="7"/>
  <c r="D33" i="7"/>
  <c r="H33" i="7" s="1"/>
  <c r="D31" i="11"/>
  <c r="H31" i="11" s="1"/>
  <c r="C32" i="11"/>
  <c r="F28" i="10"/>
  <c r="B29" i="10" s="1"/>
  <c r="D28" i="10"/>
  <c r="E28" i="10" s="1"/>
  <c r="G33" i="11" l="1"/>
  <c r="E34" i="11"/>
  <c r="C33" i="11"/>
  <c r="D32" i="11"/>
  <c r="D34" i="7"/>
  <c r="H34" i="7" s="1"/>
  <c r="C35" i="7"/>
  <c r="D34" i="9"/>
  <c r="H34" i="9" s="1"/>
  <c r="C35" i="9"/>
  <c r="H33" i="9"/>
  <c r="H32" i="11"/>
  <c r="E36" i="7"/>
  <c r="G35" i="7"/>
  <c r="F29" i="10"/>
  <c r="B30" i="10" s="1"/>
  <c r="D29" i="10"/>
  <c r="E29" i="10" s="1"/>
  <c r="D35" i="9" l="1"/>
  <c r="C36" i="9"/>
  <c r="C36" i="7"/>
  <c r="D35" i="7"/>
  <c r="E35" i="11"/>
  <c r="G34" i="11"/>
  <c r="G36" i="7"/>
  <c r="E37" i="7"/>
  <c r="C34" i="11"/>
  <c r="D33" i="11"/>
  <c r="H33" i="11" s="1"/>
  <c r="D30" i="10"/>
  <c r="E30" i="10" s="1"/>
  <c r="F30" i="10"/>
  <c r="B31" i="10" s="1"/>
  <c r="H35" i="7"/>
  <c r="F31" i="10" l="1"/>
  <c r="B32" i="10" s="1"/>
  <c r="D31" i="10"/>
  <c r="E31" i="10" s="1"/>
  <c r="C35" i="11"/>
  <c r="D34" i="11"/>
  <c r="H36" i="7"/>
  <c r="H35" i="9"/>
  <c r="G37" i="7"/>
  <c r="E38" i="7"/>
  <c r="H34" i="11"/>
  <c r="E36" i="11"/>
  <c r="G35" i="11"/>
  <c r="C37" i="7"/>
  <c r="D36" i="7"/>
  <c r="D36" i="9"/>
  <c r="H36" i="9" s="1"/>
  <c r="C37" i="9"/>
  <c r="F32" i="10" l="1"/>
  <c r="B33" i="10" s="1"/>
  <c r="D32" i="10"/>
  <c r="E32" i="10" s="1"/>
  <c r="E37" i="11"/>
  <c r="G36" i="11"/>
  <c r="D37" i="7"/>
  <c r="D38" i="7" s="1"/>
  <c r="C38" i="7"/>
  <c r="D37" i="9"/>
  <c r="C38" i="9"/>
  <c r="C36" i="11"/>
  <c r="D35" i="11"/>
  <c r="H35" i="11" s="1"/>
  <c r="H37" i="7"/>
  <c r="D41" i="7"/>
  <c r="G38" i="7"/>
  <c r="F33" i="10" l="1"/>
  <c r="B34" i="10" s="1"/>
  <c r="D33" i="10"/>
  <c r="E33" i="10" s="1"/>
  <c r="C37" i="11"/>
  <c r="D36" i="11"/>
  <c r="D38" i="9"/>
  <c r="H37" i="9"/>
  <c r="D41" i="9"/>
  <c r="H36" i="11"/>
  <c r="G37" i="11"/>
  <c r="E38" i="11"/>
  <c r="D40" i="7"/>
  <c r="H38" i="7"/>
  <c r="D42" i="7" s="1"/>
  <c r="D34" i="10" l="1"/>
  <c r="E34" i="10" s="1"/>
  <c r="F34" i="10"/>
  <c r="B35" i="10" s="1"/>
  <c r="G38" i="11"/>
  <c r="D40" i="9"/>
  <c r="H38" i="9"/>
  <c r="D37" i="11"/>
  <c r="D38" i="11" s="1"/>
  <c r="C38" i="11"/>
  <c r="D41" i="11" l="1"/>
  <c r="H37" i="11"/>
  <c r="D35" i="10"/>
  <c r="E35" i="10" s="1"/>
  <c r="F35" i="10"/>
  <c r="B36" i="10" s="1"/>
  <c r="D36" i="10" l="1"/>
  <c r="E36" i="10" s="1"/>
  <c r="F36" i="10"/>
  <c r="B37" i="10" s="1"/>
  <c r="D40" i="11"/>
  <c r="H38" i="11"/>
  <c r="D42" i="11" s="1"/>
  <c r="F37" i="10" l="1"/>
  <c r="B38" i="10" s="1"/>
  <c r="D37" i="10"/>
  <c r="E37" i="10" s="1"/>
  <c r="F38" i="10" l="1"/>
  <c r="B39" i="10" s="1"/>
  <c r="D38" i="10"/>
  <c r="E38" i="10" s="1"/>
  <c r="F39" i="10" l="1"/>
  <c r="B40" i="10" s="1"/>
  <c r="D39" i="10"/>
  <c r="E39" i="10" s="1"/>
  <c r="D40" i="10" l="1"/>
  <c r="E40" i="10" s="1"/>
  <c r="F40" i="10"/>
  <c r="B41" i="10" s="1"/>
  <c r="F41" i="10" l="1"/>
  <c r="B42" i="10" s="1"/>
  <c r="D41" i="10"/>
  <c r="E41" i="10" s="1"/>
  <c r="F42" i="10" l="1"/>
  <c r="D42" i="10"/>
  <c r="E42" i="10" l="1"/>
  <c r="D43" i="10"/>
  <c r="E43" i="10" s="1"/>
</calcChain>
</file>

<file path=xl/sharedStrings.xml><?xml version="1.0" encoding="utf-8"?>
<sst xmlns="http://schemas.openxmlformats.org/spreadsheetml/2006/main" count="1795" uniqueCount="503">
  <si>
    <t>8.0 Economic code wise comparison of cost summary between the 1st Revised DPP and proposed 2nd Revised DPP</t>
  </si>
  <si>
    <t>(BDT in Lakh)</t>
  </si>
  <si>
    <t>Economic Code</t>
  </si>
  <si>
    <t>Economic Sub-Code</t>
  </si>
  <si>
    <t>Sub-Code wise component description</t>
  </si>
  <si>
    <t xml:space="preserve"> approved  1st Revised DPP</t>
  </si>
  <si>
    <t>Proposed 2nd Revised DPP</t>
  </si>
  <si>
    <t>Difference</t>
  </si>
  <si>
    <t>Unit</t>
  </si>
  <si>
    <t>Qty.</t>
  </si>
  <si>
    <t>Cost</t>
  </si>
  <si>
    <t>Total</t>
  </si>
  <si>
    <t>GOB
(FE)</t>
  </si>
  <si>
    <t>Project Aid</t>
  </si>
  <si>
    <t>Own Fund</t>
  </si>
  <si>
    <t>Others</t>
  </si>
  <si>
    <t>RPA</t>
  </si>
  <si>
    <t>DPA</t>
  </si>
  <si>
    <t>Through GOB</t>
  </si>
  <si>
    <t>Special Account*</t>
  </si>
  <si>
    <t>(a) Revenue Component:</t>
  </si>
  <si>
    <t>Allowances</t>
  </si>
  <si>
    <t>Conveyance Allowance</t>
  </si>
  <si>
    <t>1 Item</t>
  </si>
  <si>
    <t>Overtime Allowance</t>
  </si>
  <si>
    <t>Other Allowance</t>
  </si>
  <si>
    <t>Supplies and Services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</si>
  <si>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</si>
  <si>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</si>
  <si>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</si>
  <si>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</si>
  <si>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</si>
  <si>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</si>
  <si>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</si>
  <si>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</si>
  <si>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</si>
  <si>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</si>
  <si>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</si>
  <si>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</si>
  <si>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</si>
  <si>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</si>
  <si>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</si>
  <si>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Training Expenditure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</si>
  <si>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</si>
  <si>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</si>
  <si>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</si>
  <si>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</si>
  <si>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</si>
  <si>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</si>
  <si>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>Consultancy  : International - 56 M/M(Detail in Appendix-E of original approved DPP) National - 532 M/M (Detail in Appendix-E of original approved DPP)</t>
  </si>
  <si>
    <t>MM</t>
  </si>
  <si>
    <t>71+234</t>
  </si>
  <si>
    <t>56+532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</si>
  <si>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</si>
  <si>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</si>
  <si>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</si>
  <si>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</si>
  <si>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</si>
  <si>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</si>
  <si>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>Repair, Maintenance &amp; Rehabilitation</t>
  </si>
  <si>
    <t xml:space="preserve"> Motor Vehicles</t>
  </si>
  <si>
    <t>L.S.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</si>
  <si>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</si>
  <si>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</si>
  <si>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</si>
  <si>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</si>
  <si>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</si>
  <si>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</si>
  <si>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</si>
  <si>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</si>
  <si>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</si>
  <si>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Sub-total : (a) Revenue Component:</t>
  </si>
  <si>
    <t xml:space="preserve"> </t>
  </si>
  <si>
    <t>(b) Capital Component:</t>
  </si>
  <si>
    <t>Acquisition of Assets:</t>
  </si>
  <si>
    <t xml:space="preserve"> Motor Vehicle :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</si>
  <si>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</si>
  <si>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>Nos</t>
  </si>
  <si>
    <t>Motorcycle - 45 Nos. (PMO 2 Nos.,Kishoreganj 15 Nos., Netrokona 8 Nos., Sunamganj 8 Nos., Habiganj 8 Nos.&amp; Brahmanbaria 4 Nos).</t>
  </si>
  <si>
    <t>Water Transport :</t>
  </si>
  <si>
    <t>Speed Boat with Engine and all accessories (75 hp &amp; 5 Nos.)</t>
  </si>
  <si>
    <t>Photocopier -7 nos (PMO 2 Nos.,Kishoreganj 1 No., Netrokona 1 No., Sunamganj 1 No., Habiganj 1No.&amp; Brahmanbaria 1 No).</t>
  </si>
  <si>
    <t>Fax -2 nos (PMO 2 Nos.).</t>
  </si>
  <si>
    <t>Survey Equipments (Digital leveling Instrument 5 nos., Total Station 2 nos. &amp; Hand Held GPS 10 Nos)</t>
  </si>
  <si>
    <t>Networking Equipment- 3 nos (PMO 1 No., Kishoreganj 1 No., Netrokona 1 No., )</t>
  </si>
  <si>
    <t>Engineering Laboratory Equipments for Kishoregonj WD Division</t>
  </si>
  <si>
    <t>L.S</t>
  </si>
  <si>
    <t>Computers &amp; Accessories</t>
  </si>
  <si>
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</si>
  <si>
    <t>Laptop Computer -11 nos (PMO 6 Nos.,Kishoreganj 1 No., Netrokona 1 No., Sunamganj 1 No., Habiganj 1No.&amp; Brahmanbaria 1 No)</t>
  </si>
  <si>
    <t xml:space="preserve">A3 Combo Printer 2 no ( PMO) </t>
  </si>
  <si>
    <t>Laser Printer- 17 nos. (PMO 9 Nos.,Kishoreganj 2 No., Netrokona 2  No., Sunamganj 2 No., Habiganj 1No.&amp; Brahmanbaria 1 No.)</t>
  </si>
  <si>
    <t>LS</t>
  </si>
  <si>
    <t>Aircooler</t>
  </si>
  <si>
    <t>Ori</t>
  </si>
  <si>
    <t>Pro</t>
  </si>
  <si>
    <t>Diff</t>
  </si>
  <si>
    <t xml:space="preserve">Acquisition/Purchase of lands and  landed properties of Assets: </t>
  </si>
  <si>
    <t>Land Acquisition ( 470 hectare)</t>
  </si>
  <si>
    <t>ha</t>
  </si>
  <si>
    <t>Construction and Works:</t>
  </si>
  <si>
    <t>Irrigation Infrastructures :</t>
  </si>
  <si>
    <t>Construction of Irrigation Inlet (New Haors)</t>
  </si>
  <si>
    <t>Drainage Structures :</t>
  </si>
  <si>
    <t xml:space="preserve"> Re-installation/Construction of Regulator/ Causeway (Rehabilitation Sub-Projects)</t>
  </si>
  <si>
    <t>7(2+5)</t>
  </si>
  <si>
    <t xml:space="preserve"> Installation/Construction of New Regulators/ Causeway/Bridge/Box Drainage Outlet) (New Haors)</t>
  </si>
  <si>
    <t>137(57+35+14)</t>
  </si>
  <si>
    <t xml:space="preserve"> Re-excavation of Khal/River (New Haors) </t>
  </si>
  <si>
    <t>Km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</si>
  <si>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</si>
  <si>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</si>
  <si>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</si>
  <si>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</si>
  <si>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</si>
  <si>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Threshing Floor Construction</t>
  </si>
  <si>
    <t>Construction of WMG Office</t>
  </si>
  <si>
    <t>O&amp;M During Construction</t>
  </si>
  <si>
    <t>Iten</t>
  </si>
  <si>
    <t>Sub-total : (b) Capital Component:</t>
  </si>
  <si>
    <t>Total Cost (a+b) :</t>
  </si>
  <si>
    <t>(c) Physical Contingency ( Lump sum):</t>
  </si>
  <si>
    <t>Item</t>
  </si>
  <si>
    <t>(d) Price Contingency (Lump sum):</t>
  </si>
  <si>
    <t>Grand Total : (a)+(b)+(c)+(d):</t>
  </si>
  <si>
    <t>* DOSA, CONTASA, SAFE, IMPREST etc.</t>
  </si>
  <si>
    <t>c+d</t>
  </si>
  <si>
    <t>Phy.Works</t>
  </si>
  <si>
    <t>c+d+works</t>
  </si>
  <si>
    <t>other</t>
  </si>
  <si>
    <t>Reh</t>
  </si>
  <si>
    <t>New</t>
  </si>
  <si>
    <t xml:space="preserve"> 9.0 Item wise Cumulative Progress and Year wise Breakdown of Revised Quantity and Cost to be Incurred.</t>
  </si>
  <si>
    <t>Taka in Lac</t>
  </si>
  <si>
    <t>Economic 
Sub-Code</t>
  </si>
  <si>
    <t>Cumulative Progress Upto June 2019 (Year 1 to Year-5) †</t>
  </si>
  <si>
    <t>FY: 2019-2020 (Year-6)</t>
  </si>
  <si>
    <t>FY: 2020-21 (Year-7)</t>
  </si>
  <si>
    <t>FY: 2021-2022 (Year-8)</t>
  </si>
  <si>
    <t>Quantity (In detail)</t>
  </si>
  <si>
    <t>Special Account</t>
  </si>
  <si>
    <t>Through PD</t>
  </si>
  <si>
    <t>Through DP</t>
  </si>
  <si>
    <t>Part</t>
  </si>
  <si>
    <t xml:space="preserve">Supplies and services: </t>
  </si>
  <si>
    <t xml:space="preserve">Repair, Maintenance &amp; Rehabilitation: </t>
  </si>
  <si>
    <t>Nos.</t>
  </si>
  <si>
    <t>(a) Sub-total Revenue Component:</t>
  </si>
  <si>
    <t>7 nos.</t>
  </si>
  <si>
    <t>3 nos.</t>
  </si>
  <si>
    <t>30 nos</t>
  </si>
  <si>
    <t>5 nos.</t>
  </si>
  <si>
    <t>3 nos</t>
  </si>
  <si>
    <t>Mechinary &amp; Other Equipment</t>
  </si>
  <si>
    <t>2 nos.</t>
  </si>
  <si>
    <t>11 nos.</t>
  </si>
  <si>
    <t>6 nos.</t>
  </si>
  <si>
    <t>27 nos.</t>
  </si>
  <si>
    <t>4 nos.</t>
  </si>
  <si>
    <t>1 no.</t>
  </si>
  <si>
    <t>No.</t>
  </si>
  <si>
    <t>ha.</t>
  </si>
  <si>
    <t>Irrigation Infrastructurs :</t>
  </si>
  <si>
    <t>Km.</t>
  </si>
  <si>
    <t>Others:</t>
  </si>
  <si>
    <t>(b)Sub-total Capital Component:</t>
  </si>
  <si>
    <t>Grand Total (a+b+c+d) :</t>
  </si>
  <si>
    <t xml:space="preserve">                  †  Year 1 is FY 2014-15, Year 2 is FY 2015-16 and Year 3 is FY 2016-17 </t>
  </si>
  <si>
    <t>Year wise Financial and Physical Target Plan</t>
  </si>
  <si>
    <t>Annexure-II</t>
  </si>
  <si>
    <t xml:space="preserve">Name of the Project : Haor Flood Management and Livelihood Improvement Project.(BWDB Part) 
</t>
  </si>
  <si>
    <t>Name of agency/Division/Ministry: Bangladesh Water Development Board / Ministry of Water Resources</t>
  </si>
  <si>
    <t>Economic 
Sub-Code (In detail)</t>
  </si>
  <si>
    <t xml:space="preserve"> Sub Code Description
(In detail)</t>
  </si>
  <si>
    <t>Total Physical &amp; Financial Target</t>
  </si>
  <si>
    <t>FY: 2014-15 (Year-1)</t>
  </si>
  <si>
    <t>FY: 2015-16 (Year-2)</t>
  </si>
  <si>
    <t>FY: 2016-17 (Year-3)</t>
  </si>
  <si>
    <t>FY: 2017-18 (Year-4)</t>
  </si>
  <si>
    <t>FY: 2018-19 (Year-5)</t>
  </si>
  <si>
    <t>FY: 2019-20 (Year-6)</t>
  </si>
  <si>
    <t>FY: 2021-22 (Year-8)</t>
  </si>
  <si>
    <t>Unit
Cost</t>
  </si>
  <si>
    <t>Quantity</t>
  </si>
  <si>
    <t>Total
Cost 
(Taka in Lac)</t>
  </si>
  <si>
    <t>Weight</t>
  </si>
  <si>
    <t>Financial Amount (Taka in Lac)</t>
  </si>
  <si>
    <t>Physical</t>
  </si>
  <si>
    <t>% of Item</t>
  </si>
  <si>
    <t>% of Project</t>
  </si>
  <si>
    <t>Months</t>
  </si>
  <si>
    <t>item</t>
  </si>
  <si>
    <t>(a)Sub-total Revenue Component:</t>
  </si>
  <si>
    <t>Sets</t>
  </si>
  <si>
    <t>km</t>
  </si>
  <si>
    <t>(b) Sub-total Capital Component:</t>
  </si>
  <si>
    <t>#  Weight of each item            =</t>
  </si>
  <si>
    <t>(Est. cost of each respective item)</t>
  </si>
  <si>
    <t>(Total cost of all Physical items)</t>
  </si>
  <si>
    <t>#  Physical Percentage of item =</t>
  </si>
  <si>
    <t>Quantity/number targeted in each year</t>
  </si>
  <si>
    <t xml:space="preserve"> x 100</t>
  </si>
  <si>
    <t>Total quantity/number of respective item for whole project period</t>
  </si>
  <si>
    <t># Physical % of total Project    =</t>
  </si>
  <si>
    <t>Weight of each item x % of item</t>
  </si>
  <si>
    <t>Investment Cost</t>
  </si>
  <si>
    <t>Name of the Project                         :</t>
  </si>
  <si>
    <t xml:space="preserve"> Haor Flood Management and Livelihood Improvement Project.(BWDB Part)(Revised)</t>
  </si>
  <si>
    <t>Name of agency/Division/Ministry    :</t>
  </si>
  <si>
    <t>Bangladesh Water Development Board / Ministry of Water Resources</t>
  </si>
  <si>
    <t>(In Lakh Taka)</t>
  </si>
  <si>
    <t>Budget Head</t>
  </si>
  <si>
    <t>Economic Code/
Sub Code</t>
  </si>
  <si>
    <t xml:space="preserve"> Code/Sub Code Description</t>
  </si>
  <si>
    <t>Total Project Cost</t>
  </si>
  <si>
    <t>Financial</t>
  </si>
  <si>
    <t>CF</t>
  </si>
  <si>
    <t>Economic</t>
  </si>
  <si>
    <t>Year-1</t>
  </si>
  <si>
    <t>Year-2</t>
  </si>
  <si>
    <t>Year-3</t>
  </si>
  <si>
    <t>Year-4</t>
  </si>
  <si>
    <t>Year-5</t>
  </si>
  <si>
    <t>Year-6</t>
  </si>
  <si>
    <t>Year-7</t>
  </si>
  <si>
    <t>Year-8</t>
  </si>
  <si>
    <t xml:space="preserve"> Area,Yield and Gross Production Value</t>
  </si>
  <si>
    <t>Gross Area = 185475 ha.&amp; Net Cultivable Area = 156392 ha.</t>
  </si>
  <si>
    <t>PRE - PROJECT  CONDITION</t>
  </si>
  <si>
    <t>Sl.</t>
  </si>
  <si>
    <t>Area</t>
  </si>
  <si>
    <t>Yield</t>
  </si>
  <si>
    <t xml:space="preserve">  Unit Rate (Tk./mt.)</t>
  </si>
  <si>
    <t>Gross Prod. Value(Lakh Tk.)</t>
  </si>
  <si>
    <t>Crops</t>
  </si>
  <si>
    <t>(ha.)</t>
  </si>
  <si>
    <t>(mt./ha.)</t>
  </si>
  <si>
    <t>Prod. (mt.)</t>
  </si>
  <si>
    <t>ML</t>
  </si>
  <si>
    <t>Seed</t>
  </si>
  <si>
    <t>Urea</t>
  </si>
  <si>
    <t>TSP</t>
  </si>
  <si>
    <t>MP</t>
  </si>
  <si>
    <t>1.</t>
  </si>
  <si>
    <t>Boro (L)</t>
  </si>
  <si>
    <t>2.</t>
  </si>
  <si>
    <t>Boro (HYV)</t>
  </si>
  <si>
    <t>Total :</t>
  </si>
  <si>
    <t>-</t>
  </si>
  <si>
    <t xml:space="preserve">         Cropping Intensity =</t>
  </si>
  <si>
    <t xml:space="preserve">                     Total  Paddy  Production =</t>
  </si>
  <si>
    <t>mt.</t>
  </si>
  <si>
    <t>POST - PROJECT  CONDITION</t>
  </si>
  <si>
    <t>%</t>
  </si>
  <si>
    <t xml:space="preserve">                     Incremental  Paddy  Production =</t>
  </si>
  <si>
    <t>Variable Cost of Cultivation</t>
  </si>
  <si>
    <t>Items</t>
  </si>
  <si>
    <t xml:space="preserve">                    Unit Rate (Taka)</t>
  </si>
  <si>
    <t xml:space="preserve">                      Total cost (Lakh Taka)</t>
  </si>
  <si>
    <t>Manual Labour</t>
  </si>
  <si>
    <t>Man-day</t>
  </si>
  <si>
    <t>Power Tiller</t>
  </si>
  <si>
    <t>3.</t>
  </si>
  <si>
    <t>Seed/Seedlings</t>
  </si>
  <si>
    <t>a)</t>
  </si>
  <si>
    <t>Paddy</t>
  </si>
  <si>
    <t>b)</t>
  </si>
  <si>
    <t>Wheat</t>
  </si>
  <si>
    <t>d)</t>
  </si>
  <si>
    <t>Mustard</t>
  </si>
  <si>
    <t>4.</t>
  </si>
  <si>
    <t>Fertilizers</t>
  </si>
  <si>
    <t xml:space="preserve">b) </t>
  </si>
  <si>
    <t>T.S.P.</t>
  </si>
  <si>
    <t>c)</t>
  </si>
  <si>
    <t>M.P.</t>
  </si>
  <si>
    <t>5.</t>
  </si>
  <si>
    <t>Insecticide</t>
  </si>
  <si>
    <t>6.</t>
  </si>
  <si>
    <t>Irrigation Cost</t>
  </si>
  <si>
    <t>Onion</t>
  </si>
  <si>
    <t>Jute</t>
  </si>
  <si>
    <t>e)</t>
  </si>
  <si>
    <t>Vegetables</t>
  </si>
  <si>
    <t>Incremental Farm Labour =</t>
  </si>
  <si>
    <t>mandays</t>
  </si>
  <si>
    <t>FIXED  COST</t>
  </si>
  <si>
    <t>A.</t>
  </si>
  <si>
    <t xml:space="preserve">                            PRE - PROJECT  CONDITION</t>
  </si>
  <si>
    <t>Rent &amp; rates</t>
  </si>
  <si>
    <t>Up-keep of stock</t>
  </si>
  <si>
    <t>Interest on credit</t>
  </si>
  <si>
    <t xml:space="preserve">                                                                 Total per hectare(Taka)</t>
  </si>
  <si>
    <t>Total for the project (Lakh Taka)</t>
  </si>
  <si>
    <t>(Net Area= 240578 ha.)</t>
  </si>
  <si>
    <t>B.</t>
  </si>
  <si>
    <t xml:space="preserve">                               POST - PROJECT  CONDITION</t>
  </si>
  <si>
    <t>SUMMARY  OF  BENEFIT</t>
  </si>
  <si>
    <t>Gross Production Value</t>
  </si>
  <si>
    <t>Cost of cultivation</t>
  </si>
  <si>
    <t>i) Variable Cost</t>
  </si>
  <si>
    <t>ii) Fixed Cost</t>
  </si>
  <si>
    <t>Net Benefit (A1-A2)</t>
  </si>
  <si>
    <t>Net Benefit (B1-B2)</t>
  </si>
  <si>
    <t>C.</t>
  </si>
  <si>
    <t>Net Incremental Benefit from Agriculture      (A3-B3)</t>
  </si>
  <si>
    <t>Computation of Internal Rate of Return</t>
  </si>
  <si>
    <t>(Financial)</t>
  </si>
  <si>
    <t xml:space="preserve"> (BDT In Lakh)</t>
  </si>
  <si>
    <t>Year</t>
  </si>
  <si>
    <t>Invest. Cost</t>
  </si>
  <si>
    <t xml:space="preserve">   O &amp; M</t>
  </si>
  <si>
    <t>Total Cost</t>
  </si>
  <si>
    <t xml:space="preserve"> Benefits from Agriculture</t>
  </si>
  <si>
    <t>Others Benefits</t>
  </si>
  <si>
    <t>Total Benefits</t>
  </si>
  <si>
    <t>Cashflow</t>
  </si>
  <si>
    <t>NPV @12%</t>
  </si>
  <si>
    <t>All calculations are based on project period of 30 years</t>
  </si>
  <si>
    <t>FIRR base case</t>
  </si>
  <si>
    <t>Benefit Cost Ratio</t>
  </si>
  <si>
    <t>(Economic)</t>
  </si>
  <si>
    <t xml:space="preserve"> (In Lakh Taka)</t>
  </si>
  <si>
    <t>EIRR base case</t>
  </si>
  <si>
    <t>Annexure-IV</t>
  </si>
  <si>
    <t>Revised Amortization Schedule</t>
  </si>
  <si>
    <t>Name of Project</t>
  </si>
  <si>
    <t>: Haor Flood Management &amp; Livelihood Improvement Project (BWDB Part)</t>
  </si>
  <si>
    <t>Total Investment</t>
  </si>
  <si>
    <t>: BDT 102234.00 Lakh</t>
  </si>
  <si>
    <t>Loan Portion</t>
  </si>
  <si>
    <t>: BDT 59529.60 Lakh</t>
  </si>
  <si>
    <t>Loan Period</t>
  </si>
  <si>
    <t>: 40 Years Including 10 Uears grace Period</t>
  </si>
  <si>
    <t>Trate of Investment</t>
  </si>
  <si>
    <t>: 0.01% per annum</t>
  </si>
  <si>
    <t>(Taka in Lac)</t>
  </si>
  <si>
    <t>Beginning Principal Amount</t>
  </si>
  <si>
    <t>Yearly Fixed Amount to be Paid (Principal)</t>
  </si>
  <si>
    <t>Yearly Interes to be Paid</t>
  </si>
  <si>
    <t>Total Payment (Principal + Interest)</t>
  </si>
  <si>
    <t>Ending Principal Balance</t>
  </si>
  <si>
    <t>2014-15</t>
  </si>
  <si>
    <t>5= (3+4)</t>
  </si>
  <si>
    <t>6=(2-3)</t>
  </si>
  <si>
    <t>GoB</t>
  </si>
  <si>
    <t>Rev</t>
  </si>
  <si>
    <t>Cap</t>
  </si>
  <si>
    <t>2015-16</t>
  </si>
  <si>
    <t>Cum</t>
  </si>
  <si>
    <t>2016-17</t>
  </si>
  <si>
    <t>ADP</t>
  </si>
  <si>
    <t>2017-18</t>
  </si>
  <si>
    <t>July2016-Mar17</t>
  </si>
  <si>
    <t>Apr2017-June17</t>
  </si>
  <si>
    <t>Name</t>
  </si>
  <si>
    <t>Sub-Project No</t>
  </si>
  <si>
    <t>Construction of Irrigation Inlet</t>
  </si>
  <si>
    <t>Rehab Regulator Rehab Haor</t>
  </si>
  <si>
    <t>Regulator</t>
  </si>
  <si>
    <t>Box Drainage Outlet</t>
  </si>
  <si>
    <t>Causeway</t>
  </si>
  <si>
    <t>Bridge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</si>
  <si>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</si>
  <si>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</si>
  <si>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</si>
  <si>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</si>
  <si>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</si>
  <si>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</si>
  <si>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Embankment Slope Protection</t>
  </si>
  <si>
    <t>Thrashing Floor Construction</t>
  </si>
  <si>
    <t>Construction of WMG</t>
  </si>
  <si>
    <t>ME Gate Repair</t>
  </si>
  <si>
    <t>index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</si>
  <si>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</si>
  <si>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</si>
  <si>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</si>
  <si>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</si>
  <si>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</si>
  <si>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</si>
  <si>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</si>
  <si>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</si>
  <si>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</si>
  <si>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</si>
  <si>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</si>
  <si>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</si>
  <si>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</si>
  <si>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</si>
  <si>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</si>
  <si>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</si>
  <si>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</si>
  <si>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</si>
  <si>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</si>
  <si>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</si>
  <si>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</si>
  <si>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</si>
  <si>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</si>
  <si>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</si>
  <si>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</si>
  <si>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</si>
  <si>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</t>
  </si>
  <si>
    <t>KISH/PW-29</t>
  </si>
  <si>
    <t>KISH/PW-30</t>
  </si>
  <si>
    <t>KISH/PW-31</t>
  </si>
  <si>
    <t>KISH/PW-32</t>
  </si>
  <si>
    <t>KISH/PW-33</t>
  </si>
  <si>
    <t>HOBI/PW-01</t>
  </si>
  <si>
    <t>HOBI/PW-02</t>
  </si>
  <si>
    <t>HOBI/PW-04</t>
  </si>
  <si>
    <t>HOBI/PW-05</t>
  </si>
  <si>
    <t>HOBI/PW-06</t>
  </si>
  <si>
    <t>HOBI/PW-07</t>
  </si>
  <si>
    <t>HOBI/PW-08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</si>
  <si>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</si>
  <si>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</si>
  <si>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</si>
  <si>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</si>
  <si>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</si>
  <si>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</si>
  <si>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</si>
  <si>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</si>
  <si>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SUNM/PW-01</t>
  </si>
  <si>
    <t>SUNM/PW-02</t>
  </si>
  <si>
    <t>SUNM/PW-03</t>
  </si>
  <si>
    <t>SUNM/PW-04</t>
  </si>
  <si>
    <t>SUNM/PW-05</t>
  </si>
  <si>
    <t>SUNM/PW-06</t>
  </si>
  <si>
    <t>SUNM/PW-07</t>
  </si>
  <si>
    <t>BRAH/PW-01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</si>
  <si>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</si>
  <si>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</si>
  <si>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</si>
  <si>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</si>
  <si>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</si>
  <si>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</si>
  <si>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</si>
  <si>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</si>
  <si>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</si>
  <si>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</si>
  <si>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</si>
  <si>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</si>
  <si>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</si>
  <si>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</si>
  <si>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</si>
  <si>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</si>
  <si>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</si>
  <si>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</si>
  <si>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</si>
  <si>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N-10</t>
  </si>
  <si>
    <t>Ganesh Haor Sub-Project</t>
  </si>
  <si>
    <t>N-11</t>
  </si>
  <si>
    <t>Dharmapasha Rui Beel Sub-Project</t>
  </si>
  <si>
    <t>N-12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</si>
  <si>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</si>
  <si>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</si>
  <si>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</si>
  <si>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</si>
  <si>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</si>
  <si>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</si>
  <si>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</si>
  <si>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</si>
  <si>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</si>
  <si>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</si>
  <si>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</si>
  <si>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</si>
  <si>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</si>
  <si>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</si>
  <si>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</si>
  <si>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</si>
  <si>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</si>
  <si>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R-7</t>
  </si>
  <si>
    <t>Bashira River Re-excavation Sub-Project</t>
  </si>
  <si>
    <t>R-8</t>
  </si>
  <si>
    <t>Dampara Water Management Scheme</t>
  </si>
  <si>
    <t>R-9</t>
  </si>
  <si>
    <t>Kangsha River Scheme</t>
  </si>
  <si>
    <t>R-10</t>
  </si>
  <si>
    <t>Singer Beel Sub-Project</t>
  </si>
  <si>
    <t>R-11</t>
  </si>
  <si>
    <t>Khaliajuri FCD Polder-2</t>
  </si>
  <si>
    <t>R-12</t>
  </si>
  <si>
    <t>Khaliajuri FCD Polder-4</t>
  </si>
  <si>
    <t>R-13</t>
  </si>
  <si>
    <t>Chandal Beel Sub-Project</t>
  </si>
  <si>
    <t>R-14</t>
  </si>
  <si>
    <t>Satdona Beel Scheme</t>
  </si>
  <si>
    <t>R-15</t>
  </si>
  <si>
    <t>All Haors</t>
  </si>
  <si>
    <t>A-1</t>
  </si>
  <si>
    <t>costcode</t>
  </si>
  <si>
    <t>rindex</t>
  </si>
  <si>
    <t>1st Revised</t>
  </si>
  <si>
    <t>2nd revised</t>
  </si>
  <si>
    <t>difference</t>
  </si>
  <si>
    <t>Office Administration</t>
  </si>
  <si>
    <t>Fuel &amp; Lubricant</t>
  </si>
  <si>
    <t>Training and Livelihood</t>
  </si>
  <si>
    <t>Consulatantcy</t>
  </si>
  <si>
    <t>Repair &amp; Maintenance</t>
  </si>
  <si>
    <t>Vehicle &amp; Equipments</t>
  </si>
  <si>
    <t>Land Acquisition</t>
  </si>
  <si>
    <t>Civilworks</t>
  </si>
  <si>
    <t>contingency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</si>
</sst>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0"/>
    <numFmt numFmtId="165" formatCode="0.000"/>
    <numFmt numFmtId="166" formatCode="_(* #,##0.000_);_(* \(#,##0.000\);_(* &quot;-&quot;??_);_(@_)"/>
    <numFmt numFmtId="167" formatCode="0.0000000000000000"/>
  </numFmts>
  <fonts count="44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name val="Times New Roman"/>
      <family val="1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Calibri"/>
      <family val="2"/>
      <scheme val="minor"/>
    </font>
    <font>
      <b/>
      <sz val="14"/>
      <name val="Times New Roman"/>
      <family val="1"/>
    </font>
    <font>
      <b/>
      <sz val="26"/>
      <name val="Calibri"/>
      <family val="2"/>
      <scheme val="minor"/>
    </font>
    <font>
      <sz val="12"/>
      <color theme="1"/>
      <name val="Times New Roman"/>
      <family val="1"/>
    </font>
    <font>
      <b/>
      <sz val="18"/>
      <name val="Times New Roman"/>
      <family val="1"/>
    </font>
    <font>
      <b/>
      <sz val="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6"/>
      <name val="Times New Roman"/>
      <family val="1"/>
    </font>
    <font>
      <sz val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sz val="9.5"/>
      <name val="Times New Roman"/>
      <family val="1"/>
    </font>
    <font>
      <sz val="10"/>
      <name val="MS Sans Serif"/>
      <family val="2"/>
    </font>
    <font>
      <sz val="12"/>
      <name val="MS Sans Serif"/>
      <family val="2"/>
    </font>
    <font>
      <b/>
      <sz val="12"/>
      <name val="MS Sans Serif"/>
      <family val="2"/>
    </font>
    <font>
      <b/>
      <u/>
      <sz val="10"/>
      <name val="MS Sans Serif"/>
      <family val="2"/>
    </font>
    <font>
      <u/>
      <sz val="10"/>
      <name val="MS Sans Serif"/>
      <family val="2"/>
    </font>
    <font>
      <sz val="9"/>
      <name val="MS Sans Serif"/>
      <family val="2"/>
    </font>
    <font>
      <sz val="10"/>
      <color indexed="10"/>
      <name val="MS Sans Serif"/>
      <family val="2"/>
    </font>
    <font>
      <b/>
      <sz val="10"/>
      <name val="MS Sans Serif"/>
      <family val="2"/>
    </font>
    <font>
      <b/>
      <u/>
      <sz val="18"/>
      <name val="MS Sans Serif"/>
      <family val="2"/>
    </font>
    <font>
      <b/>
      <u/>
      <sz val="18"/>
      <name val="Times New Roman"/>
      <family val="1"/>
    </font>
    <font>
      <u/>
      <sz val="10"/>
      <color indexed="12"/>
      <name val="Times New Roman"/>
      <family val="1"/>
    </font>
    <font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37" fillId="0" borderId="0">
      <alignment vertical="top"/>
      <protection locked="0"/>
    </xf>
  </cellStyleXfs>
  <cellXfs count="811">
    <xf numFmtId="0" fontId="0" fillId="0" borderId="0" xfId="0"/>
    <xf numFmtId="2" fontId="2" fillId="0" borderId="0" xfId="1" applyNumberFormat="1" applyFont="1" applyAlignment="1" applyProtection="1">
      <alignment horizontal="right" vertical="center"/>
      <protection locked="0"/>
    </xf>
    <xf numFmtId="0" fontId="3" fillId="0" borderId="0" xfId="1" applyFont="1" applyAlignment="1" applyProtection="1">
      <alignment horizontal="right" vertical="center"/>
      <protection locked="0"/>
    </xf>
    <xf numFmtId="0" fontId="3" fillId="0" borderId="0" xfId="1" applyFont="1" applyAlignment="1" applyProtection="1">
      <alignment vertical="center"/>
      <protection locked="0"/>
    </xf>
    <xf numFmtId="2" fontId="3" fillId="0" borderId="0" xfId="1" applyNumberFormat="1" applyFont="1" applyAlignment="1" applyProtection="1">
      <alignment vertical="center"/>
      <protection locked="0"/>
    </xf>
    <xf numFmtId="43" fontId="2" fillId="0" borderId="0" xfId="2" applyNumberFormat="1" applyFont="1" applyAlignment="1" applyProtection="1">
      <alignment vertical="center"/>
      <protection locked="0"/>
    </xf>
    <xf numFmtId="4" fontId="2" fillId="0" borderId="0" xfId="1" applyNumberFormat="1" applyFont="1" applyAlignment="1" applyProtection="1">
      <alignment vertical="center"/>
      <protection locked="0"/>
    </xf>
    <xf numFmtId="4" fontId="5" fillId="0" borderId="0" xfId="3" applyNumberFormat="1" applyFont="1"/>
    <xf numFmtId="0" fontId="6" fillId="0" borderId="0" xfId="3" applyFont="1" applyAlignment="1">
      <alignment horizontal="right"/>
    </xf>
    <xf numFmtId="0" fontId="1" fillId="0" borderId="0" xfId="1" applyAlignment="1" applyProtection="1">
      <alignment horizontal="right" vertical="center"/>
      <protection locked="0"/>
    </xf>
    <xf numFmtId="4" fontId="1" fillId="0" borderId="0" xfId="1" applyNumberFormat="1" applyAlignment="1" applyProtection="1">
      <alignment vertical="center"/>
      <protection locked="0"/>
    </xf>
    <xf numFmtId="4" fontId="1" fillId="0" borderId="0" xfId="1" applyNumberFormat="1" applyAlignment="1" applyProtection="1">
      <alignment horizontal="right" vertical="center"/>
      <protection locked="0"/>
    </xf>
    <xf numFmtId="2" fontId="7" fillId="0" borderId="0" xfId="1" applyNumberFormat="1" applyFont="1" applyAlignment="1" applyProtection="1">
      <alignment vertical="center"/>
      <protection locked="0"/>
    </xf>
    <xf numFmtId="4" fontId="3" fillId="0" borderId="0" xfId="1" applyNumberFormat="1" applyFont="1" applyAlignment="1" applyProtection="1">
      <alignment vertical="center"/>
      <protection locked="0"/>
    </xf>
    <xf numFmtId="4" fontId="7" fillId="0" borderId="0" xfId="1" applyNumberFormat="1" applyFont="1" applyAlignment="1" applyProtection="1">
      <alignment vertical="center"/>
      <protection locked="0"/>
    </xf>
    <xf numFmtId="0" fontId="3" fillId="0" borderId="0" xfId="4" applyFont="1" applyAlignment="1" applyProtection="1">
      <alignment vertical="center"/>
      <protection locked="0"/>
    </xf>
    <xf numFmtId="0" fontId="7" fillId="0" borderId="0" xfId="4" applyFont="1" applyAlignment="1" applyProtection="1">
      <alignment vertical="center"/>
      <protection locked="0"/>
    </xf>
    <xf numFmtId="0" fontId="8" fillId="0" borderId="0" xfId="3" applyFont="1"/>
    <xf numFmtId="4" fontId="9" fillId="0" borderId="0" xfId="3" applyNumberFormat="1" applyFont="1"/>
    <xf numFmtId="4" fontId="3" fillId="0" borderId="0" xfId="4" applyNumberFormat="1" applyFont="1" applyAlignment="1" applyProtection="1">
      <alignment horizontal="center" vertical="center"/>
      <protection locked="0"/>
    </xf>
    <xf numFmtId="4" fontId="7" fillId="0" borderId="0" xfId="4" applyNumberFormat="1" applyFont="1" applyAlignment="1" applyProtection="1">
      <alignment horizontal="center" vertical="center"/>
      <protection locked="0"/>
    </xf>
    <xf numFmtId="4" fontId="8" fillId="0" borderId="0" xfId="3" applyNumberFormat="1" applyFont="1"/>
    <xf numFmtId="0" fontId="6" fillId="0" borderId="0" xfId="3" applyFont="1" applyAlignment="1">
      <alignment horizontal="center"/>
    </xf>
    <xf numFmtId="0" fontId="1" fillId="0" borderId="0" xfId="1" applyAlignment="1">
      <alignment vertical="center" wrapText="1"/>
    </xf>
    <xf numFmtId="0" fontId="6" fillId="0" borderId="0" xfId="3" applyFont="1"/>
    <xf numFmtId="2" fontId="1" fillId="0" borderId="0" xfId="1" applyNumberFormat="1" applyAlignment="1" applyProtection="1">
      <alignment horizontal="right" vertical="center"/>
      <protection locked="0"/>
    </xf>
    <xf numFmtId="2" fontId="1" fillId="0" borderId="0" xfId="4" applyNumberFormat="1" applyFont="1" applyAlignment="1" applyProtection="1">
      <alignment vertical="center"/>
      <protection locked="0"/>
    </xf>
    <xf numFmtId="2" fontId="6" fillId="0" borderId="0" xfId="3" applyNumberFormat="1" applyFont="1"/>
    <xf numFmtId="0" fontId="7" fillId="0" borderId="0" xfId="1" applyFont="1" applyAlignment="1" applyProtection="1">
      <alignment horizontal="center" vertical="center"/>
      <protection locked="0"/>
    </xf>
    <xf numFmtId="0" fontId="10" fillId="0" borderId="0" xfId="1" applyFont="1" applyAlignment="1" applyProtection="1">
      <alignment horizontal="right"/>
      <protection locked="0"/>
    </xf>
    <xf numFmtId="2" fontId="10" fillId="0" borderId="0" xfId="1" applyNumberFormat="1" applyFont="1" applyProtection="1">
      <protection locked="0"/>
    </xf>
    <xf numFmtId="0" fontId="3" fillId="0" borderId="0" xfId="1" applyFont="1" applyProtection="1">
      <protection locked="0"/>
    </xf>
    <xf numFmtId="0" fontId="7" fillId="0" borderId="0" xfId="1" applyFont="1" applyProtection="1">
      <protection locked="0"/>
    </xf>
    <xf numFmtId="0" fontId="10" fillId="0" borderId="0" xfId="1" applyFont="1" applyProtection="1">
      <protection locked="0"/>
    </xf>
    <xf numFmtId="0" fontId="11" fillId="0" borderId="0" xfId="1" applyFont="1" applyAlignment="1" applyProtection="1">
      <alignment vertical="center"/>
      <protection locked="0"/>
    </xf>
    <xf numFmtId="0" fontId="11" fillId="0" borderId="1" xfId="1" applyFont="1" applyBorder="1" applyAlignment="1" applyProtection="1">
      <alignment vertical="center"/>
      <protection locked="0"/>
    </xf>
    <xf numFmtId="4" fontId="10" fillId="0" borderId="5" xfId="1" applyNumberFormat="1" applyFont="1" applyBorder="1" applyAlignment="1" applyProtection="1">
      <alignment vertical="center"/>
      <protection locked="0"/>
    </xf>
    <xf numFmtId="4" fontId="10" fillId="0" borderId="6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right" vertical="center"/>
      <protection locked="0"/>
    </xf>
    <xf numFmtId="0" fontId="10" fillId="0" borderId="6" xfId="1" applyFont="1" applyBorder="1" applyAlignment="1" applyProtection="1">
      <alignment horizontal="right" vertical="center"/>
      <protection locked="0"/>
    </xf>
    <xf numFmtId="0" fontId="10" fillId="0" borderId="2" xfId="1" applyFont="1" applyBorder="1" applyAlignment="1" applyProtection="1">
      <alignment vertical="center"/>
      <protection locked="0"/>
    </xf>
    <xf numFmtId="0" fontId="10" fillId="0" borderId="5" xfId="1" applyFont="1" applyBorder="1" applyAlignment="1" applyProtection="1">
      <alignment vertical="center"/>
      <protection locked="0"/>
    </xf>
    <xf numFmtId="4" fontId="12" fillId="0" borderId="7" xfId="1" applyNumberFormat="1" applyFont="1" applyBorder="1" applyAlignment="1" applyProtection="1">
      <alignment horizontal="right" vertical="center"/>
      <protection locked="0"/>
    </xf>
    <xf numFmtId="4" fontId="12" fillId="0" borderId="6" xfId="1" applyNumberFormat="1" applyFont="1" applyBorder="1" applyAlignment="1" applyProtection="1">
      <alignment horizontal="center" vertical="top"/>
      <protection locked="0"/>
    </xf>
    <xf numFmtId="4" fontId="12" fillId="0" borderId="9" xfId="1" applyNumberFormat="1" applyFont="1" applyBorder="1" applyAlignment="1" applyProtection="1">
      <alignment vertical="center"/>
      <protection locked="0"/>
    </xf>
    <xf numFmtId="0" fontId="12" fillId="0" borderId="10" xfId="1" applyFont="1" applyBorder="1" applyAlignment="1" applyProtection="1">
      <alignment horizontal="center" vertical="center" wrapText="1"/>
      <protection locked="0"/>
    </xf>
    <xf numFmtId="0" fontId="3" fillId="0" borderId="12" xfId="1" applyFont="1" applyBorder="1" applyAlignment="1" applyProtection="1">
      <alignment horizontal="right" vertical="center" wrapText="1"/>
      <protection locked="0"/>
    </xf>
    <xf numFmtId="0" fontId="11" fillId="0" borderId="10" xfId="1" applyFont="1" applyBorder="1" applyAlignment="1" applyProtection="1">
      <alignment vertical="center"/>
      <protection locked="0"/>
    </xf>
    <xf numFmtId="4" fontId="10" fillId="0" borderId="8" xfId="1" applyNumberFormat="1" applyFont="1" applyBorder="1" applyAlignment="1" applyProtection="1">
      <alignment vertical="center"/>
      <protection locked="0"/>
    </xf>
    <xf numFmtId="4" fontId="10" fillId="0" borderId="10" xfId="1" applyNumberFormat="1" applyFont="1" applyBorder="1" applyAlignment="1" applyProtection="1">
      <alignment vertical="center"/>
      <protection locked="0"/>
    </xf>
    <xf numFmtId="4" fontId="10" fillId="0" borderId="7" xfId="1" applyNumberFormat="1" applyFont="1" applyBorder="1" applyAlignment="1" applyProtection="1">
      <alignment vertical="center"/>
      <protection locked="0"/>
    </xf>
    <xf numFmtId="4" fontId="10" fillId="0" borderId="8" xfId="1" applyNumberFormat="1" applyFont="1" applyBorder="1" applyAlignment="1" applyProtection="1">
      <alignment horizontal="center" vertical="center"/>
      <protection locked="0"/>
    </xf>
    <xf numFmtId="4" fontId="10" fillId="0" borderId="9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right" vertical="center" wrapText="1"/>
      <protection locked="0"/>
    </xf>
    <xf numFmtId="4" fontId="10" fillId="0" borderId="4" xfId="1" applyNumberFormat="1" applyFont="1" applyBorder="1" applyAlignment="1" applyProtection="1">
      <alignment vertical="center"/>
      <protection locked="0"/>
    </xf>
    <xf numFmtId="4" fontId="10" fillId="0" borderId="5" xfId="1" applyNumberFormat="1" applyFont="1" applyBorder="1" applyAlignment="1" applyProtection="1">
      <alignment horizontal="center" vertical="center"/>
      <protection locked="0"/>
    </xf>
    <xf numFmtId="4" fontId="10" fillId="0" borderId="3" xfId="1" applyNumberFormat="1" applyFont="1" applyBorder="1" applyAlignment="1" applyProtection="1">
      <alignment vertical="center"/>
      <protection locked="0"/>
    </xf>
    <xf numFmtId="4" fontId="10" fillId="0" borderId="4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vertical="center" wrapText="1"/>
      <protection locked="0"/>
    </xf>
    <xf numFmtId="0" fontId="13" fillId="0" borderId="0" xfId="1" applyFont="1" applyAlignment="1" applyProtection="1">
      <alignment vertical="center"/>
      <protection locked="0"/>
    </xf>
    <xf numFmtId="0" fontId="13" fillId="0" borderId="1" xfId="1" applyFont="1" applyBorder="1" applyAlignment="1" applyProtection="1">
      <alignment vertical="center"/>
      <protection locked="0"/>
    </xf>
    <xf numFmtId="4" fontId="10" fillId="0" borderId="11" xfId="1" applyNumberFormat="1" applyFont="1" applyBorder="1" applyAlignment="1" applyProtection="1">
      <alignment horizontal="right" vertical="center"/>
      <protection locked="0"/>
    </xf>
    <xf numFmtId="4" fontId="10" fillId="0" borderId="4" xfId="1" applyNumberFormat="1" applyFont="1" applyBorder="1" applyAlignment="1" applyProtection="1">
      <alignment horizontal="right" vertical="center"/>
      <protection locked="0"/>
    </xf>
    <xf numFmtId="4" fontId="10" fillId="0" borderId="6" xfId="1" applyNumberFormat="1" applyFont="1" applyBorder="1" applyAlignment="1" applyProtection="1">
      <alignment horizontal="right" vertical="center"/>
      <protection locked="0"/>
    </xf>
    <xf numFmtId="4" fontId="10" fillId="0" borderId="3" xfId="1" applyNumberFormat="1" applyFont="1" applyBorder="1" applyAlignment="1" applyProtection="1">
      <alignment horizontal="right" vertical="center"/>
      <protection locked="0"/>
    </xf>
    <xf numFmtId="4" fontId="10" fillId="0" borderId="13" xfId="1" applyNumberFormat="1" applyFont="1" applyBorder="1" applyAlignment="1" applyProtection="1">
      <alignment horizontal="right" vertical="center"/>
      <protection locked="0"/>
    </xf>
    <xf numFmtId="0" fontId="3" fillId="0" borderId="15" xfId="1" applyFont="1" applyBorder="1" applyAlignment="1" applyProtection="1">
      <alignment horizontal="right" vertical="center"/>
      <protection locked="0"/>
    </xf>
    <xf numFmtId="0" fontId="3" fillId="0" borderId="14" xfId="1" applyFont="1" applyBorder="1" applyAlignment="1" applyProtection="1">
      <alignment horizontal="right" vertical="center"/>
      <protection locked="0"/>
    </xf>
    <xf numFmtId="0" fontId="12" fillId="0" borderId="1" xfId="1" applyFont="1" applyBorder="1" applyAlignment="1" applyProtection="1">
      <alignment vertical="center"/>
      <protection locked="0"/>
    </xf>
    <xf numFmtId="4" fontId="12" fillId="0" borderId="3" xfId="1" applyNumberFormat="1" applyFont="1" applyBorder="1" applyAlignment="1" applyProtection="1">
      <alignment horizontal="right" vertical="center"/>
      <protection locked="0"/>
    </xf>
    <xf numFmtId="4" fontId="12" fillId="0" borderId="1" xfId="1" applyNumberFormat="1" applyFont="1" applyBorder="1" applyAlignment="1" applyProtection="1">
      <alignment horizontal="right" vertical="center"/>
      <protection locked="0"/>
    </xf>
    <xf numFmtId="4" fontId="12" fillId="0" borderId="4" xfId="1" applyNumberFormat="1" applyFont="1" applyBorder="1" applyAlignment="1" applyProtection="1">
      <alignment horizontal="right" vertical="center"/>
      <protection locked="0"/>
    </xf>
    <xf numFmtId="4" fontId="12" fillId="0" borderId="5" xfId="1" applyNumberFormat="1" applyFont="1" applyBorder="1" applyAlignment="1" applyProtection="1">
      <alignment horizontal="right" vertical="center"/>
      <protection locked="0"/>
    </xf>
    <xf numFmtId="0" fontId="2" fillId="0" borderId="1" xfId="1" applyFont="1" applyBorder="1" applyAlignment="1" applyProtection="1">
      <alignment horizontal="left" vertical="top" wrapText="1"/>
      <protection locked="0"/>
    </xf>
    <xf numFmtId="0" fontId="12" fillId="0" borderId="1" xfId="1" applyFont="1" applyBorder="1" applyAlignment="1" applyProtection="1">
      <alignment horizontal="left" vertical="top" wrapText="1"/>
      <protection locked="0"/>
    </xf>
    <xf numFmtId="0" fontId="10" fillId="0" borderId="10" xfId="1" applyFont="1" applyBorder="1" applyAlignment="1" applyProtection="1">
      <alignment vertical="top"/>
      <protection locked="0"/>
    </xf>
    <xf numFmtId="4" fontId="1" fillId="0" borderId="1" xfId="1" applyNumberFormat="1" applyBorder="1" applyAlignment="1" applyProtection="1">
      <alignment vertical="center"/>
      <protection locked="0"/>
    </xf>
    <xf numFmtId="43" fontId="12" fillId="0" borderId="1" xfId="2" applyNumberFormat="1" applyFont="1" applyBorder="1" applyAlignment="1" applyProtection="1">
      <alignment vertical="center"/>
      <protection locked="0"/>
    </xf>
    <xf numFmtId="0" fontId="10" fillId="0" borderId="16" xfId="1" applyFont="1" applyBorder="1" applyAlignment="1" applyProtection="1">
      <alignment vertical="top"/>
      <protection locked="0"/>
    </xf>
    <xf numFmtId="43" fontId="1" fillId="0" borderId="0" xfId="1" applyNumberFormat="1" applyAlignment="1" applyProtection="1">
      <alignment vertical="center"/>
      <protection locked="0"/>
    </xf>
    <xf numFmtId="0" fontId="1" fillId="0" borderId="6" xfId="1" applyBorder="1" applyAlignment="1" applyProtection="1">
      <alignment vertical="center"/>
      <protection locked="0"/>
    </xf>
    <xf numFmtId="0" fontId="1" fillId="0" borderId="2" xfId="1" applyBorder="1" applyAlignment="1" applyProtection="1">
      <alignment vertical="center"/>
      <protection locked="0"/>
    </xf>
    <xf numFmtId="0" fontId="10" fillId="0" borderId="2" xfId="1" applyFont="1" applyBorder="1" applyAlignment="1" applyProtection="1">
      <alignment vertical="center" wrapText="1"/>
      <protection locked="0"/>
    </xf>
    <xf numFmtId="0" fontId="10" fillId="0" borderId="5" xfId="1" applyFont="1" applyBorder="1" applyAlignment="1" applyProtection="1">
      <alignment vertical="center" wrapText="1"/>
      <protection locked="0"/>
    </xf>
    <xf numFmtId="0" fontId="1" fillId="0" borderId="2" xfId="1" applyBorder="1" applyAlignment="1">
      <alignment vertical="center"/>
    </xf>
    <xf numFmtId="0" fontId="12" fillId="0" borderId="11" xfId="1" applyFont="1" applyBorder="1" applyAlignment="1" applyProtection="1">
      <alignment vertical="top" wrapText="1"/>
      <protection locked="0"/>
    </xf>
    <xf numFmtId="0" fontId="1" fillId="0" borderId="0" xfId="1" applyAlignment="1" applyProtection="1">
      <alignment vertical="top"/>
      <protection locked="0"/>
    </xf>
    <xf numFmtId="0" fontId="1" fillId="0" borderId="1" xfId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horizontal="right" vertical="top"/>
      <protection locked="0"/>
    </xf>
    <xf numFmtId="4" fontId="12" fillId="0" borderId="4" xfId="1" applyNumberFormat="1" applyFont="1" applyBorder="1" applyAlignment="1" applyProtection="1">
      <alignment horizontal="right" vertical="top"/>
      <protection locked="0"/>
    </xf>
    <xf numFmtId="4" fontId="12" fillId="0" borderId="5" xfId="1" applyNumberFormat="1" applyFont="1" applyBorder="1" applyAlignment="1" applyProtection="1">
      <alignment horizontal="right" vertical="top"/>
      <protection locked="0"/>
    </xf>
    <xf numFmtId="0" fontId="10" fillId="0" borderId="11" xfId="1" applyFont="1" applyBorder="1" applyAlignment="1" applyProtection="1">
      <alignment horizontal="center" vertical="top"/>
      <protection locked="0"/>
    </xf>
    <xf numFmtId="0" fontId="1" fillId="0" borderId="1" xfId="1" applyBorder="1" applyAlignment="1" applyProtection="1">
      <alignment vertical="center"/>
      <protection locked="0"/>
    </xf>
    <xf numFmtId="0" fontId="12" fillId="0" borderId="1" xfId="1" applyFont="1" applyBorder="1" applyAlignment="1" applyProtection="1">
      <alignment horizontal="center" vertical="center" wrapText="1"/>
      <protection locked="0"/>
    </xf>
    <xf numFmtId="0" fontId="2" fillId="0" borderId="1" xfId="1" applyFont="1" applyBorder="1" applyAlignment="1" applyProtection="1">
      <alignment vertical="center" wrapText="1"/>
      <protection locked="0"/>
    </xf>
    <xf numFmtId="0" fontId="12" fillId="0" borderId="1" xfId="1" applyFont="1" applyBorder="1" applyAlignment="1" applyProtection="1">
      <alignment vertical="center" wrapText="1"/>
      <protection locked="0"/>
    </xf>
    <xf numFmtId="0" fontId="12" fillId="0" borderId="1" xfId="1" applyFont="1" applyBorder="1" applyAlignment="1" applyProtection="1">
      <alignment horizontal="justify" vertical="top" wrapText="1"/>
      <protection locked="0"/>
    </xf>
    <xf numFmtId="0" fontId="12" fillId="0" borderId="10" xfId="1" applyFont="1" applyBorder="1" applyAlignment="1" applyProtection="1">
      <alignment vertical="top" wrapText="1"/>
      <protection locked="0"/>
    </xf>
    <xf numFmtId="4" fontId="12" fillId="0" borderId="10" xfId="1" applyNumberFormat="1" applyFont="1" applyBorder="1" applyAlignment="1" applyProtection="1">
      <alignment horizontal="right" vertical="top"/>
      <protection locked="0"/>
    </xf>
    <xf numFmtId="4" fontId="12" fillId="0" borderId="9" xfId="1" applyNumberFormat="1" applyFont="1" applyBorder="1" applyAlignment="1" applyProtection="1">
      <alignment horizontal="right" vertical="top"/>
      <protection locked="0"/>
    </xf>
    <xf numFmtId="0" fontId="3" fillId="0" borderId="2" xfId="1" applyFont="1" applyBorder="1" applyAlignment="1" applyProtection="1">
      <alignment vertical="center"/>
      <protection locked="0"/>
    </xf>
    <xf numFmtId="1" fontId="12" fillId="0" borderId="0" xfId="1" applyNumberFormat="1" applyFont="1" applyAlignment="1" applyProtection="1">
      <alignment vertical="center"/>
      <protection locked="0"/>
    </xf>
    <xf numFmtId="1" fontId="10" fillId="0" borderId="1" xfId="1" applyNumberFormat="1" applyFont="1" applyBorder="1" applyAlignment="1">
      <alignment horizontal="center" vertical="top" wrapText="1"/>
    </xf>
    <xf numFmtId="1" fontId="10" fillId="0" borderId="3" xfId="1" applyNumberFormat="1" applyFont="1" applyBorder="1" applyAlignment="1">
      <alignment horizontal="center" vertical="top" wrapText="1"/>
    </xf>
    <xf numFmtId="1" fontId="10" fillId="0" borderId="5" xfId="1" applyNumberFormat="1" applyFont="1" applyBorder="1" applyAlignment="1">
      <alignment horizontal="center" vertical="top" wrapText="1"/>
    </xf>
    <xf numFmtId="1" fontId="10" fillId="0" borderId="10" xfId="1" applyNumberFormat="1" applyFont="1" applyBorder="1" applyAlignment="1">
      <alignment horizontal="center" vertical="top" wrapText="1"/>
    </xf>
    <xf numFmtId="0" fontId="1" fillId="0" borderId="10" xfId="1" applyBorder="1" applyAlignment="1" applyProtection="1">
      <alignment vertical="center"/>
      <protection locked="0"/>
    </xf>
    <xf numFmtId="4" fontId="10" fillId="0" borderId="9" xfId="1" applyNumberFormat="1" applyFont="1" applyBorder="1" applyAlignment="1" applyProtection="1">
      <alignment vertical="center"/>
      <protection locked="0"/>
    </xf>
    <xf numFmtId="0" fontId="3" fillId="0" borderId="10" xfId="1" applyFont="1" applyBorder="1" applyAlignment="1" applyProtection="1">
      <alignment horizontal="center" vertical="center"/>
      <protection locked="0"/>
    </xf>
    <xf numFmtId="0" fontId="1" fillId="0" borderId="11" xfId="1" applyBorder="1" applyAlignment="1" applyProtection="1">
      <alignment vertical="center"/>
      <protection locked="0"/>
    </xf>
    <xf numFmtId="4" fontId="10" fillId="0" borderId="21" xfId="1" applyNumberFormat="1" applyFont="1" applyBorder="1" applyAlignment="1" applyProtection="1">
      <alignment vertical="center"/>
      <protection locked="0"/>
    </xf>
    <xf numFmtId="4" fontId="10" fillId="0" borderId="20" xfId="1" applyNumberFormat="1" applyFont="1" applyBorder="1" applyAlignment="1" applyProtection="1">
      <alignment vertical="center"/>
      <protection locked="0"/>
    </xf>
    <xf numFmtId="4" fontId="10" fillId="0" borderId="11" xfId="1" applyNumberFormat="1" applyFont="1" applyBorder="1" applyAlignment="1" applyProtection="1">
      <alignment vertical="center"/>
      <protection locked="0"/>
    </xf>
    <xf numFmtId="4" fontId="10" fillId="0" borderId="13" xfId="1" applyNumberFormat="1" applyFont="1" applyBorder="1" applyAlignment="1" applyProtection="1">
      <alignment vertical="center"/>
      <protection locked="0"/>
    </xf>
    <xf numFmtId="0" fontId="3" fillId="0" borderId="11" xfId="1" applyFont="1" applyBorder="1" applyAlignment="1" applyProtection="1">
      <alignment horizontal="center" vertical="center"/>
      <protection locked="0"/>
    </xf>
    <xf numFmtId="4" fontId="12" fillId="0" borderId="8" xfId="1" applyNumberFormat="1" applyFont="1" applyBorder="1" applyAlignment="1" applyProtection="1">
      <alignment horizontal="right" vertical="center"/>
      <protection locked="0"/>
    </xf>
    <xf numFmtId="0" fontId="12" fillId="0" borderId="2" xfId="1" applyFont="1" applyBorder="1" applyAlignment="1" applyProtection="1">
      <alignment vertical="center" wrapText="1"/>
      <protection locked="0"/>
    </xf>
    <xf numFmtId="0" fontId="12" fillId="0" borderId="5" xfId="1" applyFont="1" applyBorder="1" applyAlignment="1" applyProtection="1">
      <alignment vertical="center" wrapText="1"/>
      <protection locked="0"/>
    </xf>
    <xf numFmtId="0" fontId="2" fillId="0" borderId="10" xfId="1" applyFont="1" applyBorder="1" applyAlignment="1" applyProtection="1">
      <alignment vertical="center" wrapText="1"/>
      <protection locked="0"/>
    </xf>
    <xf numFmtId="0" fontId="10" fillId="0" borderId="11" xfId="1" applyFont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horizontal="center" vertical="top"/>
      <protection locked="0"/>
    </xf>
    <xf numFmtId="4" fontId="12" fillId="0" borderId="11" xfId="1" applyNumberFormat="1" applyFont="1" applyBorder="1" applyAlignment="1" applyProtection="1">
      <alignment horizontal="right" vertical="top"/>
      <protection locked="0"/>
    </xf>
    <xf numFmtId="4" fontId="12" fillId="0" borderId="13" xfId="1" applyNumberFormat="1" applyFont="1" applyBorder="1" applyAlignment="1" applyProtection="1">
      <alignment horizontal="right" vertical="top"/>
      <protection locked="0"/>
    </xf>
    <xf numFmtId="0" fontId="2" fillId="0" borderId="1" xfId="1" applyFont="1" applyBorder="1" applyAlignment="1" applyProtection="1">
      <alignment horizontal="justify" vertical="top" wrapText="1"/>
      <protection locked="0"/>
    </xf>
    <xf numFmtId="4" fontId="12" fillId="0" borderId="3" xfId="1" applyNumberFormat="1" applyFont="1" applyBorder="1" applyAlignment="1" applyProtection="1">
      <alignment horizontal="right" vertical="top"/>
      <protection locked="0"/>
    </xf>
    <xf numFmtId="0" fontId="2" fillId="0" borderId="11" xfId="1" applyFont="1" applyBorder="1" applyAlignment="1" applyProtection="1">
      <alignment vertical="top" wrapText="1"/>
      <protection locked="0"/>
    </xf>
    <xf numFmtId="0" fontId="12" fillId="0" borderId="1" xfId="1" applyFont="1" applyBorder="1" applyAlignment="1" applyProtection="1">
      <alignment vertical="top" wrapText="1"/>
      <protection locked="0"/>
    </xf>
    <xf numFmtId="0" fontId="12" fillId="0" borderId="1" xfId="1" applyFont="1" applyBorder="1" applyAlignment="1" applyProtection="1">
      <alignment horizontal="center" vertical="top"/>
      <protection locked="0"/>
    </xf>
    <xf numFmtId="0" fontId="2" fillId="0" borderId="1" xfId="1" applyFont="1" applyBorder="1" applyAlignment="1" applyProtection="1">
      <alignment vertical="top" wrapText="1"/>
      <protection locked="0"/>
    </xf>
    <xf numFmtId="0" fontId="1" fillId="0" borderId="6" xfId="1" applyBorder="1" applyAlignment="1" applyProtection="1">
      <alignment vertical="top"/>
      <protection locked="0"/>
    </xf>
    <xf numFmtId="0" fontId="1" fillId="0" borderId="2" xfId="1" applyBorder="1" applyAlignment="1" applyProtection="1">
      <alignment vertical="top"/>
      <protection locked="0"/>
    </xf>
    <xf numFmtId="0" fontId="10" fillId="0" borderId="2" xfId="1" applyFont="1" applyBorder="1" applyAlignment="1" applyProtection="1">
      <alignment vertical="top" wrapText="1"/>
      <protection locked="0"/>
    </xf>
    <xf numFmtId="4" fontId="10" fillId="0" borderId="2" xfId="1" applyNumberFormat="1" applyFont="1" applyBorder="1" applyAlignment="1" applyProtection="1">
      <alignment vertical="top" wrapText="1"/>
      <protection locked="0"/>
    </xf>
    <xf numFmtId="0" fontId="10" fillId="0" borderId="5" xfId="1" applyFont="1" applyBorder="1" applyAlignment="1" applyProtection="1">
      <alignment vertical="top" wrapText="1"/>
      <protection locked="0"/>
    </xf>
    <xf numFmtId="4" fontId="12" fillId="0" borderId="3" xfId="1" applyNumberFormat="1" applyFont="1" applyBorder="1" applyAlignment="1" applyProtection="1">
      <alignment vertical="top"/>
      <protection locked="0"/>
    </xf>
    <xf numFmtId="4" fontId="12" fillId="0" borderId="4" xfId="1" applyNumberFormat="1" applyFont="1" applyBorder="1" applyAlignment="1" applyProtection="1">
      <alignment vertical="top"/>
      <protection locked="0"/>
    </xf>
    <xf numFmtId="4" fontId="12" fillId="0" borderId="10" xfId="1" applyNumberFormat="1" applyFont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vertical="top"/>
      <protection locked="0"/>
    </xf>
    <xf numFmtId="4" fontId="12" fillId="0" borderId="9" xfId="1" applyNumberFormat="1" applyFont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horizontal="right" vertical="top" wrapText="1"/>
      <protection locked="0"/>
    </xf>
    <xf numFmtId="4" fontId="12" fillId="0" borderId="10" xfId="1" applyNumberFormat="1" applyFont="1" applyBorder="1" applyAlignment="1" applyProtection="1">
      <alignment horizontal="right" vertical="top" wrapText="1"/>
      <protection locked="0"/>
    </xf>
    <xf numFmtId="4" fontId="12" fillId="0" borderId="9" xfId="1" applyNumberFormat="1" applyFont="1" applyBorder="1" applyAlignment="1" applyProtection="1">
      <alignment horizontal="right" vertical="top" wrapText="1"/>
      <protection locked="0"/>
    </xf>
    <xf numFmtId="0" fontId="12" fillId="0" borderId="10" xfId="1" applyFont="1" applyBorder="1" applyAlignment="1" applyProtection="1">
      <alignment horizontal="left" vertical="top" wrapText="1"/>
      <protection locked="0"/>
    </xf>
    <xf numFmtId="0" fontId="1" fillId="0" borderId="2" xfId="1" applyBorder="1" applyAlignment="1">
      <alignment vertical="top"/>
    </xf>
    <xf numFmtId="0" fontId="12" fillId="0" borderId="3" xfId="1" applyFont="1" applyBorder="1" applyAlignment="1" applyProtection="1">
      <alignment vertical="top"/>
      <protection locked="0"/>
    </xf>
    <xf numFmtId="0" fontId="12" fillId="0" borderId="1" xfId="1" applyFont="1" applyBorder="1" applyAlignment="1" applyProtection="1">
      <alignment vertical="top"/>
      <protection locked="0"/>
    </xf>
    <xf numFmtId="0" fontId="12" fillId="0" borderId="0" xfId="1" applyFont="1" applyAlignment="1" applyProtection="1">
      <alignment vertical="top"/>
      <protection locked="0"/>
    </xf>
    <xf numFmtId="0" fontId="12" fillId="0" borderId="2" xfId="1" applyFont="1" applyBorder="1" applyAlignment="1" applyProtection="1">
      <alignment vertical="top"/>
      <protection locked="0"/>
    </xf>
    <xf numFmtId="0" fontId="12" fillId="0" borderId="3" xfId="1" applyFont="1" applyBorder="1" applyAlignment="1" applyProtection="1">
      <alignment vertical="center"/>
      <protection locked="0"/>
    </xf>
    <xf numFmtId="0" fontId="12" fillId="0" borderId="2" xfId="1" applyFont="1" applyBorder="1"/>
    <xf numFmtId="0" fontId="12" fillId="0" borderId="2" xfId="1" applyFont="1" applyBorder="1" applyAlignment="1" applyProtection="1">
      <alignment vertical="center"/>
      <protection locked="0"/>
    </xf>
    <xf numFmtId="0" fontId="12" fillId="0" borderId="6" xfId="1" applyFont="1" applyBorder="1"/>
    <xf numFmtId="0" fontId="12" fillId="0" borderId="10" xfId="1" applyFont="1" applyBorder="1" applyAlignment="1" applyProtection="1">
      <alignment horizontal="justify" vertical="top" wrapText="1"/>
      <protection locked="0"/>
    </xf>
    <xf numFmtId="0" fontId="12" fillId="0" borderId="2" xfId="1" applyFont="1" applyBorder="1" applyAlignment="1">
      <alignment vertical="center"/>
    </xf>
    <xf numFmtId="0" fontId="12" fillId="0" borderId="0" xfId="1" applyFont="1"/>
    <xf numFmtId="0" fontId="12" fillId="0" borderId="0" xfId="1" applyFont="1" applyAlignment="1" applyProtection="1">
      <alignment vertical="center"/>
      <protection locked="0"/>
    </xf>
    <xf numFmtId="0" fontId="12" fillId="0" borderId="10" xfId="1" applyFont="1" applyBorder="1" applyAlignment="1" applyProtection="1">
      <alignment vertical="center"/>
      <protection locked="0"/>
    </xf>
    <xf numFmtId="0" fontId="12" fillId="0" borderId="1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vertical="center" wrapText="1"/>
      <protection locked="0"/>
    </xf>
    <xf numFmtId="0" fontId="3" fillId="0" borderId="0" xfId="1" applyFont="1" applyAlignment="1" applyProtection="1">
      <alignment vertical="center" wrapText="1"/>
      <protection locked="0"/>
    </xf>
    <xf numFmtId="0" fontId="12" fillId="0" borderId="2" xfId="1" applyFont="1" applyBorder="1" applyAlignment="1">
      <alignment horizontal="center" vertical="center"/>
    </xf>
    <xf numFmtId="0" fontId="12" fillId="0" borderId="2" xfId="1" applyFont="1" applyBorder="1" applyAlignment="1" applyProtection="1">
      <alignment horizontal="center" vertical="center"/>
      <protection locked="0"/>
    </xf>
    <xf numFmtId="0" fontId="12" fillId="0" borderId="0" xfId="1" applyFont="1" applyAlignment="1" applyProtection="1">
      <alignment horizontal="center" vertical="center"/>
      <protection locked="0"/>
    </xf>
    <xf numFmtId="0" fontId="10" fillId="0" borderId="1" xfId="1" applyFont="1" applyBorder="1" applyAlignment="1" applyProtection="1">
      <alignment vertical="center"/>
      <protection locked="0"/>
    </xf>
    <xf numFmtId="0" fontId="18" fillId="0" borderId="0" xfId="1" applyFont="1" applyAlignment="1">
      <alignment vertical="top"/>
    </xf>
    <xf numFmtId="0" fontId="3" fillId="0" borderId="0" xfId="1" applyFont="1" applyAlignment="1">
      <alignment vertical="top"/>
    </xf>
    <xf numFmtId="0" fontId="2" fillId="0" borderId="0" xfId="1" applyFont="1" applyAlignment="1" applyProtection="1">
      <alignment vertical="top"/>
      <protection locked="0"/>
    </xf>
    <xf numFmtId="0" fontId="7" fillId="0" borderId="0" xfId="1" applyFont="1" applyAlignment="1">
      <alignment vertical="top"/>
    </xf>
    <xf numFmtId="0" fontId="3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19" fillId="0" borderId="1" xfId="1" applyFont="1" applyBorder="1" applyAlignment="1">
      <alignment horizontal="center" vertical="top" wrapText="1"/>
    </xf>
    <xf numFmtId="0" fontId="19" fillId="0" borderId="1" xfId="1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top"/>
      <protection locked="0"/>
    </xf>
    <xf numFmtId="0" fontId="2" fillId="0" borderId="6" xfId="1" applyFont="1" applyBorder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center" vertical="top"/>
      <protection locked="0"/>
    </xf>
    <xf numFmtId="0" fontId="10" fillId="0" borderId="0" xfId="1" applyFont="1" applyAlignment="1" applyProtection="1">
      <alignment horizontal="left" vertical="top"/>
      <protection locked="0"/>
    </xf>
    <xf numFmtId="0" fontId="2" fillId="0" borderId="14" xfId="1" applyFont="1" applyBorder="1" applyAlignment="1" applyProtection="1">
      <alignment vertical="top"/>
      <protection locked="0"/>
    </xf>
    <xf numFmtId="0" fontId="2" fillId="0" borderId="5" xfId="1" applyFont="1" applyBorder="1" applyAlignment="1" applyProtection="1">
      <alignment vertical="center"/>
      <protection locked="0"/>
    </xf>
    <xf numFmtId="0" fontId="2" fillId="0" borderId="2" xfId="1" applyFont="1" applyBorder="1" applyAlignment="1" applyProtection="1">
      <alignment vertical="center"/>
      <protection locked="0"/>
    </xf>
    <xf numFmtId="0" fontId="2" fillId="0" borderId="6" xfId="1" applyFont="1" applyBorder="1" applyAlignment="1" applyProtection="1">
      <alignment vertical="center"/>
      <protection locked="0"/>
    </xf>
    <xf numFmtId="0" fontId="2" fillId="0" borderId="25" xfId="1" applyFont="1" applyBorder="1" applyAlignment="1" applyProtection="1">
      <alignment vertical="center"/>
      <protection locked="0"/>
    </xf>
    <xf numFmtId="0" fontId="1" fillId="0" borderId="16" xfId="1" applyBorder="1" applyAlignment="1" applyProtection="1">
      <alignment vertical="top"/>
      <protection locked="0"/>
    </xf>
    <xf numFmtId="0" fontId="7" fillId="0" borderId="1" xfId="1" applyFont="1" applyBorder="1" applyAlignment="1" applyProtection="1">
      <alignment horizontal="center" vertical="top"/>
      <protection locked="0"/>
    </xf>
    <xf numFmtId="0" fontId="7" fillId="0" borderId="1" xfId="1" applyFont="1" applyBorder="1" applyAlignment="1" applyProtection="1">
      <alignment vertical="top" wrapText="1"/>
      <protection locked="0"/>
    </xf>
    <xf numFmtId="2" fontId="1" fillId="0" borderId="1" xfId="1" applyNumberFormat="1" applyBorder="1" applyAlignment="1" applyProtection="1">
      <alignment vertical="top"/>
      <protection locked="0"/>
    </xf>
    <xf numFmtId="2" fontId="1" fillId="0" borderId="5" xfId="1" applyNumberFormat="1" applyBorder="1" applyAlignment="1" applyProtection="1">
      <alignment vertical="top"/>
      <protection locked="0"/>
    </xf>
    <xf numFmtId="0" fontId="2" fillId="0" borderId="1" xfId="1" applyFont="1" applyBorder="1" applyAlignment="1" applyProtection="1">
      <alignment vertical="top"/>
      <protection locked="0"/>
    </xf>
    <xf numFmtId="2" fontId="1" fillId="0" borderId="1" xfId="1" applyNumberFormat="1" applyBorder="1" applyAlignment="1">
      <alignment vertical="center"/>
    </xf>
    <xf numFmtId="2" fontId="1" fillId="0" borderId="1" xfId="1" applyNumberFormat="1" applyBorder="1" applyAlignment="1" applyProtection="1">
      <alignment vertical="center"/>
      <protection locked="0"/>
    </xf>
    <xf numFmtId="2" fontId="1" fillId="0" borderId="6" xfId="1" applyNumberFormat="1" applyBorder="1" applyAlignment="1">
      <alignment vertical="center"/>
    </xf>
    <xf numFmtId="0" fontId="2" fillId="0" borderId="1" xfId="1" applyFont="1" applyBorder="1" applyAlignment="1" applyProtection="1">
      <alignment vertical="center"/>
      <protection locked="0"/>
    </xf>
    <xf numFmtId="0" fontId="1" fillId="0" borderId="1" xfId="1" applyBorder="1" applyAlignment="1" applyProtection="1">
      <alignment horizontal="center" vertical="top"/>
      <protection locked="0"/>
    </xf>
    <xf numFmtId="0" fontId="1" fillId="0" borderId="1" xfId="1" applyBorder="1" applyAlignment="1" applyProtection="1">
      <alignment vertical="top" wrapText="1"/>
      <protection locked="0"/>
    </xf>
    <xf numFmtId="0" fontId="1" fillId="0" borderId="1" xfId="1" applyBorder="1" applyAlignment="1" applyProtection="1">
      <alignment horizontal="center" vertical="top" wrapText="1"/>
      <protection locked="0"/>
    </xf>
    <xf numFmtId="0" fontId="1" fillId="0" borderId="1" xfId="1" applyBorder="1" applyAlignment="1" applyProtection="1">
      <alignment horizontal="center" vertical="center" wrapText="1"/>
      <protection locked="0"/>
    </xf>
    <xf numFmtId="0" fontId="7" fillId="0" borderId="1" xfId="1" applyFont="1" applyBorder="1" applyAlignment="1" applyProtection="1">
      <alignment vertical="center" wrapText="1"/>
      <protection locked="0"/>
    </xf>
    <xf numFmtId="0" fontId="1" fillId="0" borderId="11" xfId="1" applyBorder="1" applyAlignment="1" applyProtection="1">
      <alignment horizontal="center" vertical="top"/>
      <protection locked="0"/>
    </xf>
    <xf numFmtId="2" fontId="1" fillId="0" borderId="0" xfId="1" applyNumberFormat="1" applyAlignment="1">
      <alignment vertical="top"/>
    </xf>
    <xf numFmtId="2" fontId="1" fillId="0" borderId="0" xfId="1" applyNumberFormat="1" applyAlignment="1" applyProtection="1">
      <alignment vertical="top"/>
      <protection locked="0"/>
    </xf>
    <xf numFmtId="0" fontId="7" fillId="0" borderId="11" xfId="1" applyFont="1" applyBorder="1" applyAlignment="1" applyProtection="1">
      <alignment horizontal="center" vertical="top"/>
      <protection locked="0"/>
    </xf>
    <xf numFmtId="0" fontId="1" fillId="0" borderId="16" xfId="1" applyBorder="1" applyAlignment="1" applyProtection="1">
      <alignment horizontal="center" vertical="top"/>
      <protection locked="0"/>
    </xf>
    <xf numFmtId="0" fontId="21" fillId="0" borderId="1" xfId="1" applyFont="1" applyBorder="1" applyAlignment="1" applyProtection="1">
      <alignment horizontal="justify" vertical="top" wrapText="1"/>
      <protection locked="0"/>
    </xf>
    <xf numFmtId="0" fontId="2" fillId="0" borderId="1" xfId="1" applyFont="1" applyBorder="1" applyAlignment="1" applyProtection="1">
      <alignment horizontal="justify" vertical="justify" wrapText="1"/>
      <protection locked="0"/>
    </xf>
    <xf numFmtId="0" fontId="21" fillId="0" borderId="1" xfId="1" applyFont="1" applyBorder="1" applyAlignment="1" applyProtection="1">
      <alignment horizontal="justify" vertical="justify" wrapText="1"/>
      <protection locked="0"/>
    </xf>
    <xf numFmtId="0" fontId="1" fillId="0" borderId="10" xfId="1" applyBorder="1" applyAlignment="1" applyProtection="1">
      <alignment horizontal="center" vertical="top"/>
      <protection locked="0"/>
    </xf>
    <xf numFmtId="0" fontId="1" fillId="0" borderId="11" xfId="1" applyBorder="1" applyAlignment="1" applyProtection="1">
      <alignment horizontal="center" vertical="top" wrapText="1"/>
      <protection locked="0"/>
    </xf>
    <xf numFmtId="0" fontId="1" fillId="0" borderId="10" xfId="1" applyBorder="1" applyAlignment="1" applyProtection="1">
      <alignment vertical="top" wrapText="1"/>
      <protection locked="0"/>
    </xf>
    <xf numFmtId="0" fontId="1" fillId="0" borderId="16" xfId="1" applyBorder="1" applyAlignment="1" applyProtection="1">
      <alignment horizontal="center" vertical="top" wrapText="1"/>
      <protection locked="0"/>
    </xf>
    <xf numFmtId="0" fontId="1" fillId="0" borderId="10" xfId="1" applyBorder="1" applyAlignment="1" applyProtection="1">
      <alignment horizontal="center" vertical="top" wrapText="1"/>
      <protection locked="0"/>
    </xf>
    <xf numFmtId="0" fontId="7" fillId="0" borderId="10" xfId="1" applyFont="1" applyBorder="1" applyAlignment="1" applyProtection="1">
      <alignment vertical="top" wrapText="1"/>
      <protection locked="0"/>
    </xf>
    <xf numFmtId="0" fontId="3" fillId="0" borderId="10" xfId="1" applyFont="1" applyBorder="1" applyAlignment="1" applyProtection="1">
      <alignment vertical="center" wrapText="1"/>
      <protection locked="0"/>
    </xf>
    <xf numFmtId="0" fontId="7" fillId="0" borderId="10" xfId="1" applyFont="1" applyBorder="1" applyAlignment="1" applyProtection="1">
      <alignment vertical="center" wrapText="1"/>
      <protection locked="0"/>
    </xf>
    <xf numFmtId="0" fontId="12" fillId="0" borderId="5" xfId="1" applyFont="1" applyBorder="1" applyAlignment="1" applyProtection="1">
      <alignment vertical="top" wrapText="1"/>
      <protection locked="0"/>
    </xf>
    <xf numFmtId="0" fontId="7" fillId="0" borderId="1" xfId="1" applyFont="1" applyBorder="1" applyAlignment="1" applyProtection="1">
      <alignment vertical="top"/>
      <protection locked="0"/>
    </xf>
    <xf numFmtId="0" fontId="1" fillId="0" borderId="1" xfId="1" applyBorder="1" applyAlignment="1" applyProtection="1">
      <alignment vertical="center" wrapText="1"/>
      <protection locked="0"/>
    </xf>
    <xf numFmtId="0" fontId="7" fillId="0" borderId="0" xfId="1" applyFont="1" applyAlignment="1" applyProtection="1">
      <alignment horizontal="left" vertical="top"/>
      <protection locked="0"/>
    </xf>
    <xf numFmtId="0" fontId="3" fillId="0" borderId="2" xfId="1" applyFont="1" applyBorder="1" applyAlignment="1" applyProtection="1">
      <alignment horizontal="left" vertical="center"/>
      <protection locked="0"/>
    </xf>
    <xf numFmtId="0" fontId="7" fillId="0" borderId="0" xfId="1" applyFont="1" applyAlignment="1" applyProtection="1">
      <alignment horizontal="left" vertical="center"/>
      <protection locked="0"/>
    </xf>
    <xf numFmtId="0" fontId="1" fillId="0" borderId="11" xfId="1" applyBorder="1" applyAlignment="1" applyProtection="1">
      <alignment vertical="top"/>
      <protection locked="0"/>
    </xf>
    <xf numFmtId="0" fontId="1" fillId="0" borderId="10" xfId="1" applyBorder="1" applyAlignment="1" applyProtection="1">
      <alignment vertical="top"/>
      <protection locked="0"/>
    </xf>
    <xf numFmtId="0" fontId="3" fillId="0" borderId="2" xfId="1" applyFont="1" applyBorder="1" applyAlignment="1" applyProtection="1">
      <alignment vertical="center" wrapText="1"/>
      <protection locked="0"/>
    </xf>
    <xf numFmtId="0" fontId="21" fillId="0" borderId="10" xfId="1" applyFont="1" applyBorder="1" applyAlignment="1" applyProtection="1">
      <alignment horizontal="justify" vertical="top" wrapText="1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0" fontId="1" fillId="0" borderId="1" xfId="1" applyBorder="1" applyAlignment="1" applyProtection="1">
      <alignment horizontal="justify" vertical="center" wrapText="1"/>
      <protection locked="0"/>
    </xf>
    <xf numFmtId="2" fontId="1" fillId="0" borderId="5" xfId="1" applyNumberFormat="1" applyBorder="1" applyAlignment="1" applyProtection="1">
      <alignment vertical="center"/>
      <protection locked="0"/>
    </xf>
    <xf numFmtId="0" fontId="1" fillId="0" borderId="1" xfId="1" applyBorder="1" applyAlignment="1" applyProtection="1">
      <alignment horizontal="justify" vertical="justify" wrapText="1"/>
      <protection locked="0"/>
    </xf>
    <xf numFmtId="0" fontId="1" fillId="0" borderId="1" xfId="1" applyBorder="1" applyAlignment="1" applyProtection="1">
      <alignment horizontal="justify" vertical="top" wrapText="1"/>
      <protection locked="0"/>
    </xf>
    <xf numFmtId="0" fontId="3" fillId="0" borderId="2" xfId="1" applyFont="1" applyBorder="1" applyAlignment="1" applyProtection="1">
      <alignment vertical="top" wrapText="1"/>
      <protection locked="0"/>
    </xf>
    <xf numFmtId="0" fontId="7" fillId="0" borderId="1" xfId="1" applyFont="1" applyBorder="1" applyAlignment="1" applyProtection="1">
      <alignment horizontal="left" vertical="top" wrapText="1"/>
      <protection locked="0"/>
    </xf>
    <xf numFmtId="0" fontId="1" fillId="0" borderId="1" xfId="1" applyBorder="1" applyAlignment="1" applyProtection="1">
      <alignment horizontal="left" vertical="top" wrapText="1"/>
      <protection locked="0"/>
    </xf>
    <xf numFmtId="0" fontId="7" fillId="0" borderId="1" xfId="1" applyFont="1" applyBorder="1" applyAlignment="1" applyProtection="1">
      <alignment horizontal="justify" vertical="justify" wrapText="1"/>
      <protection locked="0"/>
    </xf>
    <xf numFmtId="0" fontId="1" fillId="0" borderId="1" xfId="1" applyBorder="1" applyAlignment="1" applyProtection="1">
      <alignment horizontal="center" vertical="justify" wrapText="1"/>
      <protection locked="0"/>
    </xf>
    <xf numFmtId="0" fontId="3" fillId="0" borderId="1" xfId="1" applyFont="1" applyBorder="1" applyAlignment="1" applyProtection="1">
      <alignment horizontal="left" vertical="top" wrapText="1"/>
      <protection locked="0"/>
    </xf>
    <xf numFmtId="0" fontId="7" fillId="0" borderId="6" xfId="1" applyFont="1" applyBorder="1" applyAlignment="1" applyProtection="1">
      <alignment horizontal="right" vertical="top"/>
      <protection locked="0"/>
    </xf>
    <xf numFmtId="2" fontId="1" fillId="0" borderId="5" xfId="1" applyNumberFormat="1" applyBorder="1" applyAlignment="1">
      <alignment vertical="top"/>
    </xf>
    <xf numFmtId="2" fontId="2" fillId="0" borderId="6" xfId="1" applyNumberFormat="1" applyFont="1" applyBorder="1" applyAlignment="1">
      <alignment vertical="center"/>
    </xf>
    <xf numFmtId="2" fontId="21" fillId="0" borderId="1" xfId="1" applyNumberFormat="1" applyFont="1" applyBorder="1" applyAlignment="1">
      <alignment vertical="center"/>
    </xf>
    <xf numFmtId="2" fontId="2" fillId="0" borderId="1" xfId="1" applyNumberFormat="1" applyFont="1" applyBorder="1" applyAlignment="1">
      <alignment vertical="center"/>
    </xf>
    <xf numFmtId="2" fontId="21" fillId="0" borderId="1" xfId="1" applyNumberFormat="1" applyFont="1" applyBorder="1" applyAlignment="1" applyProtection="1">
      <alignment vertical="center"/>
      <protection locked="0"/>
    </xf>
    <xf numFmtId="0" fontId="7" fillId="0" borderId="0" xfId="1" applyFont="1" applyAlignment="1" applyProtection="1">
      <alignment vertical="top"/>
      <protection locked="0"/>
    </xf>
    <xf numFmtId="0" fontId="1" fillId="0" borderId="6" xfId="1" applyBorder="1" applyAlignment="1" applyProtection="1">
      <alignment horizontal="right" vertical="top" wrapText="1"/>
      <protection locked="0"/>
    </xf>
    <xf numFmtId="0" fontId="1" fillId="0" borderId="6" xfId="1" applyBorder="1" applyAlignment="1" applyProtection="1">
      <alignment horizontal="right" vertical="top"/>
      <protection locked="0"/>
    </xf>
    <xf numFmtId="9" fontId="1" fillId="0" borderId="6" xfId="1" applyNumberFormat="1" applyBorder="1" applyAlignment="1" applyProtection="1">
      <alignment horizontal="center" vertical="top"/>
      <protection locked="0"/>
    </xf>
    <xf numFmtId="2" fontId="3" fillId="0" borderId="6" xfId="1" applyNumberFormat="1" applyFont="1" applyBorder="1" applyAlignment="1" applyProtection="1">
      <alignment vertical="center"/>
      <protection locked="0"/>
    </xf>
    <xf numFmtId="2" fontId="7" fillId="0" borderId="1" xfId="1" applyNumberFormat="1" applyFont="1" applyBorder="1" applyAlignment="1" applyProtection="1">
      <alignment vertical="center"/>
      <protection locked="0"/>
    </xf>
    <xf numFmtId="2" fontId="20" fillId="0" borderId="1" xfId="1" applyNumberFormat="1" applyFont="1" applyBorder="1" applyAlignment="1" applyProtection="1">
      <alignment vertical="center"/>
      <protection locked="0"/>
    </xf>
    <xf numFmtId="2" fontId="20" fillId="0" borderId="6" xfId="1" applyNumberFormat="1" applyFont="1" applyBorder="1" applyAlignment="1" applyProtection="1">
      <alignment vertical="center"/>
      <protection locked="0"/>
    </xf>
    <xf numFmtId="0" fontId="20" fillId="0" borderId="1" xfId="1" applyFont="1" applyBorder="1" applyAlignment="1" applyProtection="1">
      <alignment vertical="center"/>
      <protection locked="0"/>
    </xf>
    <xf numFmtId="2" fontId="2" fillId="0" borderId="0" xfId="1" applyNumberFormat="1" applyFont="1" applyAlignment="1" applyProtection="1">
      <alignment vertical="top" wrapText="1"/>
      <protection locked="0"/>
    </xf>
    <xf numFmtId="2" fontId="2" fillId="0" borderId="0" xfId="1" applyNumberFormat="1" applyFont="1" applyAlignment="1" applyProtection="1">
      <alignment vertical="top"/>
      <protection locked="0"/>
    </xf>
    <xf numFmtId="0" fontId="12" fillId="0" borderId="0" xfId="1" applyFont="1" applyAlignment="1">
      <alignment horizontal="center" vertical="top" wrapText="1"/>
    </xf>
    <xf numFmtId="0" fontId="2" fillId="0" borderId="0" xfId="1" applyFont="1" applyAlignment="1" applyProtection="1">
      <alignment vertical="top" wrapText="1"/>
      <protection locked="0"/>
    </xf>
    <xf numFmtId="0" fontId="22" fillId="0" borderId="0" xfId="1" applyFont="1" applyAlignment="1">
      <alignment vertical="center"/>
    </xf>
    <xf numFmtId="0" fontId="20" fillId="0" borderId="0" xfId="1" applyFont="1" applyAlignment="1">
      <alignment horizontal="left"/>
    </xf>
    <xf numFmtId="0" fontId="20" fillId="0" borderId="0" xfId="1" applyFont="1" applyAlignment="1">
      <alignment vertical="center" wrapText="1"/>
    </xf>
    <xf numFmtId="2" fontId="21" fillId="0" borderId="0" xfId="1" applyNumberFormat="1" applyFont="1" applyAlignment="1" applyProtection="1">
      <alignment vertical="center"/>
      <protection locked="0"/>
    </xf>
    <xf numFmtId="0" fontId="20" fillId="0" borderId="24" xfId="1" applyFont="1" applyBorder="1" applyAlignment="1">
      <alignment vertical="center"/>
    </xf>
    <xf numFmtId="0" fontId="20" fillId="0" borderId="24" xfId="1" applyFont="1" applyBorder="1" applyAlignment="1">
      <alignment horizontal="right" vertical="center"/>
    </xf>
    <xf numFmtId="2" fontId="19" fillId="0" borderId="1" xfId="1" applyNumberFormat="1" applyFont="1" applyBorder="1" applyAlignment="1">
      <alignment horizontal="center" vertical="center" wrapText="1"/>
    </xf>
    <xf numFmtId="0" fontId="20" fillId="0" borderId="5" xfId="1" applyFont="1" applyBorder="1" applyAlignment="1">
      <alignment horizontal="center" vertical="center" wrapText="1"/>
    </xf>
    <xf numFmtId="0" fontId="20" fillId="0" borderId="2" xfId="1" applyFont="1" applyBorder="1" applyAlignment="1">
      <alignment horizontal="center" vertical="center" wrapText="1"/>
    </xf>
    <xf numFmtId="0" fontId="20" fillId="0" borderId="12" xfId="1" applyFont="1" applyBorder="1" applyAlignment="1">
      <alignment horizontal="center" vertical="center" wrapText="1"/>
    </xf>
    <xf numFmtId="1" fontId="20" fillId="0" borderId="1" xfId="1" applyNumberFormat="1" applyFont="1" applyBorder="1" applyAlignment="1">
      <alignment horizontal="center" vertical="center" wrapText="1"/>
    </xf>
    <xf numFmtId="1" fontId="19" fillId="0" borderId="1" xfId="1" applyNumberFormat="1" applyFont="1" applyBorder="1" applyAlignment="1">
      <alignment horizontal="center" vertical="center" wrapText="1"/>
    </xf>
    <xf numFmtId="0" fontId="20" fillId="0" borderId="5" xfId="1" applyFont="1" applyBorder="1" applyAlignment="1" applyProtection="1">
      <alignment vertical="center"/>
      <protection locked="0"/>
    </xf>
    <xf numFmtId="0" fontId="20" fillId="0" borderId="2" xfId="1" applyFont="1" applyBorder="1" applyAlignment="1" applyProtection="1">
      <alignment vertical="center"/>
      <protection locked="0"/>
    </xf>
    <xf numFmtId="0" fontId="20" fillId="0" borderId="6" xfId="1" applyFont="1" applyBorder="1" applyAlignment="1" applyProtection="1">
      <alignment vertical="center" wrapText="1"/>
      <protection locked="0"/>
    </xf>
    <xf numFmtId="0" fontId="3" fillId="0" borderId="6" xfId="1" applyFont="1" applyBorder="1" applyAlignment="1" applyProtection="1">
      <alignment vertical="center"/>
      <protection locked="0"/>
    </xf>
    <xf numFmtId="0" fontId="3" fillId="0" borderId="5" xfId="1" applyFont="1" applyBorder="1" applyAlignment="1" applyProtection="1">
      <alignment vertical="center"/>
      <protection locked="0"/>
    </xf>
    <xf numFmtId="0" fontId="21" fillId="0" borderId="16" xfId="1" applyFont="1" applyBorder="1" applyAlignment="1">
      <alignment vertical="center"/>
    </xf>
    <xf numFmtId="0" fontId="20" fillId="0" borderId="1" xfId="1" applyFont="1" applyBorder="1" applyAlignment="1">
      <alignment horizontal="center" vertical="center"/>
    </xf>
    <xf numFmtId="0" fontId="20" fillId="0" borderId="1" xfId="1" applyFont="1" applyBorder="1" applyAlignment="1">
      <alignment vertical="center" wrapText="1"/>
    </xf>
    <xf numFmtId="0" fontId="2" fillId="0" borderId="2" xfId="1" applyFont="1" applyBorder="1" applyAlignment="1">
      <alignment horizontal="right" vertical="center"/>
    </xf>
    <xf numFmtId="0" fontId="21" fillId="0" borderId="0" xfId="1" applyFont="1" applyAlignment="1" applyProtection="1">
      <alignment horizontal="center" vertical="center"/>
      <protection locked="0"/>
    </xf>
    <xf numFmtId="2" fontId="2" fillId="0" borderId="1" xfId="1" applyNumberFormat="1" applyFont="1" applyBorder="1" applyAlignment="1" applyProtection="1">
      <alignment vertical="center"/>
      <protection locked="0"/>
    </xf>
    <xf numFmtId="0" fontId="21" fillId="0" borderId="1" xfId="1" applyFont="1" applyBorder="1" applyAlignment="1">
      <alignment horizontal="center" vertical="center"/>
    </xf>
    <xf numFmtId="0" fontId="21" fillId="0" borderId="1" xfId="1" applyFont="1" applyBorder="1" applyAlignment="1">
      <alignment vertical="center" wrapText="1"/>
    </xf>
    <xf numFmtId="2" fontId="2" fillId="0" borderId="1" xfId="1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top"/>
    </xf>
    <xf numFmtId="0" fontId="20" fillId="0" borderId="10" xfId="1" applyFont="1" applyBorder="1" applyAlignment="1">
      <alignment vertical="center" wrapText="1"/>
    </xf>
    <xf numFmtId="0" fontId="2" fillId="0" borderId="5" xfId="1" applyFont="1" applyBorder="1" applyAlignment="1">
      <alignment horizontal="center" vertical="center"/>
    </xf>
    <xf numFmtId="0" fontId="21" fillId="0" borderId="1" xfId="1" applyFont="1" applyBorder="1" applyAlignment="1">
      <alignment horizontal="justify" vertical="justify" wrapText="1"/>
    </xf>
    <xf numFmtId="0" fontId="21" fillId="0" borderId="6" xfId="1" applyFont="1" applyBorder="1" applyAlignment="1">
      <alignment horizontal="center" vertical="center"/>
    </xf>
    <xf numFmtId="0" fontId="21" fillId="0" borderId="5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5" xfId="1" applyFont="1" applyBorder="1" applyAlignment="1" applyProtection="1">
      <alignment horizontal="center" vertical="center"/>
      <protection locked="0"/>
    </xf>
    <xf numFmtId="0" fontId="21" fillId="0" borderId="1" xfId="1" applyFont="1" applyBorder="1" applyAlignment="1" applyProtection="1">
      <alignment horizontal="center" vertical="center"/>
      <protection locked="0"/>
    </xf>
    <xf numFmtId="0" fontId="21" fillId="0" borderId="1" xfId="1" applyFont="1" applyBorder="1" applyAlignment="1" applyProtection="1">
      <alignment vertical="center" wrapText="1"/>
      <protection locked="0"/>
    </xf>
    <xf numFmtId="0" fontId="1" fillId="0" borderId="1" xfId="1" applyBorder="1" applyAlignment="1" applyProtection="1">
      <alignment horizontal="center" vertical="center"/>
      <protection locked="0"/>
    </xf>
    <xf numFmtId="0" fontId="20" fillId="0" borderId="1" xfId="1" applyFont="1" applyBorder="1" applyAlignment="1" applyProtection="1">
      <alignment horizontal="left" vertical="center" wrapText="1"/>
      <protection locked="0"/>
    </xf>
    <xf numFmtId="0" fontId="20" fillId="0" borderId="1" xfId="1" applyFont="1" applyBorder="1" applyAlignment="1" applyProtection="1">
      <alignment horizontal="center" vertical="center"/>
      <protection locked="0"/>
    </xf>
    <xf numFmtId="0" fontId="20" fillId="0" borderId="0" xfId="1" applyFont="1" applyAlignment="1" applyProtection="1">
      <alignment vertical="center"/>
      <protection locked="0"/>
    </xf>
    <xf numFmtId="0" fontId="20" fillId="0" borderId="2" xfId="1" applyFont="1" applyBorder="1" applyAlignment="1" applyProtection="1">
      <alignment vertical="center" wrapText="1"/>
      <protection locked="0"/>
    </xf>
    <xf numFmtId="0" fontId="21" fillId="0" borderId="13" xfId="1" applyFont="1" applyBorder="1" applyAlignment="1">
      <alignment vertical="center"/>
    </xf>
    <xf numFmtId="0" fontId="20" fillId="0" borderId="6" xfId="1" applyFont="1" applyBorder="1" applyAlignment="1">
      <alignment horizontal="left" vertical="center" wrapText="1"/>
    </xf>
    <xf numFmtId="0" fontId="2" fillId="0" borderId="5" xfId="1" applyFont="1" applyBorder="1" applyAlignment="1">
      <alignment horizontal="right" vertical="center"/>
    </xf>
    <xf numFmtId="0" fontId="21" fillId="0" borderId="18" xfId="1" applyFont="1" applyBorder="1" applyAlignment="1">
      <alignment vertical="center"/>
    </xf>
    <xf numFmtId="0" fontId="21" fillId="0" borderId="1" xfId="1" applyFont="1" applyBorder="1" applyAlignment="1">
      <alignment horizontal="center" vertical="top"/>
    </xf>
    <xf numFmtId="0" fontId="21" fillId="0" borderId="6" xfId="1" applyFont="1" applyBorder="1" applyAlignment="1">
      <alignment horizontal="justify" vertical="justify" wrapText="1"/>
    </xf>
    <xf numFmtId="0" fontId="20" fillId="0" borderId="6" xfId="1" applyFont="1" applyBorder="1" applyAlignment="1">
      <alignment horizontal="left" vertical="justify" wrapText="1"/>
    </xf>
    <xf numFmtId="0" fontId="21" fillId="0" borderId="6" xfId="1" applyFont="1" applyBorder="1" applyAlignment="1">
      <alignment horizontal="left" vertical="justify" wrapText="1"/>
    </xf>
    <xf numFmtId="0" fontId="20" fillId="0" borderId="12" xfId="1" applyFont="1" applyBorder="1" applyAlignment="1">
      <alignment horizontal="left" vertical="justify" wrapText="1"/>
    </xf>
    <xf numFmtId="0" fontId="20" fillId="0" borderId="6" xfId="1" applyFont="1" applyBorder="1" applyAlignment="1">
      <alignment horizontal="justify" vertical="justify" wrapText="1"/>
    </xf>
    <xf numFmtId="0" fontId="21" fillId="0" borderId="6" xfId="1" applyFont="1" applyBorder="1" applyAlignment="1">
      <alignment horizontal="left" vertical="center" wrapText="1"/>
    </xf>
    <xf numFmtId="0" fontId="23" fillId="0" borderId="1" xfId="1" applyFont="1" applyBorder="1" applyAlignment="1" applyProtection="1">
      <alignment horizontal="center" vertical="top" wrapText="1"/>
      <protection locked="0"/>
    </xf>
    <xf numFmtId="0" fontId="2" fillId="0" borderId="6" xfId="1" applyFont="1" applyBorder="1" applyAlignment="1" applyProtection="1">
      <alignment horizontal="center" vertical="center" wrapText="1"/>
      <protection locked="0"/>
    </xf>
    <xf numFmtId="43" fontId="2" fillId="0" borderId="1" xfId="2" applyNumberFormat="1" applyFont="1" applyBorder="1" applyAlignment="1" applyProtection="1">
      <alignment horizontal="center" vertical="top" wrapText="1"/>
      <protection locked="0"/>
    </xf>
    <xf numFmtId="0" fontId="20" fillId="0" borderId="6" xfId="1" applyFont="1" applyBorder="1" applyAlignment="1" applyProtection="1">
      <alignment vertical="center"/>
      <protection locked="0"/>
    </xf>
    <xf numFmtId="0" fontId="3" fillId="0" borderId="1" xfId="1" applyFont="1" applyBorder="1" applyAlignment="1" applyProtection="1">
      <alignment vertical="center"/>
      <protection locked="0"/>
    </xf>
    <xf numFmtId="2" fontId="3" fillId="0" borderId="1" xfId="1" applyNumberFormat="1" applyFont="1" applyBorder="1" applyAlignment="1">
      <alignment vertical="center"/>
    </xf>
    <xf numFmtId="0" fontId="1" fillId="0" borderId="6" xfId="1" applyBorder="1"/>
    <xf numFmtId="2" fontId="3" fillId="0" borderId="1" xfId="1" applyNumberFormat="1" applyFont="1" applyBorder="1" applyAlignment="1" applyProtection="1">
      <alignment vertical="center"/>
      <protection locked="0"/>
    </xf>
    <xf numFmtId="0" fontId="20" fillId="0" borderId="5" xfId="1" applyFont="1" applyBorder="1" applyAlignment="1" applyProtection="1">
      <alignment vertical="center" wrapText="1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21" fillId="0" borderId="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horizontal="left" vertical="center" wrapText="1"/>
      <protection locked="0"/>
    </xf>
    <xf numFmtId="0" fontId="7" fillId="0" borderId="0" xfId="1" applyFont="1" applyAlignment="1">
      <alignment horizontal="center" vertical="center" wrapText="1"/>
    </xf>
    <xf numFmtId="0" fontId="1" fillId="0" borderId="0" xfId="1" applyAlignment="1" applyProtection="1">
      <alignment horizontal="center" vertical="center"/>
      <protection locked="0"/>
    </xf>
    <xf numFmtId="2" fontId="10" fillId="0" borderId="24" xfId="1" applyNumberFormat="1" applyFont="1" applyBorder="1" applyAlignment="1">
      <alignment vertical="center"/>
    </xf>
    <xf numFmtId="2" fontId="3" fillId="0" borderId="0" xfId="1" applyNumberFormat="1" applyFont="1" applyAlignment="1">
      <alignment vertical="center"/>
    </xf>
    <xf numFmtId="0" fontId="1" fillId="0" borderId="16" xfId="1" applyBorder="1" applyAlignment="1">
      <alignment vertical="center" wrapText="1"/>
    </xf>
    <xf numFmtId="0" fontId="7" fillId="0" borderId="1" xfId="1" applyFont="1" applyBorder="1" applyAlignment="1">
      <alignment horizontal="right" vertical="center" wrapText="1"/>
    </xf>
    <xf numFmtId="0" fontId="1" fillId="0" borderId="1" xfId="1" applyBorder="1" applyAlignment="1">
      <alignment horizontal="right" vertical="center" wrapText="1"/>
    </xf>
    <xf numFmtId="0" fontId="1" fillId="0" borderId="1" xfId="1" applyBorder="1" applyAlignment="1">
      <alignment horizontal="left" vertical="center" wrapText="1"/>
    </xf>
    <xf numFmtId="2" fontId="1" fillId="0" borderId="1" xfId="1" applyNumberFormat="1" applyBorder="1" applyAlignment="1">
      <alignment horizontal="right" vertical="center" wrapText="1"/>
    </xf>
    <xf numFmtId="0" fontId="1" fillId="0" borderId="11" xfId="1" applyBorder="1" applyAlignment="1">
      <alignment horizontal="right" vertical="center" wrapText="1"/>
    </xf>
    <xf numFmtId="0" fontId="1" fillId="0" borderId="11" xfId="1" applyBorder="1" applyAlignment="1">
      <alignment vertical="top" wrapText="1"/>
    </xf>
    <xf numFmtId="0" fontId="1" fillId="0" borderId="16" xfId="1" applyBorder="1" applyAlignment="1">
      <alignment vertical="top" wrapText="1"/>
    </xf>
    <xf numFmtId="0" fontId="1" fillId="0" borderId="10" xfId="1" applyBorder="1" applyAlignment="1">
      <alignment vertical="top" wrapText="1"/>
    </xf>
    <xf numFmtId="0" fontId="1" fillId="0" borderId="10" xfId="1" applyBorder="1" applyAlignment="1">
      <alignment vertical="center" wrapText="1"/>
    </xf>
    <xf numFmtId="0" fontId="1" fillId="0" borderId="1" xfId="1" applyBorder="1" applyAlignment="1">
      <alignment horizontal="left" vertical="top" wrapText="1"/>
    </xf>
    <xf numFmtId="0" fontId="1" fillId="0" borderId="10" xfId="1" applyBorder="1" applyAlignment="1">
      <alignment horizontal="right" vertical="center" wrapText="1"/>
    </xf>
    <xf numFmtId="0" fontId="3" fillId="0" borderId="1" xfId="1" applyFont="1" applyBorder="1" applyAlignment="1">
      <alignment horizontal="left" vertical="center" wrapText="1"/>
    </xf>
    <xf numFmtId="0" fontId="1" fillId="0" borderId="1" xfId="1" applyBorder="1" applyAlignment="1" applyProtection="1">
      <alignment horizontal="right" vertical="center"/>
      <protection locked="0"/>
    </xf>
    <xf numFmtId="0" fontId="2" fillId="0" borderId="1" xfId="1" applyFont="1" applyBorder="1" applyAlignment="1">
      <alignment horizontal="left" vertical="center" wrapText="1"/>
    </xf>
    <xf numFmtId="0" fontId="2" fillId="0" borderId="1" xfId="1" applyFont="1" applyBorder="1" applyAlignment="1" applyProtection="1">
      <alignment horizontal="right" vertical="center"/>
      <protection locked="0"/>
    </xf>
    <xf numFmtId="2" fontId="7" fillId="0" borderId="1" xfId="1" applyNumberFormat="1" applyFont="1" applyBorder="1" applyAlignment="1">
      <alignment vertical="center"/>
    </xf>
    <xf numFmtId="0" fontId="1" fillId="0" borderId="11" xfId="1" applyBorder="1" applyAlignment="1">
      <alignment vertical="center" wrapText="1"/>
    </xf>
    <xf numFmtId="0" fontId="26" fillId="0" borderId="1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right" vertical="center" wrapText="1"/>
    </xf>
    <xf numFmtId="0" fontId="7" fillId="0" borderId="11" xfId="1" applyFont="1" applyBorder="1" applyAlignment="1">
      <alignment vertical="top" wrapText="1"/>
    </xf>
    <xf numFmtId="0" fontId="7" fillId="0" borderId="16" xfId="1" applyFont="1" applyBorder="1" applyAlignment="1">
      <alignment vertical="top" wrapText="1"/>
    </xf>
    <xf numFmtId="0" fontId="7" fillId="0" borderId="0" xfId="1" applyFont="1" applyAlignment="1" applyProtection="1">
      <alignment vertical="center"/>
      <protection locked="0"/>
    </xf>
    <xf numFmtId="2" fontId="28" fillId="0" borderId="0" xfId="5" applyNumberFormat="1" applyFont="1" applyAlignment="1">
      <alignment horizontal="center"/>
    </xf>
    <xf numFmtId="0" fontId="28" fillId="0" borderId="0" xfId="5" applyFont="1"/>
    <xf numFmtId="2" fontId="28" fillId="0" borderId="0" xfId="5" applyNumberFormat="1" applyFont="1" applyAlignment="1">
      <alignment horizontal="left"/>
    </xf>
    <xf numFmtId="2" fontId="29" fillId="0" borderId="0" xfId="5" applyNumberFormat="1" applyFont="1" applyAlignment="1">
      <alignment horizontal="center"/>
    </xf>
    <xf numFmtId="0" fontId="28" fillId="0" borderId="0" xfId="5" applyFont="1" applyAlignment="1">
      <alignment horizontal="center"/>
    </xf>
    <xf numFmtId="0" fontId="27" fillId="0" borderId="0" xfId="5" applyAlignment="1">
      <alignment horizontal="center"/>
    </xf>
    <xf numFmtId="2" fontId="30" fillId="0" borderId="0" xfId="5" applyNumberFormat="1" applyFont="1" applyAlignment="1">
      <alignment horizontal="left"/>
    </xf>
    <xf numFmtId="2" fontId="31" fillId="0" borderId="0" xfId="5" applyNumberFormat="1" applyFont="1" applyAlignment="1">
      <alignment horizontal="left"/>
    </xf>
    <xf numFmtId="2" fontId="31" fillId="0" borderId="0" xfId="5" applyNumberFormat="1" applyFont="1" applyAlignment="1">
      <alignment horizontal="center"/>
    </xf>
    <xf numFmtId="2" fontId="32" fillId="0" borderId="6" xfId="5" applyNumberFormat="1" applyFont="1" applyBorder="1" applyAlignment="1">
      <alignment horizontal="center"/>
    </xf>
    <xf numFmtId="2" fontId="32" fillId="0" borderId="2" xfId="5" applyNumberFormat="1" applyFont="1" applyBorder="1" applyAlignment="1">
      <alignment horizontal="left"/>
    </xf>
    <xf numFmtId="2" fontId="32" fillId="0" borderId="5" xfId="5" applyNumberFormat="1" applyFont="1" applyBorder="1" applyAlignment="1">
      <alignment horizontal="left"/>
    </xf>
    <xf numFmtId="2" fontId="27" fillId="0" borderId="2" xfId="5" applyNumberFormat="1" applyBorder="1" applyAlignment="1">
      <alignment horizontal="center"/>
    </xf>
    <xf numFmtId="2" fontId="32" fillId="0" borderId="12" xfId="5" applyNumberFormat="1" applyFont="1" applyBorder="1" applyAlignment="1">
      <alignment horizontal="center"/>
    </xf>
    <xf numFmtId="2" fontId="32" fillId="0" borderId="2" xfId="5" applyNumberFormat="1" applyFont="1" applyBorder="1" applyAlignment="1">
      <alignment horizontal="center"/>
    </xf>
    <xf numFmtId="2" fontId="27" fillId="0" borderId="0" xfId="5" quotePrefix="1" applyNumberFormat="1" applyAlignment="1">
      <alignment horizontal="center"/>
    </xf>
    <xf numFmtId="2" fontId="27" fillId="0" borderId="0" xfId="5" applyNumberFormat="1" applyAlignment="1">
      <alignment horizontal="left"/>
    </xf>
    <xf numFmtId="1" fontId="27" fillId="0" borderId="0" xfId="5" applyNumberFormat="1" applyAlignment="1">
      <alignment horizontal="center"/>
    </xf>
    <xf numFmtId="1" fontId="33" fillId="0" borderId="0" xfId="5" applyNumberFormat="1" applyFont="1" applyAlignment="1">
      <alignment horizontal="center"/>
    </xf>
    <xf numFmtId="2" fontId="33" fillId="0" borderId="0" xfId="5" applyNumberFormat="1" applyFont="1" applyAlignment="1">
      <alignment horizontal="center"/>
    </xf>
    <xf numFmtId="2" fontId="34" fillId="0" borderId="6" xfId="5" applyNumberFormat="1" applyFont="1" applyBorder="1" applyAlignment="1">
      <alignment horizontal="left"/>
    </xf>
    <xf numFmtId="1" fontId="27" fillId="0" borderId="6" xfId="5" applyNumberFormat="1" applyBorder="1" applyAlignment="1">
      <alignment horizontal="center"/>
    </xf>
    <xf numFmtId="2" fontId="27" fillId="0" borderId="6" xfId="5" applyNumberFormat="1" applyBorder="1" applyAlignment="1">
      <alignment horizontal="center"/>
    </xf>
    <xf numFmtId="9" fontId="27" fillId="0" borderId="0" xfId="6" applyNumberFormat="1" applyFont="1" applyAlignment="1">
      <alignment horizontal="center"/>
    </xf>
    <xf numFmtId="2" fontId="32" fillId="0" borderId="14" xfId="5" applyNumberFormat="1" applyFont="1" applyBorder="1" applyAlignment="1">
      <alignment horizontal="center"/>
    </xf>
    <xf numFmtId="2" fontId="27" fillId="0" borderId="14" xfId="5" applyNumberFormat="1" applyBorder="1" applyAlignment="1">
      <alignment horizontal="center"/>
    </xf>
    <xf numFmtId="2" fontId="27" fillId="0" borderId="15" xfId="5" applyNumberFormat="1" applyBorder="1" applyAlignment="1">
      <alignment horizontal="center"/>
    </xf>
    <xf numFmtId="2" fontId="32" fillId="0" borderId="24" xfId="5" applyNumberFormat="1" applyFont="1" applyBorder="1" applyAlignment="1">
      <alignment horizontal="center"/>
    </xf>
    <xf numFmtId="2" fontId="34" fillId="0" borderId="0" xfId="5" applyNumberFormat="1" applyFont="1" applyAlignment="1">
      <alignment horizontal="left"/>
    </xf>
    <xf numFmtId="2" fontId="27" fillId="0" borderId="5" xfId="5" applyNumberFormat="1" applyBorder="1" applyAlignment="1">
      <alignment horizontal="center"/>
    </xf>
    <xf numFmtId="2" fontId="32" fillId="0" borderId="15" xfId="5" applyNumberFormat="1" applyFont="1" applyBorder="1" applyAlignment="1">
      <alignment horizontal="center"/>
    </xf>
    <xf numFmtId="2" fontId="35" fillId="0" borderId="0" xfId="5" applyNumberFormat="1" applyFont="1" applyAlignment="1">
      <alignment horizontal="center"/>
    </xf>
    <xf numFmtId="2" fontId="34" fillId="0" borderId="0" xfId="5" applyNumberFormat="1" applyFont="1" applyAlignment="1">
      <alignment horizontal="center"/>
    </xf>
    <xf numFmtId="2" fontId="30" fillId="0" borderId="0" xfId="5" applyNumberFormat="1" applyFont="1" applyAlignment="1">
      <alignment horizontal="center"/>
    </xf>
    <xf numFmtId="2" fontId="27" fillId="0" borderId="12" xfId="5" applyNumberFormat="1" applyBorder="1" applyAlignment="1">
      <alignment horizontal="center"/>
    </xf>
    <xf numFmtId="2" fontId="27" fillId="0" borderId="24" xfId="5" applyNumberFormat="1" applyBorder="1" applyAlignment="1">
      <alignment horizontal="center"/>
    </xf>
    <xf numFmtId="0" fontId="27" fillId="0" borderId="0" xfId="5" quotePrefix="1" applyAlignment="1">
      <alignment horizontal="center"/>
    </xf>
    <xf numFmtId="0" fontId="27" fillId="0" borderId="15" xfId="5" applyBorder="1" applyAlignment="1">
      <alignment horizontal="center"/>
    </xf>
    <xf numFmtId="0" fontId="27" fillId="0" borderId="15" xfId="5" applyBorder="1"/>
    <xf numFmtId="0" fontId="27" fillId="0" borderId="0" xfId="5"/>
    <xf numFmtId="2" fontId="27" fillId="0" borderId="18" xfId="5" applyNumberFormat="1" applyBorder="1"/>
    <xf numFmtId="0" fontId="27" fillId="0" borderId="25" xfId="5" applyBorder="1"/>
    <xf numFmtId="2" fontId="27" fillId="0" borderId="9" xfId="5" applyNumberFormat="1" applyBorder="1" applyAlignment="1">
      <alignment horizontal="center"/>
    </xf>
    <xf numFmtId="2" fontId="27" fillId="0" borderId="25" xfId="5" applyNumberFormat="1" applyBorder="1" applyAlignment="1">
      <alignment horizontal="center"/>
    </xf>
    <xf numFmtId="2" fontId="27" fillId="0" borderId="24" xfId="5" applyNumberFormat="1" applyBorder="1" applyAlignment="1">
      <alignment horizontal="left"/>
    </xf>
    <xf numFmtId="2" fontId="27" fillId="0" borderId="0" xfId="5" applyNumberFormat="1"/>
    <xf numFmtId="1" fontId="1" fillId="0" borderId="27" xfId="1" applyNumberFormat="1" applyBorder="1" applyAlignment="1">
      <alignment horizontal="center" vertical="top"/>
    </xf>
    <xf numFmtId="1" fontId="1" fillId="0" borderId="28" xfId="1" applyNumberFormat="1" applyBorder="1" applyAlignment="1">
      <alignment horizontal="center" vertical="top" wrapText="1"/>
    </xf>
    <xf numFmtId="1" fontId="1" fillId="0" borderId="28" xfId="1" applyNumberFormat="1" applyBorder="1" applyAlignment="1">
      <alignment horizontal="center" vertical="top"/>
    </xf>
    <xf numFmtId="1" fontId="1" fillId="0" borderId="29" xfId="1" applyNumberFormat="1" applyBorder="1" applyAlignment="1">
      <alignment horizontal="center" vertical="top" wrapText="1"/>
    </xf>
    <xf numFmtId="1" fontId="1" fillId="0" borderId="7" xfId="1" applyNumberFormat="1" applyBorder="1" applyAlignment="1">
      <alignment horizontal="right"/>
    </xf>
    <xf numFmtId="2" fontId="1" fillId="0" borderId="10" xfId="1" applyNumberFormat="1" applyBorder="1" applyAlignment="1">
      <alignment horizontal="right"/>
    </xf>
    <xf numFmtId="2" fontId="1" fillId="0" borderId="1" xfId="1" applyNumberFormat="1" applyBorder="1" applyAlignment="1">
      <alignment horizontal="right"/>
    </xf>
    <xf numFmtId="2" fontId="1" fillId="0" borderId="8" xfId="1" applyNumberFormat="1" applyBorder="1" applyAlignment="1">
      <alignment horizontal="right"/>
    </xf>
    <xf numFmtId="1" fontId="1" fillId="0" borderId="3" xfId="1" applyNumberFormat="1" applyBorder="1" applyAlignment="1">
      <alignment horizontal="right"/>
    </xf>
    <xf numFmtId="2" fontId="0" fillId="0" borderId="1" xfId="7" applyNumberFormat="1" applyFont="1" applyBorder="1" applyAlignment="1" applyProtection="1">
      <alignment horizontal="right"/>
    </xf>
    <xf numFmtId="2" fontId="1" fillId="0" borderId="0" xfId="1" applyNumberFormat="1"/>
    <xf numFmtId="1" fontId="1" fillId="0" borderId="30" xfId="1" applyNumberFormat="1" applyBorder="1" applyAlignment="1">
      <alignment horizontal="right"/>
    </xf>
    <xf numFmtId="2" fontId="1" fillId="0" borderId="31" xfId="1" applyNumberFormat="1" applyBorder="1" applyAlignment="1">
      <alignment horizontal="right"/>
    </xf>
    <xf numFmtId="2" fontId="1" fillId="0" borderId="32" xfId="1" applyNumberFormat="1" applyBorder="1" applyAlignment="1">
      <alignment horizontal="right"/>
    </xf>
    <xf numFmtId="1" fontId="1" fillId="0" borderId="26" xfId="1" applyNumberFormat="1" applyBorder="1"/>
    <xf numFmtId="1" fontId="1" fillId="0" borderId="0" xfId="1" applyNumberFormat="1"/>
    <xf numFmtId="10" fontId="1" fillId="0" borderId="33" xfId="1" applyNumberFormat="1" applyBorder="1"/>
    <xf numFmtId="40" fontId="1" fillId="0" borderId="0" xfId="1" applyNumberFormat="1"/>
    <xf numFmtId="10" fontId="1" fillId="0" borderId="0" xfId="1" applyNumberFormat="1"/>
    <xf numFmtId="2" fontId="1" fillId="0" borderId="33" xfId="1" applyNumberFormat="1" applyBorder="1"/>
    <xf numFmtId="0" fontId="1" fillId="0" borderId="33" xfId="1" applyBorder="1"/>
    <xf numFmtId="0" fontId="38" fillId="0" borderId="0" xfId="1" applyFont="1"/>
    <xf numFmtId="0" fontId="40" fillId="0" borderId="0" xfId="1" applyFont="1" applyAlignment="1">
      <alignment horizontal="center"/>
    </xf>
    <xf numFmtId="0" fontId="17" fillId="0" borderId="0" xfId="1" applyFont="1" applyAlignment="1">
      <alignment horizontal="center"/>
    </xf>
    <xf numFmtId="0" fontId="17" fillId="0" borderId="1" xfId="1" applyFont="1" applyBorder="1" applyAlignment="1">
      <alignment horizontal="center" vertical="center" wrapText="1"/>
    </xf>
    <xf numFmtId="0" fontId="17" fillId="0" borderId="0" xfId="1" applyFont="1" applyAlignment="1">
      <alignment horizontal="center" vertical="center" wrapText="1"/>
    </xf>
    <xf numFmtId="0" fontId="17" fillId="0" borderId="6" xfId="1" applyFont="1" applyBorder="1" applyAlignment="1">
      <alignment horizontal="center"/>
    </xf>
    <xf numFmtId="0" fontId="17" fillId="0" borderId="1" xfId="1" applyFont="1" applyBorder="1" applyAlignment="1">
      <alignment horizontal="center"/>
    </xf>
    <xf numFmtId="0" fontId="17" fillId="0" borderId="18" xfId="1" applyFont="1" applyBorder="1" applyAlignment="1">
      <alignment horizontal="center"/>
    </xf>
    <xf numFmtId="0" fontId="17" fillId="0" borderId="6" xfId="1" applyFont="1" applyBorder="1"/>
    <xf numFmtId="0" fontId="17" fillId="0" borderId="1" xfId="1" applyFont="1" applyBorder="1"/>
    <xf numFmtId="2" fontId="17" fillId="0" borderId="1" xfId="1" applyNumberFormat="1" applyFont="1" applyBorder="1" applyAlignment="1">
      <alignment horizontal="center"/>
    </xf>
    <xf numFmtId="2" fontId="17" fillId="0" borderId="18" xfId="1" applyNumberFormat="1" applyFont="1" applyBorder="1" applyAlignment="1">
      <alignment horizontal="center"/>
    </xf>
    <xf numFmtId="2" fontId="17" fillId="0" borderId="0" xfId="1" applyNumberFormat="1" applyFont="1" applyAlignment="1">
      <alignment horizontal="center"/>
    </xf>
    <xf numFmtId="2" fontId="40" fillId="0" borderId="1" xfId="1" applyNumberFormat="1" applyFont="1" applyBorder="1" applyAlignment="1">
      <alignment horizontal="center"/>
    </xf>
    <xf numFmtId="1" fontId="1" fillId="0" borderId="1" xfId="1" applyNumberFormat="1" applyBorder="1" applyAlignment="1">
      <alignment horizontal="center" vertical="center"/>
    </xf>
    <xf numFmtId="0" fontId="1" fillId="0" borderId="1" xfId="1" applyBorder="1" applyAlignment="1" applyProtection="1">
      <alignment horizontal="right" vertical="center" wrapText="1"/>
      <protection locked="0"/>
    </xf>
    <xf numFmtId="0" fontId="12" fillId="0" borderId="10" xfId="1" applyFont="1" applyBorder="1" applyAlignment="1" applyProtection="1">
      <alignment horizontal="center" vertical="top" wrapText="1"/>
      <protection locked="0"/>
    </xf>
    <xf numFmtId="0" fontId="12" fillId="0" borderId="1" xfId="1" applyFont="1" applyBorder="1" applyAlignment="1" applyProtection="1">
      <alignment horizontal="center" vertical="top" wrapText="1"/>
      <protection locked="0"/>
    </xf>
    <xf numFmtId="3" fontId="12" fillId="0" borderId="1" xfId="1" applyNumberFormat="1" applyFont="1" applyBorder="1" applyAlignment="1" applyProtection="1">
      <alignment horizontal="center" vertical="top"/>
      <protection locked="0"/>
    </xf>
    <xf numFmtId="164" fontId="21" fillId="0" borderId="0" xfId="1" applyNumberFormat="1" applyFont="1" applyAlignment="1" applyProtection="1">
      <alignment vertical="center"/>
      <protection locked="0"/>
    </xf>
    <xf numFmtId="164" fontId="19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166" fontId="21" fillId="0" borderId="1" xfId="2" applyNumberFormat="1" applyFont="1" applyBorder="1" applyAlignment="1" applyProtection="1">
      <alignment horizontal="center" vertical="top" wrapText="1"/>
      <protection locked="0"/>
    </xf>
    <xf numFmtId="164" fontId="3" fillId="0" borderId="1" xfId="1" applyNumberFormat="1" applyFont="1" applyBorder="1" applyAlignment="1">
      <alignment vertical="center"/>
    </xf>
    <xf numFmtId="165" fontId="1" fillId="0" borderId="1" xfId="1" applyNumberFormat="1" applyBorder="1" applyAlignment="1" applyProtection="1">
      <alignment vertical="center"/>
      <protection locked="0"/>
    </xf>
    <xf numFmtId="165" fontId="1" fillId="0" borderId="0" xfId="1" applyNumberFormat="1" applyAlignment="1" applyProtection="1">
      <alignment vertical="center"/>
      <protection locked="0"/>
    </xf>
    <xf numFmtId="167" fontId="1" fillId="0" borderId="0" xfId="1" applyNumberFormat="1"/>
    <xf numFmtId="4" fontId="10" fillId="0" borderId="1" xfId="1" applyNumberFormat="1" applyFont="1" applyBorder="1" applyAlignment="1" applyProtection="1">
      <alignment vertical="center"/>
      <protection locked="0"/>
    </xf>
    <xf numFmtId="4" fontId="12" fillId="0" borderId="1" xfId="1" applyNumberFormat="1" applyFont="1" applyBorder="1" applyAlignment="1" applyProtection="1">
      <alignment horizontal="center" vertical="center"/>
      <protection locked="0"/>
    </xf>
    <xf numFmtId="2" fontId="1" fillId="0" borderId="1" xfId="1" applyNumberFormat="1" applyBorder="1" applyAlignment="1">
      <alignment vertical="top"/>
    </xf>
    <xf numFmtId="0" fontId="4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41" fillId="0" borderId="1" xfId="0" applyFont="1" applyBorder="1"/>
    <xf numFmtId="0" fontId="41" fillId="0" borderId="1" xfId="0" applyFont="1" applyBorder="1" applyAlignment="1">
      <alignment horizontal="center" wrapText="1"/>
    </xf>
    <xf numFmtId="0" fontId="42" fillId="0" borderId="1" xfId="0" applyFont="1" applyBorder="1" applyAlignment="1">
      <alignment horizontal="center" wrapText="1"/>
    </xf>
    <xf numFmtId="0" fontId="42" fillId="0" borderId="1" xfId="0" applyFont="1" applyBorder="1" applyAlignment="1">
      <alignment horizontal="center" vertical="center" wrapText="1"/>
    </xf>
    <xf numFmtId="0" fontId="43" fillId="0" borderId="10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42" fillId="3" borderId="1" xfId="0" applyFont="1" applyFill="1" applyBorder="1" applyAlignment="1">
      <alignment horizontal="center" vertical="center"/>
    </xf>
    <xf numFmtId="0" fontId="0" fillId="2" borderId="0" xfId="0" applyFill="1"/>
    <xf numFmtId="0" fontId="0" fillId="3" borderId="1" xfId="0" applyFill="1" applyBorder="1"/>
    <xf numFmtId="0" fontId="21" fillId="4" borderId="0" xfId="1" applyFont="1" applyFill="1" applyAlignment="1" applyProtection="1">
      <alignment vertical="center"/>
      <protection locked="0"/>
    </xf>
    <xf numFmtId="2" fontId="2" fillId="4" borderId="1" xfId="1" applyNumberFormat="1" applyFont="1" applyFill="1" applyBorder="1" applyAlignment="1">
      <alignment vertical="center"/>
    </xf>
    <xf numFmtId="0" fontId="21" fillId="4" borderId="18" xfId="1" applyFont="1" applyFill="1" applyBorder="1" applyAlignment="1">
      <alignment vertical="center"/>
    </xf>
    <xf numFmtId="0" fontId="21" fillId="4" borderId="1" xfId="1" applyFont="1" applyFill="1" applyBorder="1" applyAlignment="1">
      <alignment horizontal="center" vertical="top"/>
    </xf>
    <xf numFmtId="0" fontId="21" fillId="4" borderId="6" xfId="1" applyFont="1" applyFill="1" applyBorder="1" applyAlignment="1">
      <alignment horizontal="justify" vertical="justify" wrapText="1"/>
    </xf>
    <xf numFmtId="0" fontId="2" fillId="4" borderId="6" xfId="1" applyFont="1" applyFill="1" applyBorder="1" applyAlignment="1" applyProtection="1">
      <alignment horizontal="center" vertical="center"/>
      <protection locked="0"/>
    </xf>
    <xf numFmtId="0" fontId="2" fillId="4" borderId="5" xfId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vertical="center"/>
    </xf>
    <xf numFmtId="2" fontId="2" fillId="4" borderId="1" xfId="1" applyNumberFormat="1" applyFont="1" applyFill="1" applyBorder="1" applyAlignment="1" applyProtection="1">
      <alignment vertical="center"/>
      <protection locked="0"/>
    </xf>
    <xf numFmtId="2" fontId="21" fillId="4" borderId="0" xfId="1" applyNumberFormat="1" applyFont="1" applyFill="1" applyAlignment="1" applyProtection="1">
      <alignment vertical="center"/>
      <protection locked="0"/>
    </xf>
    <xf numFmtId="164" fontId="21" fillId="4" borderId="0" xfId="1" applyNumberFormat="1" applyFont="1" applyFill="1" applyAlignment="1" applyProtection="1">
      <alignment vertical="center"/>
      <protection locked="0"/>
    </xf>
    <xf numFmtId="0" fontId="21" fillId="4" borderId="6" xfId="1" applyFont="1" applyFill="1" applyBorder="1" applyAlignment="1">
      <alignment horizontal="left" vertical="justify" wrapText="1"/>
    </xf>
    <xf numFmtId="165" fontId="2" fillId="4" borderId="1" xfId="1" applyNumberFormat="1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/>
    <xf numFmtId="4" fontId="10" fillId="0" borderId="0" xfId="1" applyNumberFormat="1" applyFont="1" applyProtection="1">
      <protection locked="0"/>
    </xf>
    <xf numFmtId="0" fontId="10" fillId="0" borderId="2" xfId="1" applyFont="1" applyBorder="1" applyAlignment="1" applyProtection="1">
      <alignment horizontal="center" vertical="top" wrapText="1"/>
      <protection locked="0"/>
    </xf>
    <xf numFmtId="4" fontId="12" fillId="0" borderId="10" xfId="1" applyNumberFormat="1" applyFont="1" applyBorder="1" applyAlignment="1" applyProtection="1">
      <alignment horizontal="center" vertical="top" wrapText="1"/>
      <protection locked="0"/>
    </xf>
    <xf numFmtId="4" fontId="12" fillId="0" borderId="10" xfId="1" applyNumberFormat="1" applyFont="1" applyBorder="1" applyAlignment="1" applyProtection="1">
      <alignment horizontal="center" vertical="top"/>
      <protection locked="0"/>
    </xf>
    <xf numFmtId="4" fontId="12" fillId="0" borderId="11" xfId="1" applyNumberFormat="1" applyFont="1" applyBorder="1" applyAlignment="1" applyProtection="1">
      <alignment horizontal="center" vertical="top"/>
      <protection locked="0"/>
    </xf>
    <xf numFmtId="0" fontId="10" fillId="0" borderId="2" xfId="1" applyFont="1" applyBorder="1" applyAlignment="1" applyProtection="1">
      <alignment horizontal="center" vertical="center" wrapText="1"/>
      <protection locked="0"/>
    </xf>
    <xf numFmtId="0" fontId="12" fillId="0" borderId="2" xfId="1" applyFont="1" applyBorder="1" applyAlignment="1" applyProtection="1">
      <alignment horizontal="center" vertical="center" wrapText="1"/>
      <protection locked="0"/>
    </xf>
    <xf numFmtId="4" fontId="10" fillId="0" borderId="1" xfId="1" applyNumberFormat="1" applyFont="1" applyBorder="1" applyAlignment="1">
      <alignment horizontal="center" vertical="center"/>
    </xf>
    <xf numFmtId="2" fontId="1" fillId="0" borderId="33" xfId="0" applyNumberFormat="1" applyFont="1" applyBorder="1"/>
    <xf numFmtId="165" fontId="10" fillId="0" borderId="2" xfId="1" applyNumberFormat="1" applyFont="1" applyBorder="1" applyAlignment="1" applyProtection="1">
      <alignment vertical="center" wrapText="1"/>
      <protection locked="0"/>
    </xf>
    <xf numFmtId="2" fontId="17" fillId="0" borderId="1" xfId="1" applyNumberFormat="1" applyFont="1" applyBorder="1" applyAlignment="1">
      <alignment vertical="top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14" fillId="3" borderId="1" xfId="0" applyFont="1" applyFill="1" applyBorder="1"/>
    <xf numFmtId="0" fontId="14" fillId="3" borderId="1" xfId="0" applyFont="1" applyFill="1" applyBorder="1" applyAlignment="1">
      <alignment horizontal="center"/>
    </xf>
    <xf numFmtId="0" fontId="14" fillId="3" borderId="0" xfId="0" applyFont="1" applyFill="1"/>
    <xf numFmtId="2" fontId="0" fillId="3" borderId="1" xfId="0" applyNumberFormat="1" applyFill="1" applyBorder="1" applyAlignment="1">
      <alignment horizontal="center"/>
    </xf>
    <xf numFmtId="2" fontId="14" fillId="3" borderId="1" xfId="0" applyNumberFormat="1" applyFont="1" applyFill="1" applyBorder="1" applyAlignment="1">
      <alignment horizontal="center"/>
    </xf>
    <xf numFmtId="0" fontId="12" fillId="3" borderId="1" xfId="1" applyFont="1" applyFill="1" applyBorder="1" applyAlignment="1" applyProtection="1">
      <alignment horizontal="center" vertical="top"/>
      <protection locked="0"/>
    </xf>
    <xf numFmtId="0" fontId="12" fillId="3" borderId="1" xfId="1" applyFont="1" applyFill="1" applyBorder="1" applyAlignment="1" applyProtection="1">
      <alignment vertical="top" wrapText="1"/>
      <protection locked="0"/>
    </xf>
    <xf numFmtId="0" fontId="2" fillId="3" borderId="1" xfId="1" applyFont="1" applyFill="1" applyBorder="1" applyAlignment="1" applyProtection="1">
      <alignment vertical="top" wrapText="1"/>
      <protection locked="0"/>
    </xf>
    <xf numFmtId="0" fontId="12" fillId="3" borderId="1" xfId="1" applyFont="1" applyFill="1" applyBorder="1" applyAlignment="1" applyProtection="1">
      <alignment horizontal="center" vertical="top" wrapText="1"/>
      <protection locked="0"/>
    </xf>
    <xf numFmtId="2" fontId="17" fillId="3" borderId="1" xfId="1" applyNumberFormat="1" applyFont="1" applyFill="1" applyBorder="1" applyAlignment="1">
      <alignment vertical="top"/>
    </xf>
    <xf numFmtId="4" fontId="12" fillId="3" borderId="1" xfId="1" applyNumberFormat="1" applyFont="1" applyFill="1" applyBorder="1" applyAlignment="1" applyProtection="1">
      <alignment horizontal="right" vertical="top"/>
      <protection locked="0"/>
    </xf>
    <xf numFmtId="4" fontId="12" fillId="3" borderId="5" xfId="1" applyNumberFormat="1" applyFont="1" applyFill="1" applyBorder="1" applyAlignment="1" applyProtection="1">
      <alignment horizontal="right" vertical="top"/>
      <protection locked="0"/>
    </xf>
    <xf numFmtId="0" fontId="12" fillId="3" borderId="3" xfId="1" applyFont="1" applyFill="1" applyBorder="1" applyAlignment="1" applyProtection="1">
      <alignment vertical="top"/>
      <protection locked="0"/>
    </xf>
    <xf numFmtId="4" fontId="12" fillId="3" borderId="1" xfId="1" applyNumberFormat="1" applyFont="1" applyFill="1" applyBorder="1" applyAlignment="1" applyProtection="1">
      <alignment horizontal="center" vertical="top"/>
      <protection locked="0"/>
    </xf>
    <xf numFmtId="4" fontId="12" fillId="3" borderId="6" xfId="1" applyNumberFormat="1" applyFont="1" applyFill="1" applyBorder="1" applyAlignment="1" applyProtection="1">
      <alignment horizontal="center" vertical="top"/>
      <protection locked="0"/>
    </xf>
    <xf numFmtId="4" fontId="12" fillId="3" borderId="4" xfId="1" applyNumberFormat="1" applyFont="1" applyFill="1" applyBorder="1" applyAlignment="1" applyProtection="1">
      <alignment horizontal="right" vertical="top"/>
      <protection locked="0"/>
    </xf>
    <xf numFmtId="4" fontId="12" fillId="3" borderId="3" xfId="1" applyNumberFormat="1" applyFont="1" applyFill="1" applyBorder="1" applyAlignment="1" applyProtection="1">
      <alignment horizontal="right" vertical="top"/>
      <protection locked="0"/>
    </xf>
    <xf numFmtId="0" fontId="12" fillId="3" borderId="1" xfId="1" applyFont="1" applyFill="1" applyBorder="1" applyAlignment="1" applyProtection="1">
      <alignment vertical="top"/>
      <protection locked="0"/>
    </xf>
    <xf numFmtId="0" fontId="1" fillId="3" borderId="1" xfId="1" applyFill="1" applyBorder="1" applyAlignment="1" applyProtection="1">
      <alignment vertical="top"/>
      <protection locked="0"/>
    </xf>
    <xf numFmtId="0" fontId="1" fillId="3" borderId="0" xfId="1" applyFill="1" applyAlignment="1" applyProtection="1">
      <alignment vertical="top"/>
      <protection locked="0"/>
    </xf>
    <xf numFmtId="0" fontId="12" fillId="3" borderId="10" xfId="1" applyFont="1" applyFill="1" applyBorder="1" applyAlignment="1" applyProtection="1">
      <alignment horizontal="center" vertical="top" wrapText="1"/>
      <protection locked="0"/>
    </xf>
    <xf numFmtId="0" fontId="12" fillId="3" borderId="10" xfId="1" applyFont="1" applyFill="1" applyBorder="1" applyAlignment="1" applyProtection="1">
      <alignment horizontal="left" vertical="top" wrapText="1"/>
      <protection locked="0"/>
    </xf>
    <xf numFmtId="0" fontId="2" fillId="3" borderId="10" xfId="1" applyFont="1" applyFill="1" applyBorder="1" applyAlignment="1" applyProtection="1">
      <alignment horizontal="left" vertical="top" wrapText="1"/>
      <protection locked="0"/>
    </xf>
    <xf numFmtId="4" fontId="12" fillId="3" borderId="1" xfId="1" applyNumberFormat="1" applyFont="1" applyFill="1" applyBorder="1" applyAlignment="1" applyProtection="1">
      <alignment vertical="top"/>
      <protection locked="0"/>
    </xf>
    <xf numFmtId="4" fontId="12" fillId="3" borderId="1" xfId="1" applyNumberFormat="1" applyFont="1" applyFill="1" applyBorder="1" applyAlignment="1" applyProtection="1">
      <alignment horizontal="right" vertical="top" wrapText="1"/>
      <protection locked="0"/>
    </xf>
    <xf numFmtId="4" fontId="12" fillId="3" borderId="10" xfId="1" applyNumberFormat="1" applyFont="1" applyFill="1" applyBorder="1" applyAlignment="1" applyProtection="1">
      <alignment horizontal="right" vertical="top" wrapText="1"/>
      <protection locked="0"/>
    </xf>
    <xf numFmtId="4" fontId="12" fillId="3" borderId="9" xfId="1" applyNumberFormat="1" applyFont="1" applyFill="1" applyBorder="1" applyAlignment="1" applyProtection="1">
      <alignment horizontal="right" vertical="top" wrapText="1"/>
      <protection locked="0"/>
    </xf>
    <xf numFmtId="4" fontId="12" fillId="3" borderId="10" xfId="1" applyNumberFormat="1" applyFont="1" applyFill="1" applyBorder="1" applyAlignment="1" applyProtection="1">
      <alignment horizontal="center" vertical="top" wrapText="1"/>
      <protection locked="0"/>
    </xf>
    <xf numFmtId="0" fontId="12" fillId="3" borderId="1" xfId="1" applyFont="1" applyFill="1" applyBorder="1" applyAlignment="1" applyProtection="1">
      <alignment horizontal="justify" vertical="top" wrapText="1"/>
      <protection locked="0"/>
    </xf>
    <xf numFmtId="0" fontId="2" fillId="3" borderId="1" xfId="1" applyFont="1" applyFill="1" applyBorder="1" applyAlignment="1" applyProtection="1">
      <alignment horizontal="justify" vertical="top" wrapText="1"/>
      <protection locked="0"/>
    </xf>
    <xf numFmtId="0" fontId="12" fillId="3" borderId="1" xfId="1" applyFont="1" applyFill="1" applyBorder="1" applyAlignment="1" applyProtection="1">
      <alignment horizontal="left" vertical="top" wrapText="1"/>
      <protection locked="0"/>
    </xf>
    <xf numFmtId="0" fontId="2" fillId="3" borderId="1" xfId="1" applyFont="1" applyFill="1" applyBorder="1" applyAlignment="1" applyProtection="1">
      <alignment horizontal="left" vertical="top" wrapText="1"/>
      <protection locked="0"/>
    </xf>
    <xf numFmtId="4" fontId="12" fillId="3" borderId="5" xfId="1" applyNumberFormat="1" applyFont="1" applyFill="1" applyBorder="1" applyAlignment="1" applyProtection="1">
      <alignment horizontal="right" vertical="top" wrapText="1"/>
      <protection locked="0"/>
    </xf>
    <xf numFmtId="4" fontId="12" fillId="3" borderId="1" xfId="1" applyNumberFormat="1" applyFont="1" applyFill="1" applyBorder="1" applyAlignment="1" applyProtection="1">
      <alignment horizontal="center" vertical="top" wrapText="1"/>
      <protection locked="0"/>
    </xf>
    <xf numFmtId="4" fontId="12" fillId="3" borderId="5" xfId="1" applyNumberFormat="1" applyFont="1" applyFill="1" applyBorder="1" applyAlignment="1" applyProtection="1">
      <alignment vertical="top"/>
      <protection locked="0"/>
    </xf>
    <xf numFmtId="4" fontId="12" fillId="3" borderId="4" xfId="1" applyNumberFormat="1" applyFont="1" applyFill="1" applyBorder="1" applyAlignment="1" applyProtection="1">
      <alignment vertical="top"/>
      <protection locked="0"/>
    </xf>
    <xf numFmtId="4" fontId="12" fillId="3" borderId="3" xfId="1" applyNumberFormat="1" applyFont="1" applyFill="1" applyBorder="1" applyAlignment="1" applyProtection="1">
      <alignment vertical="top"/>
      <protection locked="0"/>
    </xf>
    <xf numFmtId="0" fontId="17" fillId="3" borderId="0" xfId="0" applyFont="1" applyFill="1"/>
    <xf numFmtId="0" fontId="2" fillId="3" borderId="11" xfId="1" applyFont="1" applyFill="1" applyBorder="1" applyAlignment="1" applyProtection="1">
      <alignment vertical="top" wrapText="1"/>
      <protection locked="0"/>
    </xf>
    <xf numFmtId="4" fontId="12" fillId="3" borderId="11" xfId="1" applyNumberFormat="1" applyFont="1" applyFill="1" applyBorder="1" applyAlignment="1" applyProtection="1">
      <alignment horizontal="right" vertical="top"/>
      <protection locked="0"/>
    </xf>
    <xf numFmtId="4" fontId="12" fillId="3" borderId="13" xfId="1" applyNumberFormat="1" applyFont="1" applyFill="1" applyBorder="1" applyAlignment="1" applyProtection="1">
      <alignment horizontal="right" vertical="top"/>
      <protection locked="0"/>
    </xf>
    <xf numFmtId="4" fontId="12" fillId="3" borderId="11" xfId="1" applyNumberFormat="1" applyFont="1" applyFill="1" applyBorder="1" applyAlignment="1" applyProtection="1">
      <alignment horizontal="center" vertical="top"/>
      <protection locked="0"/>
    </xf>
    <xf numFmtId="4" fontId="12" fillId="3" borderId="1" xfId="1" applyNumberFormat="1" applyFont="1" applyFill="1" applyBorder="1" applyAlignment="1" applyProtection="1">
      <alignment vertical="center"/>
      <protection locked="0"/>
    </xf>
    <xf numFmtId="4" fontId="12" fillId="3" borderId="1" xfId="1" applyNumberFormat="1" applyFont="1" applyFill="1" applyBorder="1" applyAlignment="1" applyProtection="1">
      <alignment horizontal="right" vertical="center"/>
      <protection locked="0"/>
    </xf>
    <xf numFmtId="4" fontId="12" fillId="3" borderId="5" xfId="1" applyNumberFormat="1" applyFont="1" applyFill="1" applyBorder="1" applyAlignment="1" applyProtection="1">
      <alignment horizontal="right" vertical="center"/>
      <protection locked="0"/>
    </xf>
    <xf numFmtId="4" fontId="12" fillId="3" borderId="3" xfId="1" applyNumberFormat="1" applyFont="1" applyFill="1" applyBorder="1" applyAlignment="1" applyProtection="1">
      <alignment horizontal="right" vertical="center"/>
      <protection locked="0"/>
    </xf>
    <xf numFmtId="4" fontId="12" fillId="3" borderId="1" xfId="1" applyNumberFormat="1" applyFont="1" applyFill="1" applyBorder="1" applyAlignment="1" applyProtection="1">
      <alignment horizontal="center" vertical="center"/>
      <protection locked="0"/>
    </xf>
    <xf numFmtId="4" fontId="12" fillId="3" borderId="4" xfId="1" applyNumberFormat="1" applyFont="1" applyFill="1" applyBorder="1" applyAlignment="1" applyProtection="1">
      <alignment horizontal="right" vertical="center"/>
      <protection locked="0"/>
    </xf>
    <xf numFmtId="0" fontId="0" fillId="3" borderId="16" xfId="0" applyFill="1" applyBorder="1" applyAlignment="1">
      <alignment horizontal="center" vertical="center" wrapText="1"/>
    </xf>
    <xf numFmtId="0" fontId="12" fillId="3" borderId="1" xfId="1" applyFont="1" applyFill="1" applyBorder="1" applyAlignment="1" applyProtection="1">
      <alignment horizontal="center" vertical="center" wrapText="1"/>
      <protection locked="0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4" fontId="12" fillId="3" borderId="1" xfId="1" applyNumberFormat="1" applyFont="1" applyFill="1" applyBorder="1" applyAlignment="1" applyProtection="1">
      <alignment vertical="center" wrapText="1"/>
      <protection locked="0"/>
    </xf>
    <xf numFmtId="4" fontId="12" fillId="3" borderId="1" xfId="1" applyNumberFormat="1" applyFont="1" applyFill="1" applyBorder="1" applyAlignment="1" applyProtection="1">
      <alignment horizontal="center" vertical="center" wrapText="1"/>
      <protection locked="0"/>
    </xf>
    <xf numFmtId="4" fontId="12" fillId="3" borderId="5" xfId="1" applyNumberFormat="1" applyFont="1" applyFill="1" applyBorder="1" applyAlignment="1" applyProtection="1">
      <alignment horizontal="center" vertical="center" wrapText="1"/>
      <protection locked="0"/>
    </xf>
    <xf numFmtId="4" fontId="12" fillId="3" borderId="3" xfId="1" applyNumberFormat="1" applyFont="1" applyFill="1" applyBorder="1" applyAlignment="1" applyProtection="1">
      <alignment horizontal="center" vertical="center" wrapText="1"/>
      <protection locked="0"/>
    </xf>
    <xf numFmtId="4" fontId="12" fillId="3" borderId="6" xfId="1" applyNumberFormat="1" applyFont="1" applyFill="1" applyBorder="1" applyAlignment="1" applyProtection="1">
      <alignment horizontal="center" vertical="center" wrapText="1"/>
      <protection locked="0"/>
    </xf>
    <xf numFmtId="4" fontId="12" fillId="3" borderId="4" xfId="1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1" applyFill="1" applyBorder="1" applyAlignment="1" applyProtection="1">
      <alignment horizontal="center" vertical="center" wrapText="1"/>
      <protection locked="0"/>
    </xf>
    <xf numFmtId="0" fontId="1" fillId="3" borderId="0" xfId="1" applyFill="1" applyAlignment="1" applyProtection="1">
      <alignment horizontal="center" vertical="center" wrapText="1"/>
      <protection locked="0"/>
    </xf>
    <xf numFmtId="0" fontId="12" fillId="3" borderId="1" xfId="1" applyFont="1" applyFill="1" applyBorder="1" applyAlignment="1" applyProtection="1">
      <alignment vertical="center" wrapText="1"/>
      <protection locked="0"/>
    </xf>
    <xf numFmtId="0" fontId="2" fillId="3" borderId="1" xfId="1" applyFont="1" applyFill="1" applyBorder="1" applyAlignment="1" applyProtection="1">
      <alignment vertical="center" wrapText="1"/>
      <protection locked="0"/>
    </xf>
    <xf numFmtId="4" fontId="12" fillId="3" borderId="11" xfId="1" applyNumberFormat="1" applyFont="1" applyFill="1" applyBorder="1" applyAlignment="1" applyProtection="1">
      <alignment horizontal="right" vertical="center"/>
      <protection locked="0"/>
    </xf>
    <xf numFmtId="4" fontId="12" fillId="3" borderId="13" xfId="1" applyNumberFormat="1" applyFont="1" applyFill="1" applyBorder="1" applyAlignment="1" applyProtection="1">
      <alignment horizontal="right" vertical="center"/>
      <protection locked="0"/>
    </xf>
    <xf numFmtId="0" fontId="12" fillId="3" borderId="3" xfId="1" applyFont="1" applyFill="1" applyBorder="1" applyAlignment="1" applyProtection="1">
      <alignment vertical="center"/>
      <protection locked="0"/>
    </xf>
    <xf numFmtId="4" fontId="12" fillId="3" borderId="11" xfId="1" applyNumberFormat="1" applyFont="1" applyFill="1" applyBorder="1" applyAlignment="1" applyProtection="1">
      <alignment horizontal="center" vertical="center"/>
      <protection locked="0"/>
    </xf>
    <xf numFmtId="0" fontId="12" fillId="3" borderId="1" xfId="1" applyFont="1" applyFill="1" applyBorder="1" applyAlignment="1" applyProtection="1">
      <alignment vertical="center"/>
      <protection locked="0"/>
    </xf>
    <xf numFmtId="0" fontId="1" fillId="3" borderId="1" xfId="1" applyFill="1" applyBorder="1" applyAlignment="1" applyProtection="1">
      <alignment vertical="center"/>
      <protection locked="0"/>
    </xf>
    <xf numFmtId="0" fontId="1" fillId="3" borderId="0" xfId="1" applyFill="1" applyAlignment="1" applyProtection="1">
      <alignment vertical="center"/>
      <protection locked="0"/>
    </xf>
    <xf numFmtId="0" fontId="12" fillId="3" borderId="1" xfId="1" applyFont="1" applyFill="1" applyBorder="1" applyAlignment="1" applyProtection="1">
      <alignment horizontal="center" vertical="center"/>
      <protection locked="0"/>
    </xf>
    <xf numFmtId="0" fontId="10" fillId="3" borderId="16" xfId="1" applyFont="1" applyFill="1" applyBorder="1" applyAlignment="1" applyProtection="1">
      <alignment vertical="top"/>
      <protection locked="0"/>
    </xf>
    <xf numFmtId="0" fontId="12" fillId="3" borderId="10" xfId="1" applyFont="1" applyFill="1" applyBorder="1" applyAlignment="1" applyProtection="1">
      <alignment horizontal="center" vertical="center"/>
      <protection locked="0"/>
    </xf>
    <xf numFmtId="0" fontId="12" fillId="3" borderId="10" xfId="1" applyFont="1" applyFill="1" applyBorder="1" applyAlignment="1" applyProtection="1">
      <alignment vertical="center" wrapText="1"/>
      <protection locked="0"/>
    </xf>
    <xf numFmtId="0" fontId="2" fillId="3" borderId="10" xfId="1" applyFont="1" applyFill="1" applyBorder="1" applyAlignment="1" applyProtection="1">
      <alignment vertical="center" wrapText="1"/>
      <protection locked="0"/>
    </xf>
    <xf numFmtId="0" fontId="12" fillId="3" borderId="10" xfId="1" applyFont="1" applyFill="1" applyBorder="1" applyAlignment="1" applyProtection="1">
      <alignment horizontal="center" vertical="center" wrapText="1"/>
      <protection locked="0"/>
    </xf>
    <xf numFmtId="4" fontId="12" fillId="3" borderId="10" xfId="1" applyNumberFormat="1" applyFont="1" applyFill="1" applyBorder="1" applyAlignment="1" applyProtection="1">
      <alignment horizontal="right" vertical="center"/>
      <protection locked="0"/>
    </xf>
    <xf numFmtId="4" fontId="12" fillId="3" borderId="9" xfId="1" applyNumberFormat="1" applyFont="1" applyFill="1" applyBorder="1" applyAlignment="1" applyProtection="1">
      <alignment horizontal="right" vertical="center"/>
      <protection locked="0"/>
    </xf>
    <xf numFmtId="4" fontId="12" fillId="3" borderId="10" xfId="1" applyNumberFormat="1" applyFont="1" applyFill="1" applyBorder="1" applyAlignment="1" applyProtection="1">
      <alignment horizontal="center" vertical="center"/>
      <protection locked="0"/>
    </xf>
    <xf numFmtId="0" fontId="12" fillId="3" borderId="3" xfId="1" applyFont="1" applyFill="1" applyBorder="1" applyAlignment="1" applyProtection="1">
      <alignment horizontal="left" vertical="top" wrapText="1"/>
      <protection locked="0"/>
    </xf>
    <xf numFmtId="4" fontId="12" fillId="3" borderId="8" xfId="1" applyNumberFormat="1" applyFont="1" applyFill="1" applyBorder="1" applyAlignment="1" applyProtection="1">
      <alignment horizontal="right" vertical="center"/>
      <protection locked="0"/>
    </xf>
    <xf numFmtId="4" fontId="12" fillId="3" borderId="7" xfId="1" applyNumberFormat="1" applyFont="1" applyFill="1" applyBorder="1" applyAlignment="1" applyProtection="1">
      <alignment horizontal="right" vertical="center"/>
      <protection locked="0"/>
    </xf>
    <xf numFmtId="0" fontId="12" fillId="3" borderId="10" xfId="1" applyFont="1" applyFill="1" applyBorder="1" applyAlignment="1" applyProtection="1">
      <alignment horizontal="justify" vertical="top" wrapText="1"/>
      <protection locked="0"/>
    </xf>
    <xf numFmtId="3" fontId="12" fillId="3" borderId="1" xfId="1" applyNumberFormat="1" applyFont="1" applyFill="1" applyBorder="1" applyAlignment="1" applyProtection="1">
      <alignment horizontal="center" vertical="top"/>
      <protection locked="0"/>
    </xf>
    <xf numFmtId="4" fontId="1" fillId="3" borderId="0" xfId="1" applyNumberFormat="1" applyFill="1" applyAlignment="1" applyProtection="1">
      <alignment vertical="top"/>
      <protection locked="0"/>
    </xf>
    <xf numFmtId="0" fontId="12" fillId="3" borderId="1" xfId="1" applyFont="1" applyFill="1" applyBorder="1" applyAlignment="1" applyProtection="1">
      <alignment horizontal="left" vertical="center" wrapText="1"/>
      <protection locked="0"/>
    </xf>
    <xf numFmtId="4" fontId="1" fillId="3" borderId="1" xfId="1" applyNumberFormat="1" applyFill="1" applyBorder="1" applyAlignment="1" applyProtection="1">
      <alignment vertical="center"/>
      <protection locked="0"/>
    </xf>
    <xf numFmtId="4" fontId="1" fillId="3" borderId="0" xfId="1" applyNumberFormat="1" applyFill="1" applyAlignment="1" applyProtection="1">
      <alignment vertical="center"/>
      <protection locked="0"/>
    </xf>
    <xf numFmtId="4" fontId="12" fillId="3" borderId="6" xfId="1" applyNumberFormat="1" applyFont="1" applyFill="1" applyBorder="1" applyAlignment="1" applyProtection="1">
      <alignment horizontal="center" vertical="center"/>
      <protection locked="0"/>
    </xf>
    <xf numFmtId="43" fontId="12" fillId="3" borderId="1" xfId="2" applyNumberFormat="1" applyFont="1" applyFill="1" applyBorder="1" applyAlignment="1" applyProtection="1">
      <alignment vertical="center"/>
      <protection locked="0"/>
    </xf>
    <xf numFmtId="43" fontId="1" fillId="3" borderId="0" xfId="1" applyNumberFormat="1" applyFill="1" applyAlignment="1" applyProtection="1">
      <alignment vertical="center"/>
      <protection locked="0"/>
    </xf>
    <xf numFmtId="2" fontId="12" fillId="3" borderId="5" xfId="1" applyNumberFormat="1" applyFont="1" applyFill="1" applyBorder="1" applyAlignment="1" applyProtection="1">
      <alignment horizontal="center" vertical="top" wrapText="1"/>
      <protection locked="0"/>
    </xf>
    <xf numFmtId="165" fontId="12" fillId="3" borderId="1" xfId="1" applyNumberFormat="1" applyFont="1" applyFill="1" applyBorder="1" applyAlignment="1" applyProtection="1">
      <alignment horizontal="center" vertical="top"/>
      <protection locked="0"/>
    </xf>
    <xf numFmtId="4" fontId="12" fillId="3" borderId="6" xfId="1" applyNumberFormat="1" applyFont="1" applyFill="1" applyBorder="1" applyAlignment="1" applyProtection="1">
      <alignment horizontal="right" vertical="center"/>
      <protection locked="0"/>
    </xf>
    <xf numFmtId="0" fontId="12" fillId="3" borderId="5" xfId="1" applyFont="1" applyFill="1" applyBorder="1" applyAlignment="1" applyProtection="1">
      <alignment horizontal="center" vertical="top" wrapText="1"/>
      <protection locked="0"/>
    </xf>
    <xf numFmtId="0" fontId="10" fillId="3" borderId="10" xfId="1" applyFont="1" applyFill="1" applyBorder="1" applyAlignment="1" applyProtection="1">
      <alignment vertical="top"/>
      <protection locked="0"/>
    </xf>
    <xf numFmtId="0" fontId="13" fillId="3" borderId="0" xfId="1" applyFont="1" applyFill="1" applyAlignment="1" applyProtection="1">
      <alignment vertical="center"/>
      <protection locked="0"/>
    </xf>
    <xf numFmtId="0" fontId="2" fillId="0" borderId="0" xfId="1" applyFont="1" applyAlignment="1" applyProtection="1">
      <alignment horizontal="center" vertical="center"/>
      <protection locked="0"/>
    </xf>
    <xf numFmtId="0" fontId="3" fillId="0" borderId="5" xfId="1" applyFont="1" applyBorder="1" applyAlignment="1" applyProtection="1">
      <alignment horizontal="center" vertical="center"/>
      <protection locked="0"/>
    </xf>
    <xf numFmtId="2" fontId="2" fillId="4" borderId="1" xfId="1" applyNumberFormat="1" applyFont="1" applyFill="1" applyBorder="1" applyAlignment="1">
      <alignment horizontal="center" vertical="center"/>
    </xf>
    <xf numFmtId="2" fontId="3" fillId="0" borderId="1" xfId="1" applyNumberFormat="1" applyFont="1" applyBorder="1" applyAlignment="1">
      <alignment horizontal="center" vertical="center"/>
    </xf>
    <xf numFmtId="0" fontId="2" fillId="3" borderId="0" xfId="1" applyFont="1" applyFill="1" applyAlignment="1" applyProtection="1">
      <alignment vertical="center"/>
      <protection locked="0"/>
    </xf>
    <xf numFmtId="0" fontId="21" fillId="3" borderId="0" xfId="1" applyFont="1" applyFill="1" applyAlignment="1" applyProtection="1">
      <alignment vertical="center"/>
      <protection locked="0"/>
    </xf>
    <xf numFmtId="1" fontId="20" fillId="3" borderId="1" xfId="1" applyNumberFormat="1" applyFont="1" applyFill="1" applyBorder="1" applyAlignment="1">
      <alignment horizontal="center" vertical="center" wrapText="1"/>
    </xf>
    <xf numFmtId="0" fontId="3" fillId="3" borderId="5" xfId="1" applyFont="1" applyFill="1" applyBorder="1" applyAlignment="1" applyProtection="1">
      <alignment vertical="center"/>
      <protection locked="0"/>
    </xf>
    <xf numFmtId="2" fontId="2" fillId="3" borderId="1" xfId="1" applyNumberFormat="1" applyFont="1" applyFill="1" applyBorder="1" applyAlignment="1">
      <alignment vertical="center"/>
    </xf>
    <xf numFmtId="2" fontId="3" fillId="3" borderId="1" xfId="1" applyNumberFormat="1" applyFont="1" applyFill="1" applyBorder="1" applyAlignment="1">
      <alignment vertical="center"/>
    </xf>
    <xf numFmtId="0" fontId="22" fillId="0" borderId="0" xfId="1" applyFont="1" applyAlignment="1">
      <alignment horizontal="center" vertical="center"/>
    </xf>
    <xf numFmtId="0" fontId="20" fillId="0" borderId="0" xfId="1" applyFont="1" applyAlignment="1">
      <alignment horizontal="center" vertical="center" wrapText="1"/>
    </xf>
    <xf numFmtId="0" fontId="20" fillId="0" borderId="24" xfId="1" applyFont="1" applyBorder="1" applyAlignment="1">
      <alignment horizontal="center" vertical="center"/>
    </xf>
    <xf numFmtId="2" fontId="2" fillId="0" borderId="0" xfId="1" applyNumberFormat="1" applyFont="1" applyAlignment="1" applyProtection="1">
      <alignment horizontal="center" vertical="center"/>
      <protection locked="0"/>
    </xf>
    <xf numFmtId="0" fontId="18" fillId="3" borderId="0" xfId="1" applyFont="1" applyFill="1" applyAlignment="1">
      <alignment vertical="top"/>
    </xf>
    <xf numFmtId="0" fontId="7" fillId="3" borderId="0" xfId="1" applyFont="1" applyFill="1" applyAlignment="1">
      <alignment vertical="top"/>
    </xf>
    <xf numFmtId="0" fontId="3" fillId="3" borderId="11" xfId="1" applyFont="1" applyFill="1" applyBorder="1" applyAlignment="1">
      <alignment vertical="top" wrapText="1"/>
    </xf>
    <xf numFmtId="0" fontId="0" fillId="3" borderId="16" xfId="0" applyFill="1" applyBorder="1"/>
    <xf numFmtId="0" fontId="3" fillId="3" borderId="16" xfId="1" applyFont="1" applyFill="1" applyBorder="1" applyAlignment="1">
      <alignment vertical="top" wrapText="1"/>
    </xf>
    <xf numFmtId="0" fontId="0" fillId="3" borderId="10" xfId="0" applyFill="1" applyBorder="1"/>
    <xf numFmtId="0" fontId="3" fillId="3" borderId="10" xfId="1" applyFont="1" applyFill="1" applyBorder="1" applyAlignment="1">
      <alignment vertical="top" wrapText="1"/>
    </xf>
    <xf numFmtId="0" fontId="19" fillId="3" borderId="1" xfId="1" applyFont="1" applyFill="1" applyBorder="1" applyAlignment="1">
      <alignment horizontal="center" vertical="top" wrapText="1"/>
    </xf>
    <xf numFmtId="0" fontId="20" fillId="3" borderId="1" xfId="1" applyFont="1" applyFill="1" applyBorder="1" applyAlignment="1">
      <alignment horizontal="center" vertical="top" wrapText="1"/>
    </xf>
    <xf numFmtId="0" fontId="2" fillId="3" borderId="1" xfId="1" applyFont="1" applyFill="1" applyBorder="1" applyAlignment="1" applyProtection="1">
      <alignment horizontal="center" vertical="top"/>
      <protection locked="0"/>
    </xf>
    <xf numFmtId="0" fontId="10" fillId="3" borderId="0" xfId="1" applyFont="1" applyFill="1" applyAlignment="1" applyProtection="1">
      <alignment horizontal="left" vertical="top"/>
      <protection locked="0"/>
    </xf>
    <xf numFmtId="0" fontId="2" fillId="3" borderId="0" xfId="1" applyFont="1" applyFill="1" applyAlignment="1" applyProtection="1">
      <alignment vertical="top"/>
      <protection locked="0"/>
    </xf>
    <xf numFmtId="2" fontId="1" fillId="3" borderId="1" xfId="1" applyNumberFormat="1" applyFill="1" applyBorder="1" applyAlignment="1">
      <alignment vertical="top"/>
    </xf>
    <xf numFmtId="2" fontId="1" fillId="3" borderId="1" xfId="1" applyNumberFormat="1" applyFill="1" applyBorder="1" applyAlignment="1" applyProtection="1">
      <alignment vertical="top"/>
      <protection locked="0"/>
    </xf>
    <xf numFmtId="1" fontId="1" fillId="3" borderId="1" xfId="1" applyNumberFormat="1" applyFill="1" applyBorder="1" applyAlignment="1" applyProtection="1">
      <alignment vertical="top"/>
      <protection locked="0"/>
    </xf>
    <xf numFmtId="0" fontId="10" fillId="3" borderId="2" xfId="1" applyFont="1" applyFill="1" applyBorder="1" applyAlignment="1" applyProtection="1">
      <alignment vertical="top" wrapText="1"/>
      <protection locked="0"/>
    </xf>
    <xf numFmtId="2" fontId="1" fillId="3" borderId="1" xfId="1" applyNumberFormat="1" applyFill="1" applyBorder="1" applyAlignment="1">
      <alignment vertical="center"/>
    </xf>
    <xf numFmtId="2" fontId="1" fillId="3" borderId="1" xfId="1" applyNumberFormat="1" applyFill="1" applyBorder="1" applyAlignment="1" applyProtection="1">
      <alignment vertical="center"/>
      <protection locked="0"/>
    </xf>
    <xf numFmtId="2" fontId="2" fillId="3" borderId="0" xfId="1" applyNumberFormat="1" applyFont="1" applyFill="1" applyAlignment="1" applyProtection="1">
      <alignment vertical="top" wrapText="1"/>
      <protection locked="0"/>
    </xf>
    <xf numFmtId="2" fontId="2" fillId="3" borderId="0" xfId="1" applyNumberFormat="1" applyFont="1" applyFill="1" applyAlignment="1" applyProtection="1">
      <alignment vertical="top"/>
      <protection locked="0"/>
    </xf>
    <xf numFmtId="0" fontId="12" fillId="3" borderId="0" xfId="1" applyFont="1" applyFill="1" applyAlignment="1">
      <alignment horizontal="center" vertical="top" wrapText="1"/>
    </xf>
    <xf numFmtId="0" fontId="2" fillId="3" borderId="0" xfId="1" applyFont="1" applyFill="1" applyAlignment="1" applyProtection="1">
      <alignment vertical="top" wrapText="1"/>
      <protection locked="0"/>
    </xf>
    <xf numFmtId="0" fontId="18" fillId="5" borderId="0" xfId="1" applyFont="1" applyFill="1" applyAlignment="1">
      <alignment vertical="top"/>
    </xf>
    <xf numFmtId="0" fontId="7" fillId="5" borderId="0" xfId="1" applyFont="1" applyFill="1" applyAlignment="1">
      <alignment horizontal="right" vertical="center"/>
    </xf>
    <xf numFmtId="0" fontId="3" fillId="5" borderId="10" xfId="1" applyFont="1" applyFill="1" applyBorder="1" applyAlignment="1">
      <alignment vertical="top" wrapText="1"/>
    </xf>
    <xf numFmtId="0" fontId="2" fillId="5" borderId="2" xfId="1" applyFont="1" applyFill="1" applyBorder="1" applyAlignment="1" applyProtection="1">
      <alignment vertical="center"/>
      <protection locked="0"/>
    </xf>
    <xf numFmtId="2" fontId="1" fillId="5" borderId="1" xfId="1" applyNumberFormat="1" applyFill="1" applyBorder="1" applyAlignment="1">
      <alignment vertical="center"/>
    </xf>
    <xf numFmtId="0" fontId="1" fillId="5" borderId="2" xfId="1" applyFill="1" applyBorder="1" applyAlignment="1">
      <alignment vertical="center"/>
    </xf>
    <xf numFmtId="2" fontId="21" fillId="5" borderId="1" xfId="1" applyNumberFormat="1" applyFont="1" applyFill="1" applyBorder="1" applyAlignment="1">
      <alignment vertical="center"/>
    </xf>
    <xf numFmtId="2" fontId="20" fillId="5" borderId="1" xfId="1" applyNumberFormat="1" applyFont="1" applyFill="1" applyBorder="1" applyAlignment="1" applyProtection="1">
      <alignment vertical="center"/>
      <protection locked="0"/>
    </xf>
    <xf numFmtId="0" fontId="7" fillId="5" borderId="0" xfId="1" applyFont="1" applyFill="1" applyAlignment="1">
      <alignment vertical="center"/>
    </xf>
    <xf numFmtId="0" fontId="2" fillId="5" borderId="1" xfId="1" applyFont="1" applyFill="1" applyBorder="1" applyAlignment="1" applyProtection="1">
      <alignment horizontal="center" vertical="top"/>
      <protection locked="0"/>
    </xf>
    <xf numFmtId="2" fontId="1" fillId="5" borderId="1" xfId="1" applyNumberFormat="1" applyFill="1" applyBorder="1" applyAlignment="1" applyProtection="1">
      <alignment vertical="center"/>
      <protection locked="0"/>
    </xf>
    <xf numFmtId="0" fontId="1" fillId="5" borderId="18" xfId="1" applyFill="1" applyBorder="1" applyAlignment="1" applyProtection="1">
      <alignment vertical="center"/>
      <protection locked="0"/>
    </xf>
    <xf numFmtId="0" fontId="1" fillId="5" borderId="6" xfId="1" applyFill="1" applyBorder="1" applyAlignment="1">
      <alignment vertical="center"/>
    </xf>
    <xf numFmtId="2" fontId="21" fillId="5" borderId="1" xfId="1" applyNumberFormat="1" applyFont="1" applyFill="1" applyBorder="1" applyAlignment="1" applyProtection="1">
      <alignment vertical="center"/>
      <protection locked="0"/>
    </xf>
    <xf numFmtId="0" fontId="20" fillId="5" borderId="1" xfId="1" applyFont="1" applyFill="1" applyBorder="1" applyAlignment="1">
      <alignment horizontal="center" vertical="center" wrapText="1"/>
    </xf>
    <xf numFmtId="0" fontId="1" fillId="5" borderId="0" xfId="1" applyFill="1" applyAlignment="1" applyProtection="1">
      <alignment vertical="center"/>
      <protection locked="0"/>
    </xf>
    <xf numFmtId="0" fontId="19" fillId="5" borderId="1" xfId="1" applyFont="1" applyFill="1" applyBorder="1" applyAlignment="1">
      <alignment horizontal="center" vertical="center" wrapText="1"/>
    </xf>
    <xf numFmtId="0" fontId="2" fillId="5" borderId="1" xfId="1" applyFont="1" applyFill="1" applyBorder="1" applyAlignment="1" applyProtection="1">
      <alignment horizontal="center" vertical="center"/>
      <protection locked="0"/>
    </xf>
    <xf numFmtId="2" fontId="1" fillId="5" borderId="6" xfId="1" applyNumberFormat="1" applyFill="1" applyBorder="1" applyAlignment="1" applyProtection="1">
      <alignment vertical="center"/>
      <protection locked="0"/>
    </xf>
    <xf numFmtId="0" fontId="19" fillId="5" borderId="1" xfId="1" applyFont="1" applyFill="1" applyBorder="1" applyAlignment="1">
      <alignment horizontal="center" vertical="top" wrapText="1"/>
    </xf>
    <xf numFmtId="0" fontId="2" fillId="5" borderId="6" xfId="1" applyFont="1" applyFill="1" applyBorder="1" applyAlignment="1" applyProtection="1">
      <alignment horizontal="center" vertical="center"/>
      <protection locked="0"/>
    </xf>
    <xf numFmtId="2" fontId="21" fillId="5" borderId="6" xfId="1" applyNumberFormat="1" applyFont="1" applyFill="1" applyBorder="1" applyAlignment="1">
      <alignment vertical="center"/>
    </xf>
    <xf numFmtId="2" fontId="21" fillId="5" borderId="6" xfId="1" applyNumberFormat="1" applyFont="1" applyFill="1" applyBorder="1" applyAlignment="1" applyProtection="1">
      <alignment vertical="center"/>
      <protection locked="0"/>
    </xf>
    <xf numFmtId="2" fontId="20" fillId="5" borderId="6" xfId="1" applyNumberFormat="1" applyFont="1" applyFill="1" applyBorder="1" applyAlignment="1" applyProtection="1">
      <alignment vertical="center"/>
      <protection locked="0"/>
    </xf>
    <xf numFmtId="0" fontId="12" fillId="6" borderId="1" xfId="0" applyFont="1" applyFill="1" applyBorder="1" applyAlignment="1" applyProtection="1">
      <alignment horizontal="center" vertical="top"/>
      <protection locked="0"/>
    </xf>
    <xf numFmtId="0" fontId="12" fillId="6" borderId="10" xfId="0" applyFont="1" applyFill="1" applyBorder="1" applyAlignment="1" applyProtection="1">
      <alignment horizontal="center" vertical="top"/>
      <protection locked="0"/>
    </xf>
    <xf numFmtId="0" fontId="12" fillId="6" borderId="10" xfId="0" applyFont="1" applyFill="1" applyBorder="1" applyAlignment="1" applyProtection="1">
      <alignment horizontal="center" vertical="center" wrapText="1"/>
      <protection locked="0"/>
    </xf>
    <xf numFmtId="0" fontId="12" fillId="0" borderId="10" xfId="0" applyFont="1" applyBorder="1" applyAlignment="1" applyProtection="1">
      <alignment horizontal="center" vertical="top" wrapText="1"/>
      <protection locked="0"/>
    </xf>
    <xf numFmtId="0" fontId="12" fillId="6" borderId="10" xfId="0" applyFont="1" applyFill="1" applyBorder="1" applyAlignment="1" applyProtection="1">
      <alignment horizontal="center" vertical="top" wrapText="1"/>
      <protection locked="0"/>
    </xf>
    <xf numFmtId="0" fontId="12" fillId="6" borderId="10" xfId="0" applyFont="1" applyFill="1" applyBorder="1" applyAlignment="1" applyProtection="1">
      <alignment horizontal="center" vertical="center"/>
      <protection locked="0"/>
    </xf>
    <xf numFmtId="0" fontId="1" fillId="0" borderId="1" xfId="1" applyBorder="1" applyAlignment="1">
      <alignment vertical="top" wrapText="1"/>
    </xf>
    <xf numFmtId="0" fontId="7" fillId="0" borderId="10" xfId="1" applyFont="1" applyBorder="1" applyAlignment="1">
      <alignment vertical="top" wrapText="1"/>
    </xf>
    <xf numFmtId="0" fontId="7" fillId="0" borderId="1" xfId="1" applyFont="1" applyBorder="1" applyAlignment="1">
      <alignment vertical="top" wrapText="1"/>
    </xf>
    <xf numFmtId="4" fontId="10" fillId="0" borderId="1" xfId="0" applyNumberFormat="1" applyFont="1" applyBorder="1" applyAlignment="1" applyProtection="1">
      <alignment horizontal="center" vertical="center"/>
      <protection locked="0"/>
    </xf>
    <xf numFmtId="4" fontId="23" fillId="0" borderId="1" xfId="1" applyNumberFormat="1" applyFont="1" applyBorder="1" applyAlignment="1" applyProtection="1">
      <alignment horizontal="right" vertical="center"/>
      <protection locked="0"/>
    </xf>
    <xf numFmtId="0" fontId="21" fillId="0" borderId="1" xfId="1" applyFont="1" applyBorder="1" applyAlignment="1">
      <alignment horizontal="left" vertical="center" wrapText="1"/>
    </xf>
    <xf numFmtId="0" fontId="21" fillId="0" borderId="1" xfId="1" applyFont="1" applyBorder="1" applyAlignment="1">
      <alignment horizontal="center" vertical="center" wrapText="1"/>
    </xf>
    <xf numFmtId="0" fontId="21" fillId="0" borderId="11" xfId="1" applyFont="1" applyBorder="1" applyAlignment="1">
      <alignment horizontal="center" vertical="center" wrapText="1"/>
    </xf>
    <xf numFmtId="0" fontId="20" fillId="0" borderId="2" xfId="1" applyFont="1" applyBorder="1" applyAlignment="1" applyProtection="1">
      <alignment horizontal="center" vertical="center"/>
      <protection locked="0"/>
    </xf>
    <xf numFmtId="0" fontId="1" fillId="0" borderId="1" xfId="1" applyBorder="1" applyAlignment="1">
      <alignment horizontal="center"/>
    </xf>
    <xf numFmtId="0" fontId="12" fillId="0" borderId="11" xfId="1" applyFont="1" applyBorder="1" applyAlignment="1" applyProtection="1">
      <alignment horizontal="center" vertical="top" wrapText="1"/>
      <protection locked="0"/>
    </xf>
    <xf numFmtId="0" fontId="1" fillId="0" borderId="1" xfId="1" applyBorder="1" applyAlignment="1" applyProtection="1">
      <alignment horizontal="right" vertical="top" wrapText="1"/>
      <protection locked="0"/>
    </xf>
    <xf numFmtId="0" fontId="0" fillId="0" borderId="1" xfId="0" applyBorder="1"/>
    <xf numFmtId="165" fontId="12" fillId="5" borderId="1" xfId="1" applyNumberFormat="1" applyFont="1" applyFill="1" applyBorder="1" applyAlignment="1" applyProtection="1">
      <alignment horizontal="center" vertical="top"/>
      <protection locked="0"/>
    </xf>
    <xf numFmtId="4" fontId="12" fillId="5" borderId="6" xfId="1" applyNumberFormat="1" applyFont="1" applyFill="1" applyBorder="1" applyAlignment="1" applyProtection="1">
      <alignment horizontal="center" vertical="center"/>
      <protection locked="0"/>
    </xf>
    <xf numFmtId="43" fontId="12" fillId="5" borderId="1" xfId="2" applyNumberFormat="1" applyFont="1" applyFill="1" applyBorder="1" applyAlignment="1" applyProtection="1">
      <alignment vertical="center"/>
      <protection locked="0"/>
    </xf>
    <xf numFmtId="4" fontId="12" fillId="5" borderId="1" xfId="1" applyNumberFormat="1" applyFont="1" applyFill="1" applyBorder="1" applyAlignment="1" applyProtection="1">
      <alignment horizontal="right" vertical="center"/>
      <protection locked="0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alignment horizontal="right" vertical="center"/>
      <protection locked="0"/>
    </xf>
    <xf numFmtId="2" fontId="2" fillId="0" borderId="0" xfId="1" applyNumberFormat="1" applyFont="1" applyAlignment="1" applyProtection="1">
      <alignment vertical="center"/>
      <protection locked="0"/>
    </xf>
    <xf numFmtId="0" fontId="14" fillId="0" borderId="0" xfId="1" applyFont="1" applyAlignment="1" applyProtection="1">
      <alignment horizontal="center" vertical="center"/>
      <protection locked="0"/>
    </xf>
    <xf numFmtId="0" fontId="10" fillId="0" borderId="0" xfId="1" applyFont="1" applyAlignment="1">
      <alignment horizontal="right" vertical="center"/>
    </xf>
    <xf numFmtId="0" fontId="0" fillId="0" borderId="16" xfId="0" applyBorder="1"/>
    <xf numFmtId="0" fontId="0" fillId="0" borderId="10" xfId="0" applyBorder="1"/>
    <xf numFmtId="0" fontId="0" fillId="0" borderId="2" xfId="0" applyBorder="1"/>
    <xf numFmtId="0" fontId="3" fillId="0" borderId="1" xfId="1" applyFont="1" applyBorder="1" applyAlignment="1">
      <alignment horizontal="center" vertical="top" wrapText="1"/>
    </xf>
    <xf numFmtId="0" fontId="10" fillId="0" borderId="1" xfId="1" applyFont="1" applyBorder="1" applyAlignment="1" applyProtection="1">
      <alignment horizontal="center" vertical="top"/>
      <protection locked="0"/>
    </xf>
    <xf numFmtId="0" fontId="10" fillId="0" borderId="5" xfId="1" applyFont="1" applyBorder="1" applyAlignment="1" applyProtection="1">
      <alignment horizontal="left" vertical="top" wrapText="1"/>
      <protection locked="0"/>
    </xf>
    <xf numFmtId="4" fontId="10" fillId="0" borderId="1" xfId="1" applyNumberFormat="1" applyFont="1" applyBorder="1" applyAlignment="1" applyProtection="1">
      <alignment horizontal="center" vertical="center"/>
      <protection locked="0"/>
    </xf>
    <xf numFmtId="0" fontId="10" fillId="0" borderId="1" xfId="1" applyFont="1" applyBorder="1" applyAlignment="1" applyProtection="1">
      <alignment horizontal="center" vertical="center"/>
      <protection locked="0"/>
    </xf>
    <xf numFmtId="4" fontId="10" fillId="0" borderId="3" xfId="1" applyNumberFormat="1" applyFont="1" applyBorder="1" applyAlignment="1" applyProtection="1">
      <alignment horizontal="center" vertical="center"/>
      <protection locked="0"/>
    </xf>
    <xf numFmtId="0" fontId="7" fillId="0" borderId="0" xfId="4" applyFont="1" applyAlignment="1" applyProtection="1">
      <alignment horizontal="center" vertical="center" wrapText="1"/>
      <protection locked="0"/>
    </xf>
    <xf numFmtId="0" fontId="10" fillId="0" borderId="1" xfId="1" applyFont="1" applyBorder="1" applyAlignment="1" applyProtection="1">
      <alignment horizontal="left" vertical="top" wrapText="1"/>
      <protection locked="0"/>
    </xf>
    <xf numFmtId="0" fontId="10" fillId="0" borderId="1" xfId="1" applyFont="1" applyBorder="1" applyAlignment="1" applyProtection="1">
      <alignment vertical="center" wrapText="1"/>
      <protection locked="0"/>
    </xf>
    <xf numFmtId="0" fontId="2" fillId="5" borderId="0" xfId="1" applyFont="1" applyFill="1" applyAlignment="1" applyProtection="1">
      <alignment vertical="center"/>
      <protection locked="0"/>
    </xf>
    <xf numFmtId="0" fontId="7" fillId="0" borderId="0" xfId="1" applyFont="1" applyAlignment="1">
      <alignment horizontal="right" vertical="center"/>
    </xf>
    <xf numFmtId="0" fontId="2" fillId="0" borderId="1" xfId="1" applyFont="1" applyBorder="1" applyAlignment="1" applyProtection="1">
      <alignment horizontal="center" vertical="top" wrapText="1"/>
      <protection locked="0"/>
    </xf>
    <xf numFmtId="0" fontId="20" fillId="0" borderId="1" xfId="1" applyFont="1" applyBorder="1" applyAlignment="1">
      <alignment horizontal="center" vertical="center" wrapText="1"/>
    </xf>
    <xf numFmtId="0" fontId="22" fillId="0" borderId="0" xfId="1" applyFont="1" applyAlignment="1">
      <alignment horizontal="right" vertical="center"/>
    </xf>
    <xf numFmtId="164" fontId="2" fillId="0" borderId="0" xfId="1" applyNumberFormat="1" applyFont="1" applyAlignment="1" applyProtection="1">
      <alignment vertical="center"/>
      <protection locked="0"/>
    </xf>
    <xf numFmtId="0" fontId="21" fillId="0" borderId="0" xfId="1" applyFont="1" applyAlignment="1" applyProtection="1">
      <alignment vertical="center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7" fillId="0" borderId="1" xfId="1" applyFont="1" applyBorder="1" applyAlignment="1">
      <alignment horizontal="left" vertical="center" wrapText="1"/>
    </xf>
    <xf numFmtId="0" fontId="25" fillId="0" borderId="0" xfId="1" applyFont="1" applyAlignment="1" applyProtection="1">
      <alignment vertical="center"/>
      <protection locked="0"/>
    </xf>
    <xf numFmtId="2" fontId="1" fillId="0" borderId="0" xfId="1" applyNumberFormat="1" applyAlignment="1" applyProtection="1">
      <alignment vertical="center"/>
      <protection locked="0"/>
    </xf>
    <xf numFmtId="0" fontId="1" fillId="0" borderId="0" xfId="1" applyAlignment="1" applyProtection="1">
      <alignment vertical="center"/>
      <protection locked="0"/>
    </xf>
    <xf numFmtId="0" fontId="1" fillId="0" borderId="0" xfId="1" applyAlignment="1" applyProtection="1">
      <alignment horizontal="left" vertical="center"/>
      <protection locked="0"/>
    </xf>
    <xf numFmtId="0" fontId="7" fillId="0" borderId="0" xfId="1" applyFont="1" applyAlignment="1">
      <alignment horizontal="left" vertical="center" wrapText="1"/>
    </xf>
    <xf numFmtId="2" fontId="7" fillId="0" borderId="1" xfId="1" applyNumberFormat="1" applyFont="1" applyBorder="1" applyAlignment="1">
      <alignment horizontal="center" vertical="center"/>
    </xf>
    <xf numFmtId="0" fontId="7" fillId="0" borderId="10" xfId="1" applyFont="1" applyBorder="1" applyAlignment="1" applyProtection="1">
      <alignment horizontal="left" vertical="center"/>
      <protection locked="0"/>
    </xf>
    <xf numFmtId="2" fontId="27" fillId="0" borderId="0" xfId="5" applyNumberFormat="1" applyAlignment="1">
      <alignment horizontal="center"/>
    </xf>
    <xf numFmtId="0" fontId="1" fillId="0" borderId="0" xfId="1"/>
    <xf numFmtId="0" fontId="38" fillId="0" borderId="0" xfId="1" applyFont="1" applyAlignment="1">
      <alignment horizontal="right"/>
    </xf>
    <xf numFmtId="0" fontId="17" fillId="0" borderId="0" xfId="1" applyFont="1"/>
    <xf numFmtId="0" fontId="39" fillId="0" borderId="0" xfId="1" applyFont="1" applyAlignment="1">
      <alignment horizontal="center"/>
    </xf>
    <xf numFmtId="0" fontId="17" fillId="0" borderId="0" xfId="1" applyFont="1" applyAlignment="1">
      <alignment horizontal="left"/>
    </xf>
    <xf numFmtId="14" fontId="17" fillId="0" borderId="0" xfId="1" applyNumberFormat="1" applyFont="1" applyAlignment="1">
      <alignment horizontal="left"/>
    </xf>
    <xf numFmtId="0" fontId="10" fillId="0" borderId="1" xfId="1" applyFont="1" applyBorder="1" applyAlignment="1">
      <alignment horizontal="center" vertical="top" wrapText="1"/>
    </xf>
    <xf numFmtId="0" fontId="0" fillId="0" borderId="10" xfId="0" applyBorder="1"/>
    <xf numFmtId="0" fontId="0" fillId="0" borderId="6" xfId="0" applyBorder="1"/>
    <xf numFmtId="2" fontId="10" fillId="0" borderId="1" xfId="1" applyNumberFormat="1" applyFont="1" applyBorder="1" applyAlignment="1">
      <alignment horizontal="center" vertical="top" wrapText="1"/>
    </xf>
    <xf numFmtId="0" fontId="0" fillId="0" borderId="16" xfId="0" applyBorder="1"/>
    <xf numFmtId="0" fontId="10" fillId="0" borderId="10" xfId="1" applyFont="1" applyBorder="1" applyAlignment="1">
      <alignment horizontal="center" vertical="top" wrapText="1"/>
    </xf>
    <xf numFmtId="0" fontId="0" fillId="0" borderId="24" xfId="0" applyBorder="1"/>
    <xf numFmtId="0" fontId="0" fillId="0" borderId="12" xfId="0" applyBorder="1"/>
    <xf numFmtId="0" fontId="3" fillId="0" borderId="1" xfId="1" applyFont="1" applyBorder="1" applyAlignment="1">
      <alignment horizontal="center" vertical="center" textRotation="90" wrapText="1"/>
    </xf>
    <xf numFmtId="0" fontId="3" fillId="0" borderId="5" xfId="1" applyFont="1" applyBorder="1" applyAlignment="1">
      <alignment horizontal="center" vertical="center" textRotation="90" wrapText="1"/>
    </xf>
    <xf numFmtId="0" fontId="0" fillId="0" borderId="18" xfId="0" applyBorder="1"/>
    <xf numFmtId="0" fontId="0" fillId="0" borderId="9" xfId="0" applyBorder="1"/>
    <xf numFmtId="0" fontId="7" fillId="0" borderId="0" xfId="4" applyFont="1" applyAlignment="1" applyProtection="1">
      <alignment horizontal="center" vertical="center" wrapText="1"/>
      <protection locked="0"/>
    </xf>
    <xf numFmtId="0" fontId="2" fillId="0" borderId="0" xfId="1" applyFont="1" applyAlignment="1" applyProtection="1">
      <alignment vertical="center"/>
      <protection locked="0"/>
    </xf>
    <xf numFmtId="2" fontId="2" fillId="0" borderId="0" xfId="1" applyNumberFormat="1" applyFont="1" applyAlignment="1" applyProtection="1">
      <alignment vertical="center"/>
      <protection locked="0"/>
    </xf>
    <xf numFmtId="0" fontId="10" fillId="0" borderId="1" xfId="1" applyFont="1" applyBorder="1" applyAlignment="1" applyProtection="1">
      <alignment horizontal="left" vertical="center" wrapText="1"/>
      <protection locked="0"/>
    </xf>
    <xf numFmtId="0" fontId="0" fillId="0" borderId="2" xfId="0" applyBorder="1"/>
    <xf numFmtId="0" fontId="10" fillId="0" borderId="1" xfId="1" applyFont="1" applyBorder="1" applyAlignment="1" applyProtection="1">
      <alignment horizontal="center" vertical="top"/>
      <protection locked="0"/>
    </xf>
    <xf numFmtId="0" fontId="7" fillId="0" borderId="1" xfId="1" applyFont="1" applyBorder="1" applyAlignment="1" applyProtection="1">
      <alignment horizontal="right" vertical="center"/>
      <protection locked="0"/>
    </xf>
    <xf numFmtId="0" fontId="10" fillId="0" borderId="1" xfId="1" applyFont="1" applyBorder="1" applyAlignment="1" applyProtection="1">
      <alignment horizontal="left" vertical="top" wrapText="1"/>
      <protection locked="0"/>
    </xf>
    <xf numFmtId="0" fontId="10" fillId="0" borderId="1" xfId="1" applyFont="1" applyBorder="1" applyAlignment="1" applyProtection="1">
      <alignment vertical="center" wrapText="1"/>
      <protection locked="0"/>
    </xf>
    <xf numFmtId="0" fontId="10" fillId="0" borderId="1" xfId="1" applyFont="1" applyBorder="1" applyAlignment="1" applyProtection="1">
      <alignment horizontal="left" vertical="center"/>
      <protection locked="0"/>
    </xf>
    <xf numFmtId="0" fontId="7" fillId="0" borderId="1" xfId="1" applyFont="1" applyBorder="1" applyAlignment="1">
      <alignment horizontal="center" vertical="top" wrapText="1"/>
    </xf>
    <xf numFmtId="4" fontId="10" fillId="0" borderId="1" xfId="1" applyNumberFormat="1" applyFont="1" applyBorder="1" applyAlignment="1" applyProtection="1">
      <alignment horizontal="center" vertical="center"/>
      <protection locked="0"/>
    </xf>
    <xf numFmtId="0" fontId="10" fillId="0" borderId="3" xfId="1" applyFont="1" applyBorder="1" applyAlignment="1">
      <alignment horizontal="center" vertical="top" wrapText="1"/>
    </xf>
    <xf numFmtId="0" fontId="3" fillId="0" borderId="1" xfId="1" applyFont="1" applyBorder="1" applyAlignment="1">
      <alignment horizontal="center" vertical="top" wrapText="1"/>
    </xf>
    <xf numFmtId="0" fontId="3" fillId="0" borderId="3" xfId="1" applyFont="1" applyBorder="1" applyAlignment="1">
      <alignment horizontal="center" vertical="top" wrapText="1"/>
    </xf>
    <xf numFmtId="0" fontId="0" fillId="0" borderId="17" xfId="0" applyBorder="1"/>
    <xf numFmtId="0" fontId="0" fillId="0" borderId="7" xfId="0" applyBorder="1"/>
    <xf numFmtId="0" fontId="10" fillId="0" borderId="4" xfId="1" applyFont="1" applyBorder="1" applyAlignment="1">
      <alignment horizontal="center" vertical="top" wrapText="1"/>
    </xf>
    <xf numFmtId="0" fontId="0" fillId="0" borderId="23" xfId="0" applyBorder="1"/>
    <xf numFmtId="0" fontId="10" fillId="0" borderId="22" xfId="1" applyFont="1" applyBorder="1" applyAlignment="1">
      <alignment horizontal="center" vertical="top" wrapText="1"/>
    </xf>
    <xf numFmtId="4" fontId="10" fillId="0" borderId="3" xfId="1" applyNumberFormat="1" applyFont="1" applyBorder="1" applyAlignment="1" applyProtection="1">
      <alignment horizontal="center" vertical="center"/>
      <protection locked="0"/>
    </xf>
    <xf numFmtId="0" fontId="3" fillId="0" borderId="4" xfId="1" applyFont="1" applyBorder="1" applyAlignment="1">
      <alignment horizontal="center" vertical="center" textRotation="90" wrapText="1"/>
    </xf>
    <xf numFmtId="0" fontId="0" fillId="0" borderId="19" xfId="0" applyBorder="1"/>
    <xf numFmtId="0" fontId="0" fillId="0" borderId="8" xfId="0" applyBorder="1"/>
    <xf numFmtId="0" fontId="10" fillId="0" borderId="1" xfId="1" applyFont="1" applyBorder="1" applyAlignment="1" applyProtection="1">
      <alignment horizontal="center" vertical="center"/>
      <protection locked="0"/>
    </xf>
    <xf numFmtId="0" fontId="0" fillId="0" borderId="15" xfId="0" applyBorder="1"/>
    <xf numFmtId="0" fontId="0" fillId="0" borderId="14" xfId="0" applyBorder="1"/>
    <xf numFmtId="0" fontId="10" fillId="0" borderId="5" xfId="1" applyFont="1" applyBorder="1" applyAlignment="1" applyProtection="1">
      <alignment horizontal="left" vertical="top" wrapText="1"/>
      <protection locked="0"/>
    </xf>
    <xf numFmtId="0" fontId="10" fillId="0" borderId="5" xfId="1" applyFont="1" applyBorder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right" vertical="center"/>
      <protection locked="0"/>
    </xf>
    <xf numFmtId="0" fontId="15" fillId="0" borderId="0" xfId="1" applyFont="1" applyAlignment="1">
      <alignment horizontal="left" vertical="top" wrapText="1"/>
    </xf>
    <xf numFmtId="0" fontId="14" fillId="0" borderId="0" xfId="1" applyFont="1" applyAlignment="1" applyProtection="1">
      <alignment horizontal="center" vertical="center"/>
      <protection locked="0"/>
    </xf>
    <xf numFmtId="0" fontId="10" fillId="0" borderId="0" xfId="1" applyFont="1" applyAlignment="1">
      <alignment horizontal="right" vertical="center"/>
    </xf>
    <xf numFmtId="0" fontId="12" fillId="0" borderId="1" xfId="1" applyFont="1" applyBorder="1" applyAlignment="1" applyProtection="1">
      <alignment horizontal="right" vertical="top"/>
      <protection locked="0"/>
    </xf>
    <xf numFmtId="0" fontId="10" fillId="0" borderId="1" xfId="1" applyFont="1" applyBorder="1" applyAlignment="1" applyProtection="1">
      <alignment horizontal="left" vertical="top"/>
      <protection locked="0"/>
    </xf>
    <xf numFmtId="0" fontId="7" fillId="0" borderId="1" xfId="1" applyFont="1" applyBorder="1" applyAlignment="1" applyProtection="1">
      <alignment horizontal="left" vertical="top"/>
      <protection locked="0"/>
    </xf>
    <xf numFmtId="0" fontId="10" fillId="0" borderId="1" xfId="1" applyFont="1" applyBorder="1" applyAlignment="1" applyProtection="1">
      <alignment vertical="top" wrapText="1"/>
      <protection locked="0"/>
    </xf>
    <xf numFmtId="0" fontId="7" fillId="0" borderId="1" xfId="1" applyFont="1" applyBorder="1" applyAlignment="1" applyProtection="1">
      <alignment horizontal="right" vertical="top"/>
      <protection locked="0"/>
    </xf>
    <xf numFmtId="0" fontId="3" fillId="5" borderId="1" xfId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top" wrapText="1"/>
    </xf>
    <xf numFmtId="0" fontId="3" fillId="0" borderId="11" xfId="1" applyFont="1" applyBorder="1" applyAlignment="1">
      <alignment horizontal="center" vertical="top" wrapText="1"/>
    </xf>
    <xf numFmtId="0" fontId="3" fillId="0" borderId="11" xfId="1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center" wrapText="1"/>
      <protection locked="0"/>
    </xf>
    <xf numFmtId="0" fontId="3" fillId="0" borderId="1" xfId="1" applyFont="1" applyBorder="1" applyAlignment="1">
      <alignment horizontal="center" vertical="top" textRotation="90" wrapText="1"/>
    </xf>
    <xf numFmtId="0" fontId="10" fillId="0" borderId="0" xfId="1" applyFont="1" applyAlignment="1">
      <alignment horizontal="center" vertical="top"/>
    </xf>
    <xf numFmtId="0" fontId="2" fillId="5" borderId="0" xfId="1" applyFont="1" applyFill="1" applyAlignment="1" applyProtection="1">
      <alignment vertical="center"/>
      <protection locked="0"/>
    </xf>
    <xf numFmtId="0" fontId="7" fillId="0" borderId="0" xfId="1" applyFont="1" applyAlignment="1">
      <alignment horizontal="right" vertical="center"/>
    </xf>
    <xf numFmtId="0" fontId="15" fillId="0" borderId="1" xfId="1" applyFont="1" applyBorder="1" applyAlignment="1">
      <alignment horizontal="center" vertical="top" wrapText="1"/>
    </xf>
    <xf numFmtId="0" fontId="3" fillId="0" borderId="5" xfId="1" applyFont="1" applyBorder="1" applyAlignment="1">
      <alignment horizontal="center" vertical="top" wrapText="1"/>
    </xf>
    <xf numFmtId="0" fontId="3" fillId="0" borderId="14" xfId="1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top" wrapText="1"/>
      <protection locked="0"/>
    </xf>
    <xf numFmtId="0" fontId="2" fillId="0" borderId="0" xfId="1" applyFont="1" applyAlignment="1" applyProtection="1">
      <alignment horizontal="left" vertical="center"/>
      <protection locked="0"/>
    </xf>
    <xf numFmtId="49" fontId="2" fillId="0" borderId="24" xfId="1" applyNumberFormat="1" applyFont="1" applyBorder="1" applyAlignment="1" applyProtection="1">
      <alignment horizontal="center" vertical="center"/>
      <protection locked="0"/>
    </xf>
    <xf numFmtId="164" fontId="2" fillId="0" borderId="0" xfId="1" applyNumberFormat="1" applyFont="1" applyAlignment="1" applyProtection="1">
      <alignment horizontal="left" vertical="center"/>
      <protection locked="0"/>
    </xf>
    <xf numFmtId="164" fontId="2" fillId="0" borderId="0" xfId="1" applyNumberFormat="1" applyFont="1" applyAlignment="1" applyProtection="1">
      <alignment vertical="center"/>
      <protection locked="0"/>
    </xf>
    <xf numFmtId="0" fontId="20" fillId="0" borderId="1" xfId="1" applyFont="1" applyBorder="1" applyAlignment="1">
      <alignment horizontal="center" vertical="center" wrapText="1"/>
    </xf>
    <xf numFmtId="2" fontId="20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center"/>
      <protection locked="0"/>
    </xf>
    <xf numFmtId="49" fontId="2" fillId="0" borderId="24" xfId="1" applyNumberFormat="1" applyFont="1" applyBorder="1" applyAlignment="1" applyProtection="1">
      <alignment horizontal="left" vertical="center"/>
      <protection locked="0"/>
    </xf>
    <xf numFmtId="2" fontId="20" fillId="3" borderId="1" xfId="1" applyNumberFormat="1" applyFont="1" applyFill="1" applyBorder="1" applyAlignment="1">
      <alignment horizontal="center" vertical="center" wrapText="1"/>
    </xf>
    <xf numFmtId="164" fontId="20" fillId="0" borderId="1" xfId="1" applyNumberFormat="1" applyFont="1" applyBorder="1" applyAlignment="1">
      <alignment horizontal="center" vertical="center" wrapText="1"/>
    </xf>
    <xf numFmtId="0" fontId="22" fillId="0" borderId="0" xfId="1" applyFont="1" applyAlignment="1">
      <alignment horizontal="right" vertical="center"/>
    </xf>
    <xf numFmtId="0" fontId="20" fillId="0" borderId="0" xfId="1" applyFont="1" applyAlignment="1">
      <alignment horizontal="left" vertical="top" wrapText="1"/>
    </xf>
    <xf numFmtId="0" fontId="21" fillId="0" borderId="0" xfId="1" applyFont="1" applyAlignment="1" applyProtection="1">
      <alignment vertical="center"/>
      <protection locked="0"/>
    </xf>
    <xf numFmtId="0" fontId="20" fillId="0" borderId="24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left" vertical="center" wrapText="1"/>
    </xf>
    <xf numFmtId="0" fontId="24" fillId="0" borderId="0" xfId="1" applyFont="1" applyAlignment="1">
      <alignment horizontal="center" vertical="center"/>
    </xf>
    <xf numFmtId="0" fontId="25" fillId="0" borderId="0" xfId="1" applyFont="1" applyAlignment="1" applyProtection="1">
      <alignment vertical="center"/>
      <protection locked="0"/>
    </xf>
    <xf numFmtId="0" fontId="10" fillId="0" borderId="0" xfId="1" applyFont="1" applyAlignment="1">
      <alignment horizontal="left" vertical="center" wrapText="1"/>
    </xf>
    <xf numFmtId="2" fontId="1" fillId="0" borderId="0" xfId="1" applyNumberFormat="1" applyAlignment="1" applyProtection="1">
      <alignment vertical="center"/>
      <protection locked="0"/>
    </xf>
    <xf numFmtId="0" fontId="1" fillId="0" borderId="0" xfId="1" applyAlignment="1" applyProtection="1">
      <alignment vertical="center"/>
      <protection locked="0"/>
    </xf>
    <xf numFmtId="0" fontId="7" fillId="0" borderId="0" xfId="1" applyFont="1" applyAlignment="1">
      <alignment horizontal="left" vertical="center"/>
    </xf>
    <xf numFmtId="0" fontId="1" fillId="0" borderId="0" xfId="1" applyAlignment="1" applyProtection="1">
      <alignment horizontal="left" vertical="center"/>
      <protection locked="0"/>
    </xf>
    <xf numFmtId="0" fontId="7" fillId="0" borderId="0" xfId="1" applyFont="1" applyAlignment="1">
      <alignment horizontal="left" vertical="center" wrapText="1"/>
    </xf>
    <xf numFmtId="2" fontId="10" fillId="0" borderId="24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2" fontId="7" fillId="0" borderId="5" xfId="1" applyNumberFormat="1" applyFont="1" applyBorder="1" applyAlignment="1">
      <alignment horizontal="center" vertical="center"/>
    </xf>
    <xf numFmtId="0" fontId="3" fillId="0" borderId="1" xfId="1" applyFont="1" applyBorder="1" applyAlignment="1" applyProtection="1">
      <alignment horizontal="center" vertical="center" wrapText="1"/>
      <protection locked="0"/>
    </xf>
    <xf numFmtId="2" fontId="7" fillId="0" borderId="1" xfId="1" applyNumberFormat="1" applyFont="1" applyBorder="1" applyAlignment="1">
      <alignment horizontal="center" vertical="center"/>
    </xf>
    <xf numFmtId="0" fontId="7" fillId="0" borderId="10" xfId="1" applyFont="1" applyBorder="1" applyAlignment="1" applyProtection="1">
      <alignment horizontal="left" vertical="center"/>
      <protection locked="0"/>
    </xf>
    <xf numFmtId="2" fontId="36" fillId="0" borderId="0" xfId="5" applyNumberFormat="1" applyFont="1" applyAlignment="1">
      <alignment horizontal="center"/>
    </xf>
    <xf numFmtId="2" fontId="27" fillId="0" borderId="0" xfId="5" applyNumberFormat="1" applyAlignment="1">
      <alignment horizontal="center"/>
    </xf>
    <xf numFmtId="2" fontId="34" fillId="0" borderId="0" xfId="5" applyNumberFormat="1" applyFont="1" applyAlignment="1">
      <alignment horizontal="left" wrapText="1"/>
    </xf>
    <xf numFmtId="0" fontId="10" fillId="0" borderId="0" xfId="1" applyFont="1" applyAlignment="1">
      <alignment horizontal="right"/>
    </xf>
    <xf numFmtId="0" fontId="1" fillId="0" borderId="0" xfId="1"/>
    <xf numFmtId="0" fontId="15" fillId="0" borderId="0" xfId="1" applyFont="1" applyAlignment="1">
      <alignment horizontal="center"/>
    </xf>
    <xf numFmtId="0" fontId="7" fillId="0" borderId="26" xfId="1" applyFont="1" applyBorder="1" applyAlignment="1">
      <alignment horizontal="right"/>
    </xf>
    <xf numFmtId="0" fontId="0" fillId="0" borderId="26" xfId="0" applyBorder="1"/>
    <xf numFmtId="0" fontId="7" fillId="0" borderId="26" xfId="1" applyFont="1" applyBorder="1" applyAlignment="1">
      <alignment horizontal="center"/>
    </xf>
    <xf numFmtId="0" fontId="40" fillId="0" borderId="1" xfId="1" applyFont="1" applyBorder="1" applyAlignment="1">
      <alignment horizontal="center"/>
    </xf>
    <xf numFmtId="0" fontId="17" fillId="0" borderId="0" xfId="1" applyFont="1" applyAlignment="1">
      <alignment horizontal="left"/>
    </xf>
    <xf numFmtId="0" fontId="17" fillId="0" borderId="0" xfId="1" applyFont="1"/>
    <xf numFmtId="14" fontId="17" fillId="0" borderId="0" xfId="1" applyNumberFormat="1" applyFont="1" applyAlignment="1">
      <alignment horizontal="left"/>
    </xf>
    <xf numFmtId="0" fontId="38" fillId="0" borderId="0" xfId="1" applyFont="1" applyAlignment="1">
      <alignment horizontal="right"/>
    </xf>
    <xf numFmtId="0" fontId="39" fillId="0" borderId="0" xfId="1" applyFont="1" applyAlignment="1">
      <alignment horizontal="center"/>
    </xf>
  </cellXfs>
  <cellStyles count="8">
    <cellStyle name="Comma 2" xfId="2"/>
    <cellStyle name="Hyperlink" xfId="7" builtinId="8"/>
    <cellStyle name="Normal" xfId="0" builtinId="0"/>
    <cellStyle name="Normal 2" xfId="1"/>
    <cellStyle name="Normal 3" xfId="4"/>
    <cellStyle name="Normal 4" xfId="3"/>
    <cellStyle name="Normal_IRR of Gazna" xfId="5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515"/>
  <sheetViews>
    <sheetView tabSelected="1" view="pageBreakPreview" topLeftCell="I91" zoomScale="85" zoomScaleNormal="85" zoomScaleSheetLayoutView="85" workbookViewId="0">
      <selection activeCell="O87" sqref="O87"/>
    </sheetView>
  </sheetViews>
  <sheetFormatPr defaultColWidth="9.140625" defaultRowHeight="12.75" x14ac:dyDescent="0.25"/>
  <cols>
    <col min="1" max="1" width="7.7109375" style="661" customWidth="1"/>
    <col min="2" max="2" width="12.85546875" style="661" customWidth="1"/>
    <col min="3" max="3" width="82.28515625" style="661" customWidth="1"/>
    <col min="4" max="4" width="5.85546875" style="661" customWidth="1"/>
    <col min="5" max="5" width="9" style="661" customWidth="1"/>
    <col min="6" max="6" width="12.140625" style="661" customWidth="1"/>
    <col min="7" max="7" width="12.7109375" style="663" customWidth="1"/>
    <col min="8" max="8" width="6.85546875" style="661" customWidth="1"/>
    <col min="9" max="9" width="12" style="661" customWidth="1"/>
    <col min="10" max="10" width="10.140625" style="661" customWidth="1"/>
    <col min="11" max="11" width="4.7109375" style="661" customWidth="1"/>
    <col min="12" max="12" width="4.85546875" style="661" customWidth="1"/>
    <col min="13" max="13" width="5.7109375" style="662" customWidth="1"/>
    <col min="14" max="14" width="10.7109375" style="662" customWidth="1"/>
    <col min="15" max="15" width="12.85546875" style="662" customWidth="1"/>
    <col min="16" max="16" width="12.140625" style="663" customWidth="1"/>
    <col min="17" max="17" width="6.85546875" style="661" customWidth="1"/>
    <col min="18" max="18" width="12.5703125" style="661" customWidth="1"/>
    <col min="19" max="19" width="11.140625" style="661" customWidth="1"/>
    <col min="20" max="20" width="4" style="661" customWidth="1"/>
    <col min="21" max="21" width="3.85546875" style="662" customWidth="1"/>
    <col min="22" max="22" width="6.140625" style="662" customWidth="1"/>
    <col min="23" max="23" width="8.28515625" style="663" customWidth="1"/>
    <col min="24" max="24" width="10.5703125" style="661" customWidth="1"/>
    <col min="25" max="25" width="11" style="661" customWidth="1"/>
    <col min="26" max="26" width="9" style="661" customWidth="1"/>
    <col min="27" max="27" width="10.5703125" style="662" customWidth="1"/>
    <col min="28" max="28" width="9.140625" style="661" customWidth="1"/>
    <col min="29" max="30" width="4.42578125" style="661" customWidth="1"/>
    <col min="31" max="31" width="12.85546875" style="661" customWidth="1"/>
    <col min="32" max="32" width="11.5703125" style="661" customWidth="1"/>
    <col min="33" max="34" width="9.140625" style="661" customWidth="1"/>
    <col min="35" max="35" width="12.28515625" style="661" customWidth="1"/>
    <col min="36" max="36" width="10.140625" style="661" customWidth="1"/>
    <col min="37" max="37" width="11.5703125" style="661" customWidth="1"/>
    <col min="38" max="135" width="9.140625" style="661" customWidth="1"/>
    <col min="136" max="16384" width="9.140625" style="661"/>
  </cols>
  <sheetData>
    <row r="1" spans="1:30" ht="29.25" customHeight="1" x14ac:dyDescent="0.25">
      <c r="S1" s="742"/>
      <c r="T1" s="714"/>
      <c r="U1" s="743"/>
      <c r="Z1" s="742"/>
      <c r="AA1" s="743"/>
    </row>
    <row r="2" spans="1:30" ht="22.5" customHeight="1" x14ac:dyDescent="0.25">
      <c r="A2" s="744" t="s">
        <v>0</v>
      </c>
      <c r="B2" s="714"/>
      <c r="C2" s="714"/>
      <c r="D2" s="714"/>
      <c r="E2" s="714"/>
      <c r="F2" s="714"/>
      <c r="G2" s="715"/>
      <c r="H2" s="714"/>
      <c r="I2" s="714"/>
      <c r="J2" s="714"/>
      <c r="K2" s="714"/>
      <c r="L2" s="714"/>
      <c r="M2" s="743"/>
      <c r="N2" s="743"/>
      <c r="O2" s="743"/>
      <c r="P2" s="715"/>
      <c r="Q2" s="714"/>
      <c r="R2" s="714"/>
      <c r="S2" s="714"/>
      <c r="T2" s="714"/>
      <c r="U2" s="743"/>
      <c r="V2" s="743"/>
      <c r="W2" s="715"/>
      <c r="X2" s="745"/>
      <c r="Y2" s="714"/>
      <c r="AB2" s="664"/>
      <c r="AC2" s="664" t="s">
        <v>1</v>
      </c>
    </row>
    <row r="3" spans="1:30" ht="9" customHeight="1" x14ac:dyDescent="0.25">
      <c r="A3" s="746"/>
      <c r="B3" s="714"/>
      <c r="C3" s="714"/>
      <c r="D3" s="714"/>
      <c r="E3" s="714"/>
      <c r="F3" s="714"/>
      <c r="G3" s="715"/>
      <c r="H3" s="714"/>
      <c r="I3" s="714"/>
      <c r="J3" s="714"/>
      <c r="K3" s="714"/>
      <c r="L3" s="714"/>
      <c r="M3" s="665"/>
      <c r="N3" s="665"/>
      <c r="O3" s="665"/>
      <c r="P3" s="661"/>
      <c r="U3" s="661"/>
      <c r="V3" s="665"/>
      <c r="W3" s="661"/>
      <c r="AA3" s="661"/>
    </row>
    <row r="4" spans="1:30" s="689" customFormat="1" ht="16.5" customHeight="1" x14ac:dyDescent="0.25">
      <c r="A4" s="723" t="s">
        <v>2</v>
      </c>
      <c r="B4" s="723" t="s">
        <v>3</v>
      </c>
      <c r="C4" s="701" t="s">
        <v>4</v>
      </c>
      <c r="D4" s="730" t="s">
        <v>5</v>
      </c>
      <c r="E4" s="717"/>
      <c r="F4" s="717"/>
      <c r="G4" s="717"/>
      <c r="H4" s="717"/>
      <c r="I4" s="717"/>
      <c r="J4" s="717"/>
      <c r="K4" s="717"/>
      <c r="L4" s="731"/>
      <c r="M4" s="732" t="s">
        <v>6</v>
      </c>
      <c r="N4" s="717"/>
      <c r="O4" s="717"/>
      <c r="P4" s="717"/>
      <c r="Q4" s="717"/>
      <c r="R4" s="717"/>
      <c r="S4" s="717"/>
      <c r="T4" s="717"/>
      <c r="U4" s="731"/>
      <c r="V4" s="725" t="s">
        <v>7</v>
      </c>
      <c r="W4" s="717"/>
      <c r="X4" s="717"/>
      <c r="Y4" s="717"/>
      <c r="Z4" s="717"/>
      <c r="AA4" s="717"/>
      <c r="AB4" s="717"/>
      <c r="AC4" s="717"/>
      <c r="AD4" s="703"/>
    </row>
    <row r="5" spans="1:30" s="689" customFormat="1" ht="15" customHeight="1" x14ac:dyDescent="0.25">
      <c r="A5" s="705"/>
      <c r="B5" s="705"/>
      <c r="C5" s="705"/>
      <c r="D5" s="726" t="s">
        <v>8</v>
      </c>
      <c r="E5" s="726" t="s">
        <v>9</v>
      </c>
      <c r="F5" s="726" t="s">
        <v>10</v>
      </c>
      <c r="G5" s="717"/>
      <c r="H5" s="717"/>
      <c r="I5" s="717"/>
      <c r="J5" s="717"/>
      <c r="K5" s="717"/>
      <c r="L5" s="703"/>
      <c r="M5" s="727" t="s">
        <v>8</v>
      </c>
      <c r="N5" s="726" t="s">
        <v>9</v>
      </c>
      <c r="O5" s="726" t="s">
        <v>10</v>
      </c>
      <c r="P5" s="717"/>
      <c r="Q5" s="717"/>
      <c r="R5" s="717"/>
      <c r="S5" s="717"/>
      <c r="T5" s="717"/>
      <c r="U5" s="703"/>
      <c r="V5" s="727" t="s">
        <v>8</v>
      </c>
      <c r="W5" s="726" t="s">
        <v>9</v>
      </c>
      <c r="X5" s="726" t="s">
        <v>10</v>
      </c>
      <c r="Y5" s="717"/>
      <c r="Z5" s="717"/>
      <c r="AA5" s="717"/>
      <c r="AB5" s="717"/>
      <c r="AC5" s="717"/>
      <c r="AD5" s="703"/>
    </row>
    <row r="6" spans="1:30" s="689" customFormat="1" ht="15" customHeight="1" x14ac:dyDescent="0.25">
      <c r="A6" s="705"/>
      <c r="B6" s="705"/>
      <c r="C6" s="705"/>
      <c r="D6" s="705"/>
      <c r="E6" s="705"/>
      <c r="F6" s="701" t="s">
        <v>11</v>
      </c>
      <c r="G6" s="704" t="s">
        <v>12</v>
      </c>
      <c r="H6" s="706" t="s">
        <v>13</v>
      </c>
      <c r="I6" s="707"/>
      <c r="J6" s="708"/>
      <c r="K6" s="709" t="s">
        <v>14</v>
      </c>
      <c r="L6" s="734" t="s">
        <v>15</v>
      </c>
      <c r="M6" s="728"/>
      <c r="N6" s="705"/>
      <c r="O6" s="701" t="s">
        <v>11</v>
      </c>
      <c r="P6" s="704" t="s">
        <v>12</v>
      </c>
      <c r="Q6" s="706" t="s">
        <v>13</v>
      </c>
      <c r="R6" s="707"/>
      <c r="S6" s="708"/>
      <c r="T6" s="709" t="s">
        <v>14</v>
      </c>
      <c r="U6" s="710" t="s">
        <v>15</v>
      </c>
      <c r="V6" s="728"/>
      <c r="W6" s="705"/>
      <c r="X6" s="701" t="s">
        <v>11</v>
      </c>
      <c r="Y6" s="704" t="s">
        <v>12</v>
      </c>
      <c r="Z6" s="706" t="s">
        <v>13</v>
      </c>
      <c r="AA6" s="707"/>
      <c r="AB6" s="708"/>
      <c r="AC6" s="709" t="s">
        <v>14</v>
      </c>
      <c r="AD6" s="709" t="s">
        <v>15</v>
      </c>
    </row>
    <row r="7" spans="1:30" s="689" customFormat="1" ht="15.75" customHeight="1" x14ac:dyDescent="0.25">
      <c r="A7" s="705"/>
      <c r="B7" s="705"/>
      <c r="C7" s="705"/>
      <c r="D7" s="705"/>
      <c r="E7" s="705"/>
      <c r="F7" s="705"/>
      <c r="G7" s="705"/>
      <c r="H7" s="701" t="s">
        <v>16</v>
      </c>
      <c r="I7" s="703"/>
      <c r="J7" s="701" t="s">
        <v>17</v>
      </c>
      <c r="K7" s="705"/>
      <c r="L7" s="735"/>
      <c r="M7" s="728"/>
      <c r="N7" s="705"/>
      <c r="O7" s="705"/>
      <c r="P7" s="705"/>
      <c r="Q7" s="701" t="s">
        <v>16</v>
      </c>
      <c r="R7" s="703"/>
      <c r="S7" s="701" t="s">
        <v>17</v>
      </c>
      <c r="T7" s="705"/>
      <c r="U7" s="711"/>
      <c r="V7" s="728"/>
      <c r="W7" s="705"/>
      <c r="X7" s="705"/>
      <c r="Y7" s="705"/>
      <c r="Z7" s="701" t="s">
        <v>16</v>
      </c>
      <c r="AA7" s="703"/>
      <c r="AB7" s="701" t="s">
        <v>17</v>
      </c>
      <c r="AC7" s="705"/>
      <c r="AD7" s="705"/>
    </row>
    <row r="8" spans="1:30" s="689" customFormat="1" ht="39" customHeight="1" x14ac:dyDescent="0.25">
      <c r="A8" s="702"/>
      <c r="B8" s="702"/>
      <c r="C8" s="702"/>
      <c r="D8" s="702"/>
      <c r="E8" s="702"/>
      <c r="F8" s="702"/>
      <c r="G8" s="702"/>
      <c r="H8" s="669" t="s">
        <v>18</v>
      </c>
      <c r="I8" s="669" t="s">
        <v>19</v>
      </c>
      <c r="J8" s="702"/>
      <c r="K8" s="702"/>
      <c r="L8" s="736"/>
      <c r="M8" s="729"/>
      <c r="N8" s="702"/>
      <c r="O8" s="702"/>
      <c r="P8" s="702"/>
      <c r="Q8" s="669" t="s">
        <v>18</v>
      </c>
      <c r="R8" s="669" t="s">
        <v>19</v>
      </c>
      <c r="S8" s="702"/>
      <c r="T8" s="702"/>
      <c r="U8" s="712"/>
      <c r="V8" s="729"/>
      <c r="W8" s="702"/>
      <c r="X8" s="702"/>
      <c r="Y8" s="702"/>
      <c r="Z8" s="669" t="s">
        <v>18</v>
      </c>
      <c r="AA8" s="669" t="s">
        <v>19</v>
      </c>
      <c r="AB8" s="702"/>
      <c r="AC8" s="702"/>
      <c r="AD8" s="702"/>
    </row>
    <row r="9" spans="1:30" s="101" customFormat="1" ht="16.5" customHeight="1" x14ac:dyDescent="0.25">
      <c r="A9" s="102">
        <v>1</v>
      </c>
      <c r="B9" s="102">
        <v>2</v>
      </c>
      <c r="C9" s="102">
        <v>3</v>
      </c>
      <c r="D9" s="102">
        <v>4</v>
      </c>
      <c r="E9" s="102">
        <v>5</v>
      </c>
      <c r="F9" s="105">
        <v>6</v>
      </c>
      <c r="G9" s="105">
        <v>7</v>
      </c>
      <c r="H9" s="105">
        <v>8</v>
      </c>
      <c r="I9" s="102">
        <v>9</v>
      </c>
      <c r="J9" s="102">
        <v>10</v>
      </c>
      <c r="K9" s="102">
        <v>11</v>
      </c>
      <c r="L9" s="104">
        <v>12</v>
      </c>
      <c r="M9" s="103">
        <v>13</v>
      </c>
      <c r="N9" s="102">
        <v>14</v>
      </c>
      <c r="O9" s="102">
        <v>15</v>
      </c>
      <c r="P9" s="102">
        <v>16</v>
      </c>
      <c r="Q9" s="102">
        <v>17</v>
      </c>
      <c r="R9" s="102">
        <v>18</v>
      </c>
      <c r="S9" s="102">
        <v>19</v>
      </c>
      <c r="T9" s="102">
        <v>20</v>
      </c>
      <c r="U9" s="104">
        <v>21</v>
      </c>
      <c r="V9" s="103">
        <v>22</v>
      </c>
      <c r="W9" s="102">
        <v>23</v>
      </c>
      <c r="X9" s="102">
        <v>24</v>
      </c>
      <c r="Y9" s="102">
        <v>25</v>
      </c>
      <c r="Z9" s="102">
        <v>26</v>
      </c>
      <c r="AA9" s="102">
        <v>27</v>
      </c>
      <c r="AB9" s="102">
        <v>28</v>
      </c>
      <c r="AC9" s="102">
        <v>29</v>
      </c>
      <c r="AD9" s="102">
        <v>30</v>
      </c>
    </row>
    <row r="10" spans="1:30" s="86" customFormat="1" ht="20.100000000000001" customHeight="1" x14ac:dyDescent="0.25">
      <c r="A10" s="41" t="s">
        <v>20</v>
      </c>
      <c r="B10" s="40"/>
      <c r="C10" s="40"/>
      <c r="D10" s="10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130"/>
      <c r="AC10" s="130"/>
      <c r="AD10" s="129"/>
    </row>
    <row r="11" spans="1:30" s="86" customFormat="1" ht="18.95" customHeight="1" x14ac:dyDescent="0.25">
      <c r="A11" s="718"/>
      <c r="B11" s="740" t="s">
        <v>21</v>
      </c>
      <c r="C11" s="717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43"/>
      <c r="W11" s="143"/>
      <c r="X11" s="143"/>
      <c r="Y11" s="143"/>
      <c r="Z11" s="143"/>
      <c r="AA11" s="143"/>
      <c r="AB11" s="130"/>
      <c r="AC11" s="130"/>
      <c r="AD11" s="129"/>
    </row>
    <row r="12" spans="1:30" s="502" customFormat="1" ht="18.95" customHeight="1" x14ac:dyDescent="0.25">
      <c r="A12" s="705"/>
      <c r="B12" s="488">
        <v>3111302</v>
      </c>
      <c r="C12" s="489" t="s">
        <v>22</v>
      </c>
      <c r="D12" s="490"/>
      <c r="E12" s="491" t="s">
        <v>23</v>
      </c>
      <c r="F12" s="492">
        <v>10</v>
      </c>
      <c r="G12" s="493">
        <v>10</v>
      </c>
      <c r="H12" s="493"/>
      <c r="I12" s="493">
        <v>0</v>
      </c>
      <c r="J12" s="493">
        <v>0</v>
      </c>
      <c r="K12" s="494"/>
      <c r="L12" s="494"/>
      <c r="M12" s="495"/>
      <c r="N12" s="496" t="s">
        <v>23</v>
      </c>
      <c r="O12" s="497">
        <v>5</v>
      </c>
      <c r="P12" s="493">
        <v>5</v>
      </c>
      <c r="Q12" s="493"/>
      <c r="R12" s="496">
        <v>0</v>
      </c>
      <c r="S12" s="493">
        <v>0</v>
      </c>
      <c r="T12" s="494"/>
      <c r="U12" s="498"/>
      <c r="V12" s="499"/>
      <c r="W12" s="500"/>
      <c r="X12" s="493">
        <v>-5</v>
      </c>
      <c r="Y12" s="493">
        <v>-5</v>
      </c>
      <c r="Z12" s="493"/>
      <c r="AA12" s="493">
        <v>0</v>
      </c>
      <c r="AB12" s="493">
        <v>0</v>
      </c>
      <c r="AC12" s="501"/>
      <c r="AD12" s="501"/>
    </row>
    <row r="13" spans="1:30" s="86" customFormat="1" ht="18.95" customHeight="1" x14ac:dyDescent="0.25">
      <c r="A13" s="705"/>
      <c r="B13" s="127">
        <v>3111327</v>
      </c>
      <c r="C13" s="126" t="s">
        <v>24</v>
      </c>
      <c r="D13" s="128"/>
      <c r="E13" s="428" t="s">
        <v>23</v>
      </c>
      <c r="F13" s="480">
        <v>10</v>
      </c>
      <c r="G13" s="88">
        <v>10</v>
      </c>
      <c r="H13" s="88"/>
      <c r="I13" s="88">
        <v>0</v>
      </c>
      <c r="J13" s="88">
        <v>0</v>
      </c>
      <c r="K13" s="90"/>
      <c r="L13" s="90"/>
      <c r="M13" s="144"/>
      <c r="N13" s="120" t="s">
        <v>23</v>
      </c>
      <c r="O13" s="43">
        <v>10</v>
      </c>
      <c r="P13" s="88">
        <v>10</v>
      </c>
      <c r="Q13" s="88"/>
      <c r="R13" s="120">
        <v>0</v>
      </c>
      <c r="S13" s="88">
        <v>0</v>
      </c>
      <c r="T13" s="90"/>
      <c r="U13" s="89"/>
      <c r="V13" s="124"/>
      <c r="W13" s="145"/>
      <c r="X13" s="88">
        <v>0</v>
      </c>
      <c r="Y13" s="88">
        <v>0</v>
      </c>
      <c r="Z13" s="88"/>
      <c r="AA13" s="88">
        <v>0</v>
      </c>
      <c r="AB13" s="88">
        <v>0</v>
      </c>
      <c r="AC13" s="87"/>
      <c r="AD13" s="87"/>
    </row>
    <row r="14" spans="1:30" s="86" customFormat="1" ht="18.95" customHeight="1" x14ac:dyDescent="0.25">
      <c r="A14" s="702"/>
      <c r="B14" s="127">
        <v>3111338</v>
      </c>
      <c r="C14" s="126" t="s">
        <v>25</v>
      </c>
      <c r="D14" s="128"/>
      <c r="E14" s="428" t="s">
        <v>23</v>
      </c>
      <c r="F14" s="480">
        <v>140</v>
      </c>
      <c r="G14" s="88">
        <v>140</v>
      </c>
      <c r="H14" s="88"/>
      <c r="I14" s="88">
        <v>0</v>
      </c>
      <c r="J14" s="88">
        <v>0</v>
      </c>
      <c r="K14" s="90"/>
      <c r="L14" s="90"/>
      <c r="M14" s="144"/>
      <c r="N14" s="120" t="s">
        <v>23</v>
      </c>
      <c r="O14" s="43">
        <v>140</v>
      </c>
      <c r="P14" s="88">
        <v>140</v>
      </c>
      <c r="Q14" s="88"/>
      <c r="R14" s="120">
        <v>0</v>
      </c>
      <c r="S14" s="88">
        <v>0</v>
      </c>
      <c r="T14" s="90"/>
      <c r="U14" s="89"/>
      <c r="V14" s="124"/>
      <c r="W14" s="145"/>
      <c r="X14" s="88">
        <v>0</v>
      </c>
      <c r="Y14" s="88">
        <v>0</v>
      </c>
      <c r="Z14" s="88"/>
      <c r="AA14" s="88">
        <v>0</v>
      </c>
      <c r="AB14" s="88">
        <v>0</v>
      </c>
      <c r="AC14" s="87"/>
      <c r="AD14" s="87"/>
    </row>
    <row r="15" spans="1:30" s="86" customFormat="1" ht="18.95" customHeight="1" x14ac:dyDescent="0.25">
      <c r="A15" s="670"/>
      <c r="B15" s="671" t="s">
        <v>26</v>
      </c>
      <c r="C15" s="668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2"/>
      <c r="Q15" s="131"/>
      <c r="R15" s="471"/>
      <c r="S15" s="131"/>
      <c r="T15" s="131"/>
      <c r="U15" s="131"/>
      <c r="V15" s="146"/>
      <c r="W15" s="146"/>
      <c r="X15" s="147"/>
      <c r="Y15" s="147"/>
      <c r="Z15" s="147"/>
      <c r="AA15" s="147"/>
      <c r="AB15" s="147"/>
      <c r="AC15" s="130"/>
      <c r="AD15" s="129"/>
    </row>
    <row r="16" spans="1:30" s="502" customFormat="1" ht="18.95" customHeight="1" x14ac:dyDescent="0.25">
      <c r="A16" s="595"/>
      <c r="B16" s="503">
        <v>3241101</v>
      </c>
      <c r="C16" s="504" t="s">
        <v>27</v>
      </c>
      <c r="D16" s="505"/>
      <c r="E16" s="491" t="s">
        <v>23</v>
      </c>
      <c r="F16" s="506">
        <v>100</v>
      </c>
      <c r="G16" s="507">
        <v>100</v>
      </c>
      <c r="H16" s="508"/>
      <c r="I16" s="508">
        <v>0</v>
      </c>
      <c r="J16" s="508">
        <v>0</v>
      </c>
      <c r="K16" s="509"/>
      <c r="L16" s="509"/>
      <c r="M16" s="495"/>
      <c r="N16" s="496" t="s">
        <v>23</v>
      </c>
      <c r="O16" s="497">
        <v>120</v>
      </c>
      <c r="P16" s="507">
        <v>120</v>
      </c>
      <c r="Q16" s="508"/>
      <c r="R16" s="510">
        <v>0</v>
      </c>
      <c r="S16" s="508">
        <v>0</v>
      </c>
      <c r="T16" s="507"/>
      <c r="U16" s="498"/>
      <c r="V16" s="499"/>
      <c r="W16" s="500"/>
      <c r="X16" s="493">
        <v>20</v>
      </c>
      <c r="Y16" s="493">
        <v>20</v>
      </c>
      <c r="Z16" s="493"/>
      <c r="AA16" s="493">
        <v>0</v>
      </c>
      <c r="AB16" s="493">
        <v>0</v>
      </c>
      <c r="AC16" s="501"/>
      <c r="AD16" s="501"/>
    </row>
    <row r="17" spans="1:30" s="86" customFormat="1" ht="17.25" customHeight="1" x14ac:dyDescent="0.25">
      <c r="A17" s="666"/>
      <c r="B17" s="428">
        <v>3211129</v>
      </c>
      <c r="C17" s="96" t="s">
        <v>28</v>
      </c>
      <c r="D17" s="123"/>
      <c r="E17" s="428" t="s">
        <v>23</v>
      </c>
      <c r="F17" s="137">
        <v>245</v>
      </c>
      <c r="G17" s="139">
        <v>245</v>
      </c>
      <c r="H17" s="140"/>
      <c r="I17" s="140">
        <v>0</v>
      </c>
      <c r="J17" s="140">
        <v>0</v>
      </c>
      <c r="K17" s="141"/>
      <c r="L17" s="141"/>
      <c r="M17" s="144"/>
      <c r="N17" s="120" t="s">
        <v>23</v>
      </c>
      <c r="O17" s="43">
        <v>245</v>
      </c>
      <c r="P17" s="139">
        <v>245</v>
      </c>
      <c r="Q17" s="140"/>
      <c r="R17" s="472">
        <v>0</v>
      </c>
      <c r="S17" s="140">
        <v>0</v>
      </c>
      <c r="T17" s="141"/>
      <c r="U17" s="89"/>
      <c r="V17" s="124"/>
      <c r="W17" s="145"/>
      <c r="X17" s="88">
        <v>0</v>
      </c>
      <c r="Y17" s="88">
        <v>0</v>
      </c>
      <c r="Z17" s="88"/>
      <c r="AA17" s="88">
        <v>0</v>
      </c>
      <c r="AB17" s="88">
        <v>0</v>
      </c>
      <c r="AC17" s="87"/>
      <c r="AD17" s="87"/>
    </row>
    <row r="18" spans="1:30" s="86" customFormat="1" ht="32.25" customHeight="1" x14ac:dyDescent="0.25">
      <c r="A18" s="666"/>
      <c r="B18" s="428">
        <v>3821103</v>
      </c>
      <c r="C18" s="96" t="s">
        <v>29</v>
      </c>
      <c r="D18" s="123"/>
      <c r="E18" s="428" t="s">
        <v>23</v>
      </c>
      <c r="F18" s="137">
        <v>2596.27</v>
      </c>
      <c r="G18" s="139">
        <v>2596.27</v>
      </c>
      <c r="H18" s="140"/>
      <c r="I18" s="140">
        <v>0</v>
      </c>
      <c r="J18" s="140">
        <v>0</v>
      </c>
      <c r="K18" s="141"/>
      <c r="L18" s="141"/>
      <c r="M18" s="144"/>
      <c r="N18" s="120" t="s">
        <v>23</v>
      </c>
      <c r="O18" s="43">
        <v>2596.27</v>
      </c>
      <c r="P18" s="139">
        <v>2596.27</v>
      </c>
      <c r="Q18" s="140"/>
      <c r="R18" s="472">
        <v>0</v>
      </c>
      <c r="S18" s="140">
        <v>0</v>
      </c>
      <c r="T18" s="141"/>
      <c r="U18" s="89"/>
      <c r="V18" s="124"/>
      <c r="W18" s="145"/>
      <c r="X18" s="88">
        <v>0</v>
      </c>
      <c r="Y18" s="88">
        <v>0</v>
      </c>
      <c r="Z18" s="88"/>
      <c r="AA18" s="88">
        <v>0</v>
      </c>
      <c r="AB18" s="88">
        <v>0</v>
      </c>
      <c r="AC18" s="87"/>
      <c r="AD18" s="87"/>
    </row>
    <row r="19" spans="1:30" s="502" customFormat="1" ht="18.95" customHeight="1" x14ac:dyDescent="0.25">
      <c r="A19" s="595"/>
      <c r="B19" s="491">
        <v>3211119</v>
      </c>
      <c r="C19" s="511" t="s">
        <v>30</v>
      </c>
      <c r="D19" s="512"/>
      <c r="E19" s="491" t="s">
        <v>23</v>
      </c>
      <c r="F19" s="506">
        <v>25</v>
      </c>
      <c r="G19" s="507">
        <v>25</v>
      </c>
      <c r="H19" s="508"/>
      <c r="I19" s="508">
        <v>0</v>
      </c>
      <c r="J19" s="508">
        <v>0</v>
      </c>
      <c r="K19" s="509"/>
      <c r="L19" s="509"/>
      <c r="M19" s="495"/>
      <c r="N19" s="496" t="s">
        <v>23</v>
      </c>
      <c r="O19" s="497">
        <v>5</v>
      </c>
      <c r="P19" s="507">
        <v>5</v>
      </c>
      <c r="Q19" s="508"/>
      <c r="R19" s="510">
        <v>0</v>
      </c>
      <c r="S19" s="508">
        <v>0</v>
      </c>
      <c r="T19" s="509"/>
      <c r="U19" s="498"/>
      <c r="V19" s="499"/>
      <c r="W19" s="500"/>
      <c r="X19" s="493">
        <v>-20</v>
      </c>
      <c r="Y19" s="493">
        <v>-20</v>
      </c>
      <c r="Z19" s="493"/>
      <c r="AA19" s="493">
        <v>0</v>
      </c>
      <c r="AB19" s="493">
        <v>0</v>
      </c>
      <c r="AC19" s="501"/>
      <c r="AD19" s="501"/>
    </row>
    <row r="20" spans="1:30" s="502" customFormat="1" ht="18.95" customHeight="1" x14ac:dyDescent="0.25">
      <c r="A20" s="595"/>
      <c r="B20" s="491">
        <v>3211120</v>
      </c>
      <c r="C20" s="513" t="s">
        <v>31</v>
      </c>
      <c r="D20" s="514"/>
      <c r="E20" s="491" t="s">
        <v>23</v>
      </c>
      <c r="F20" s="506">
        <v>25</v>
      </c>
      <c r="G20" s="507">
        <v>25</v>
      </c>
      <c r="H20" s="508"/>
      <c r="I20" s="508">
        <v>0</v>
      </c>
      <c r="J20" s="508">
        <v>0</v>
      </c>
      <c r="K20" s="509"/>
      <c r="L20" s="509"/>
      <c r="M20" s="495"/>
      <c r="N20" s="496" t="s">
        <v>23</v>
      </c>
      <c r="O20" s="497">
        <v>5</v>
      </c>
      <c r="P20" s="507">
        <v>5</v>
      </c>
      <c r="Q20" s="508"/>
      <c r="R20" s="510">
        <v>0</v>
      </c>
      <c r="S20" s="508">
        <v>0</v>
      </c>
      <c r="T20" s="509"/>
      <c r="U20" s="498"/>
      <c r="V20" s="499"/>
      <c r="W20" s="500"/>
      <c r="X20" s="493">
        <v>-20</v>
      </c>
      <c r="Y20" s="493">
        <v>-20</v>
      </c>
      <c r="Z20" s="493"/>
      <c r="AA20" s="493">
        <v>0</v>
      </c>
      <c r="AB20" s="493">
        <v>0</v>
      </c>
      <c r="AC20" s="501"/>
      <c r="AD20" s="501"/>
    </row>
    <row r="21" spans="1:30" s="502" customFormat="1" ht="18.95" customHeight="1" x14ac:dyDescent="0.25">
      <c r="A21" s="595"/>
      <c r="B21" s="491">
        <v>3211117</v>
      </c>
      <c r="C21" s="513" t="s">
        <v>32</v>
      </c>
      <c r="D21" s="514"/>
      <c r="E21" s="491" t="s">
        <v>23</v>
      </c>
      <c r="F21" s="506">
        <v>25</v>
      </c>
      <c r="G21" s="507">
        <v>25</v>
      </c>
      <c r="H21" s="507"/>
      <c r="I21" s="507">
        <v>0</v>
      </c>
      <c r="J21" s="507">
        <v>0</v>
      </c>
      <c r="K21" s="515"/>
      <c r="L21" s="515"/>
      <c r="M21" s="495"/>
      <c r="N21" s="496" t="s">
        <v>23</v>
      </c>
      <c r="O21" s="497">
        <v>5</v>
      </c>
      <c r="P21" s="507">
        <v>5</v>
      </c>
      <c r="Q21" s="507"/>
      <c r="R21" s="516">
        <v>0</v>
      </c>
      <c r="S21" s="507">
        <v>0</v>
      </c>
      <c r="T21" s="515"/>
      <c r="U21" s="498"/>
      <c r="V21" s="499"/>
      <c r="W21" s="500"/>
      <c r="X21" s="493">
        <v>-20</v>
      </c>
      <c r="Y21" s="493">
        <v>-20</v>
      </c>
      <c r="Z21" s="493"/>
      <c r="AA21" s="493">
        <v>0</v>
      </c>
      <c r="AB21" s="493">
        <v>0</v>
      </c>
      <c r="AC21" s="501"/>
      <c r="AD21" s="501"/>
    </row>
    <row r="22" spans="1:30" s="502" customFormat="1" ht="18.95" customHeight="1" x14ac:dyDescent="0.25">
      <c r="A22" s="595"/>
      <c r="B22" s="491">
        <v>3221104</v>
      </c>
      <c r="C22" s="513" t="s">
        <v>33</v>
      </c>
      <c r="D22" s="514"/>
      <c r="E22" s="491" t="s">
        <v>23</v>
      </c>
      <c r="F22" s="506">
        <v>15</v>
      </c>
      <c r="G22" s="507">
        <v>15</v>
      </c>
      <c r="H22" s="507"/>
      <c r="I22" s="507">
        <v>0</v>
      </c>
      <c r="J22" s="507">
        <v>0</v>
      </c>
      <c r="K22" s="515"/>
      <c r="L22" s="515"/>
      <c r="M22" s="495"/>
      <c r="N22" s="496" t="s">
        <v>23</v>
      </c>
      <c r="O22" s="497">
        <v>20</v>
      </c>
      <c r="P22" s="507">
        <v>20</v>
      </c>
      <c r="Q22" s="507"/>
      <c r="R22" s="516">
        <v>0</v>
      </c>
      <c r="S22" s="507">
        <v>0</v>
      </c>
      <c r="T22" s="515"/>
      <c r="U22" s="498"/>
      <c r="V22" s="499"/>
      <c r="W22" s="500"/>
      <c r="X22" s="493">
        <v>5</v>
      </c>
      <c r="Y22" s="493">
        <v>5</v>
      </c>
      <c r="Z22" s="493"/>
      <c r="AA22" s="493">
        <v>0</v>
      </c>
      <c r="AB22" s="493">
        <v>0</v>
      </c>
      <c r="AC22" s="501"/>
      <c r="AD22" s="501"/>
    </row>
    <row r="23" spans="1:30" s="502" customFormat="1" ht="18.95" customHeight="1" x14ac:dyDescent="0.25">
      <c r="A23" s="595"/>
      <c r="B23" s="491">
        <v>3211115</v>
      </c>
      <c r="C23" s="513" t="s">
        <v>34</v>
      </c>
      <c r="D23" s="514"/>
      <c r="E23" s="491" t="s">
        <v>23</v>
      </c>
      <c r="F23" s="506">
        <v>10</v>
      </c>
      <c r="G23" s="507">
        <v>10</v>
      </c>
      <c r="H23" s="507"/>
      <c r="I23" s="507">
        <v>0</v>
      </c>
      <c r="J23" s="507">
        <v>0</v>
      </c>
      <c r="K23" s="515"/>
      <c r="L23" s="515"/>
      <c r="M23" s="495"/>
      <c r="N23" s="496" t="s">
        <v>23</v>
      </c>
      <c r="O23" s="497">
        <v>5</v>
      </c>
      <c r="P23" s="507">
        <v>5</v>
      </c>
      <c r="Q23" s="507"/>
      <c r="R23" s="516">
        <v>0</v>
      </c>
      <c r="S23" s="507">
        <v>0</v>
      </c>
      <c r="T23" s="515"/>
      <c r="U23" s="498"/>
      <c r="V23" s="499"/>
      <c r="W23" s="500"/>
      <c r="X23" s="493">
        <v>-5</v>
      </c>
      <c r="Y23" s="493">
        <v>-5</v>
      </c>
      <c r="Z23" s="493"/>
      <c r="AA23" s="493">
        <v>0</v>
      </c>
      <c r="AB23" s="493">
        <v>0</v>
      </c>
      <c r="AC23" s="501"/>
      <c r="AD23" s="501"/>
    </row>
    <row r="24" spans="1:30" s="502" customFormat="1" ht="18.95" customHeight="1" x14ac:dyDescent="0.25">
      <c r="A24" s="595"/>
      <c r="B24" s="491">
        <v>3211113</v>
      </c>
      <c r="C24" s="513" t="s">
        <v>35</v>
      </c>
      <c r="D24" s="514"/>
      <c r="E24" s="491" t="s">
        <v>23</v>
      </c>
      <c r="F24" s="506">
        <v>15</v>
      </c>
      <c r="G24" s="507">
        <v>15</v>
      </c>
      <c r="H24" s="507"/>
      <c r="I24" s="507">
        <v>0</v>
      </c>
      <c r="J24" s="507">
        <v>0</v>
      </c>
      <c r="K24" s="515"/>
      <c r="L24" s="515"/>
      <c r="M24" s="495"/>
      <c r="N24" s="496" t="s">
        <v>23</v>
      </c>
      <c r="O24" s="497">
        <v>20</v>
      </c>
      <c r="P24" s="507">
        <v>20</v>
      </c>
      <c r="Q24" s="507"/>
      <c r="R24" s="516">
        <v>0</v>
      </c>
      <c r="S24" s="507">
        <v>0</v>
      </c>
      <c r="T24" s="515"/>
      <c r="U24" s="498"/>
      <c r="V24" s="499"/>
      <c r="W24" s="500"/>
      <c r="X24" s="493">
        <v>5</v>
      </c>
      <c r="Y24" s="493">
        <v>5</v>
      </c>
      <c r="Z24" s="493"/>
      <c r="AA24" s="493">
        <v>0</v>
      </c>
      <c r="AB24" s="493">
        <v>0</v>
      </c>
      <c r="AC24" s="501"/>
      <c r="AD24" s="501"/>
    </row>
    <row r="25" spans="1:30" s="502" customFormat="1" ht="18.95" customHeight="1" x14ac:dyDescent="0.25">
      <c r="A25" s="595"/>
      <c r="B25" s="488">
        <v>3243102</v>
      </c>
      <c r="C25" s="489" t="s">
        <v>36</v>
      </c>
      <c r="D25" s="490"/>
      <c r="E25" s="491" t="s">
        <v>23</v>
      </c>
      <c r="F25" s="506">
        <v>200</v>
      </c>
      <c r="G25" s="506">
        <v>200</v>
      </c>
      <c r="H25" s="506"/>
      <c r="I25" s="506">
        <v>0</v>
      </c>
      <c r="J25" s="506">
        <v>0</v>
      </c>
      <c r="K25" s="517"/>
      <c r="L25" s="517"/>
      <c r="M25" s="495"/>
      <c r="N25" s="496" t="s">
        <v>23</v>
      </c>
      <c r="O25" s="497">
        <v>100</v>
      </c>
      <c r="P25" s="506">
        <v>100</v>
      </c>
      <c r="Q25" s="506"/>
      <c r="R25" s="496">
        <v>0</v>
      </c>
      <c r="S25" s="506">
        <v>0</v>
      </c>
      <c r="T25" s="517"/>
      <c r="U25" s="518"/>
      <c r="V25" s="519"/>
      <c r="W25" s="500"/>
      <c r="X25" s="493">
        <v>-100</v>
      </c>
      <c r="Y25" s="493">
        <v>-100</v>
      </c>
      <c r="Z25" s="493"/>
      <c r="AA25" s="493">
        <v>0</v>
      </c>
      <c r="AB25" s="493">
        <v>0</v>
      </c>
      <c r="AC25" s="501"/>
      <c r="AD25" s="501"/>
    </row>
    <row r="26" spans="1:30" s="502" customFormat="1" ht="18.95" customHeight="1" x14ac:dyDescent="0.25">
      <c r="A26" s="595"/>
      <c r="B26" s="488">
        <v>3243101</v>
      </c>
      <c r="C26" s="489" t="s">
        <v>37</v>
      </c>
      <c r="D26" s="490"/>
      <c r="E26" s="491" t="s">
        <v>23</v>
      </c>
      <c r="F26" s="506">
        <v>150</v>
      </c>
      <c r="G26" s="506">
        <v>150</v>
      </c>
      <c r="H26" s="506"/>
      <c r="I26" s="506">
        <v>0</v>
      </c>
      <c r="J26" s="506">
        <v>0</v>
      </c>
      <c r="K26" s="517"/>
      <c r="L26" s="517"/>
      <c r="M26" s="495"/>
      <c r="N26" s="496" t="s">
        <v>23</v>
      </c>
      <c r="O26" s="497">
        <v>200</v>
      </c>
      <c r="P26" s="506">
        <v>200</v>
      </c>
      <c r="Q26" s="506"/>
      <c r="R26" s="496">
        <v>0</v>
      </c>
      <c r="S26" s="506">
        <v>0</v>
      </c>
      <c r="T26" s="517"/>
      <c r="U26" s="518"/>
      <c r="V26" s="519"/>
      <c r="W26" s="500"/>
      <c r="X26" s="493">
        <v>50</v>
      </c>
      <c r="Y26" s="493">
        <v>50</v>
      </c>
      <c r="Z26" s="493"/>
      <c r="AA26" s="493">
        <v>0</v>
      </c>
      <c r="AB26" s="493">
        <v>0</v>
      </c>
      <c r="AC26" s="501"/>
      <c r="AD26" s="501"/>
    </row>
    <row r="27" spans="1:30" s="86" customFormat="1" ht="18.95" customHeight="1" x14ac:dyDescent="0.25">
      <c r="A27" s="666"/>
      <c r="B27" s="127">
        <v>3221108</v>
      </c>
      <c r="C27" s="126" t="s">
        <v>38</v>
      </c>
      <c r="D27" s="128"/>
      <c r="E27" s="428" t="s">
        <v>23</v>
      </c>
      <c r="F27" s="137">
        <v>3</v>
      </c>
      <c r="G27" s="137">
        <v>3</v>
      </c>
      <c r="H27" s="136"/>
      <c r="I27" s="136">
        <v>0</v>
      </c>
      <c r="J27" s="136">
        <v>0</v>
      </c>
      <c r="K27" s="138"/>
      <c r="L27" s="138"/>
      <c r="M27" s="144"/>
      <c r="N27" s="120" t="s">
        <v>23</v>
      </c>
      <c r="O27" s="43">
        <v>3</v>
      </c>
      <c r="P27" s="137">
        <v>3</v>
      </c>
      <c r="Q27" s="136"/>
      <c r="R27" s="473">
        <v>0</v>
      </c>
      <c r="S27" s="136">
        <v>0</v>
      </c>
      <c r="T27" s="138"/>
      <c r="U27" s="135"/>
      <c r="V27" s="134"/>
      <c r="W27" s="145"/>
      <c r="X27" s="88">
        <v>0</v>
      </c>
      <c r="Y27" s="88">
        <v>0</v>
      </c>
      <c r="Z27" s="88"/>
      <c r="AA27" s="88">
        <v>0</v>
      </c>
      <c r="AB27" s="88">
        <v>0</v>
      </c>
      <c r="AC27" s="87"/>
      <c r="AD27" s="87"/>
    </row>
    <row r="28" spans="1:30" s="502" customFormat="1" ht="18.95" customHeight="1" x14ac:dyDescent="0.25">
      <c r="A28" s="595"/>
      <c r="B28" s="488">
        <v>3255102</v>
      </c>
      <c r="C28" s="489" t="s">
        <v>39</v>
      </c>
      <c r="D28" s="490"/>
      <c r="E28" s="491" t="s">
        <v>23</v>
      </c>
      <c r="F28" s="506">
        <v>35</v>
      </c>
      <c r="G28" s="493">
        <v>35</v>
      </c>
      <c r="H28" s="493"/>
      <c r="I28" s="493">
        <v>0</v>
      </c>
      <c r="J28" s="493">
        <v>0</v>
      </c>
      <c r="K28" s="494"/>
      <c r="L28" s="494"/>
      <c r="M28" s="495"/>
      <c r="N28" s="496" t="s">
        <v>23</v>
      </c>
      <c r="O28" s="497">
        <v>50</v>
      </c>
      <c r="P28" s="493">
        <v>50</v>
      </c>
      <c r="Q28" s="493"/>
      <c r="R28" s="496">
        <v>0</v>
      </c>
      <c r="S28" s="493">
        <v>0</v>
      </c>
      <c r="T28" s="494"/>
      <c r="U28" s="498"/>
      <c r="V28" s="499"/>
      <c r="W28" s="500"/>
      <c r="X28" s="493">
        <v>15</v>
      </c>
      <c r="Y28" s="493">
        <v>15</v>
      </c>
      <c r="Z28" s="493"/>
      <c r="AA28" s="493">
        <v>0</v>
      </c>
      <c r="AB28" s="493">
        <v>0</v>
      </c>
      <c r="AC28" s="501"/>
      <c r="AD28" s="501"/>
    </row>
    <row r="29" spans="1:30" s="502" customFormat="1" ht="18.95" customHeight="1" x14ac:dyDescent="0.25">
      <c r="A29" s="595"/>
      <c r="B29" s="488">
        <v>3255104</v>
      </c>
      <c r="C29" s="489" t="s">
        <v>40</v>
      </c>
      <c r="D29" s="490"/>
      <c r="E29" s="491" t="s">
        <v>23</v>
      </c>
      <c r="F29" s="506">
        <v>150</v>
      </c>
      <c r="G29" s="493">
        <v>150</v>
      </c>
      <c r="H29" s="493"/>
      <c r="I29" s="493">
        <v>0</v>
      </c>
      <c r="J29" s="493">
        <v>0</v>
      </c>
      <c r="K29" s="494"/>
      <c r="L29" s="494"/>
      <c r="M29" s="495"/>
      <c r="N29" s="496" t="s">
        <v>23</v>
      </c>
      <c r="O29" s="497">
        <v>120</v>
      </c>
      <c r="P29" s="493">
        <v>120</v>
      </c>
      <c r="Q29" s="493"/>
      <c r="R29" s="496">
        <v>0</v>
      </c>
      <c r="S29" s="493">
        <v>0</v>
      </c>
      <c r="T29" s="494"/>
      <c r="U29" s="498"/>
      <c r="V29" s="499"/>
      <c r="W29" s="500"/>
      <c r="X29" s="493">
        <v>-30</v>
      </c>
      <c r="Y29" s="493">
        <v>-30</v>
      </c>
      <c r="Z29" s="493"/>
      <c r="AA29" s="493">
        <v>0</v>
      </c>
      <c r="AB29" s="493">
        <v>0</v>
      </c>
      <c r="AC29" s="501"/>
      <c r="AD29" s="501"/>
    </row>
    <row r="30" spans="1:30" s="86" customFormat="1" ht="18.95" customHeight="1" x14ac:dyDescent="0.25">
      <c r="A30" s="666"/>
      <c r="B30" s="127">
        <v>3211127</v>
      </c>
      <c r="C30" s="126" t="s">
        <v>41</v>
      </c>
      <c r="D30" s="128"/>
      <c r="E30" s="428" t="s">
        <v>23</v>
      </c>
      <c r="F30" s="137">
        <v>2</v>
      </c>
      <c r="G30" s="88">
        <v>2</v>
      </c>
      <c r="H30" s="88"/>
      <c r="I30" s="88">
        <v>0</v>
      </c>
      <c r="J30" s="88">
        <v>0</v>
      </c>
      <c r="K30" s="90"/>
      <c r="L30" s="90"/>
      <c r="M30" s="144"/>
      <c r="N30" s="120" t="s">
        <v>23</v>
      </c>
      <c r="O30" s="43">
        <v>2</v>
      </c>
      <c r="P30" s="88">
        <v>2</v>
      </c>
      <c r="Q30" s="88"/>
      <c r="R30" s="120">
        <v>0</v>
      </c>
      <c r="S30" s="88">
        <v>0</v>
      </c>
      <c r="T30" s="90"/>
      <c r="U30" s="89"/>
      <c r="V30" s="124"/>
      <c r="W30" s="145"/>
      <c r="X30" s="88">
        <v>0</v>
      </c>
      <c r="Y30" s="88">
        <v>0</v>
      </c>
      <c r="Z30" s="88"/>
      <c r="AA30" s="88">
        <v>0</v>
      </c>
      <c r="AB30" s="88">
        <v>0</v>
      </c>
      <c r="AC30" s="87"/>
      <c r="AD30" s="87"/>
    </row>
    <row r="31" spans="1:30" s="86" customFormat="1" ht="18.95" customHeight="1" x14ac:dyDescent="0.25">
      <c r="A31" s="666"/>
      <c r="B31" s="127"/>
      <c r="C31" s="133" t="s">
        <v>42</v>
      </c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2"/>
      <c r="Q31" s="131"/>
      <c r="R31" s="471"/>
      <c r="S31" s="131"/>
      <c r="T31" s="131"/>
      <c r="U31" s="131"/>
      <c r="V31" s="131"/>
      <c r="W31" s="131"/>
      <c r="X31" s="88"/>
      <c r="Y31" s="88"/>
      <c r="Z31" s="88"/>
      <c r="AA31" s="88"/>
      <c r="AB31" s="88"/>
      <c r="AC31" s="130"/>
      <c r="AD31" s="129"/>
    </row>
    <row r="32" spans="1:30" s="502" customFormat="1" ht="20.25" customHeight="1" x14ac:dyDescent="0.25">
      <c r="A32" s="595"/>
      <c r="B32" s="488">
        <v>3231201</v>
      </c>
      <c r="C32" s="489" t="s">
        <v>43</v>
      </c>
      <c r="D32" s="490"/>
      <c r="E32" s="491" t="s">
        <v>23</v>
      </c>
      <c r="F32" s="506">
        <v>238.54</v>
      </c>
      <c r="G32" s="493">
        <v>0</v>
      </c>
      <c r="H32" s="493"/>
      <c r="I32" s="493">
        <v>238.54</v>
      </c>
      <c r="J32" s="493">
        <v>0</v>
      </c>
      <c r="K32" s="494"/>
      <c r="L32" s="494"/>
      <c r="M32" s="495"/>
      <c r="N32" s="496" t="s">
        <v>23</v>
      </c>
      <c r="O32" s="497">
        <v>238.54</v>
      </c>
      <c r="P32" s="520">
        <v>238.54</v>
      </c>
      <c r="Q32" s="493"/>
      <c r="R32" s="496">
        <v>0</v>
      </c>
      <c r="S32" s="493">
        <v>0</v>
      </c>
      <c r="T32" s="494"/>
      <c r="U32" s="498"/>
      <c r="V32" s="499"/>
      <c r="W32" s="500"/>
      <c r="X32" s="493">
        <v>0</v>
      </c>
      <c r="Y32" s="493">
        <v>238.54</v>
      </c>
      <c r="Z32" s="493"/>
      <c r="AA32" s="493">
        <v>-238.54</v>
      </c>
      <c r="AB32" s="500">
        <v>0</v>
      </c>
      <c r="AC32" s="501"/>
      <c r="AD32" s="501"/>
    </row>
    <row r="33" spans="1:30" s="502" customFormat="1" ht="24.75" customHeight="1" x14ac:dyDescent="0.25">
      <c r="A33" s="595"/>
      <c r="B33" s="488">
        <v>3231201</v>
      </c>
      <c r="C33" s="490" t="s">
        <v>44</v>
      </c>
      <c r="D33" s="521"/>
      <c r="E33" s="521" t="s">
        <v>23</v>
      </c>
      <c r="F33" s="506">
        <v>398.41</v>
      </c>
      <c r="G33" s="493">
        <v>47.81</v>
      </c>
      <c r="H33" s="522"/>
      <c r="I33" s="522">
        <v>350.6</v>
      </c>
      <c r="J33" s="522">
        <v>0</v>
      </c>
      <c r="K33" s="523"/>
      <c r="L33" s="523"/>
      <c r="M33" s="499"/>
      <c r="N33" s="496" t="s">
        <v>23</v>
      </c>
      <c r="O33" s="497">
        <v>536.58000000000004</v>
      </c>
      <c r="P33" s="493">
        <v>64.39</v>
      </c>
      <c r="Q33" s="522"/>
      <c r="R33" s="524">
        <v>472.19</v>
      </c>
      <c r="S33" s="522">
        <v>0</v>
      </c>
      <c r="T33" s="523"/>
      <c r="U33" s="498"/>
      <c r="V33" s="499"/>
      <c r="W33" s="500"/>
      <c r="X33" s="493">
        <v>138.16999999999999</v>
      </c>
      <c r="Y33" s="493">
        <v>16.579999999999998</v>
      </c>
      <c r="Z33" s="493"/>
      <c r="AA33" s="493">
        <v>121.59</v>
      </c>
      <c r="AB33" s="493">
        <v>0</v>
      </c>
      <c r="AC33" s="501"/>
      <c r="AD33" s="501"/>
    </row>
    <row r="34" spans="1:30" s="502" customFormat="1" ht="39.75" customHeight="1" x14ac:dyDescent="0.25">
      <c r="A34" s="595"/>
      <c r="B34" s="488">
        <v>3231201</v>
      </c>
      <c r="C34" s="512" t="s">
        <v>45</v>
      </c>
      <c r="D34" s="512"/>
      <c r="E34" s="512" t="s">
        <v>23</v>
      </c>
      <c r="F34" s="525">
        <v>2533.34</v>
      </c>
      <c r="G34" s="526">
        <v>304</v>
      </c>
      <c r="H34" s="526"/>
      <c r="I34" s="526">
        <v>2229.34</v>
      </c>
      <c r="J34" s="526">
        <v>0</v>
      </c>
      <c r="K34" s="527"/>
      <c r="L34" s="527"/>
      <c r="M34" s="528"/>
      <c r="N34" s="496" t="s">
        <v>23</v>
      </c>
      <c r="O34" s="497">
        <v>3139.8</v>
      </c>
      <c r="P34" s="526">
        <v>375.07</v>
      </c>
      <c r="Q34" s="526"/>
      <c r="R34" s="529">
        <v>2764.73</v>
      </c>
      <c r="S34" s="526">
        <v>0</v>
      </c>
      <c r="T34" s="527"/>
      <c r="U34" s="530"/>
      <c r="V34" s="528"/>
      <c r="W34" s="500"/>
      <c r="X34" s="493">
        <v>606.45999999999981</v>
      </c>
      <c r="Y34" s="493">
        <v>71.069999999999993</v>
      </c>
      <c r="Z34" s="493"/>
      <c r="AA34" s="493">
        <v>535.38999999999987</v>
      </c>
      <c r="AB34" s="493">
        <v>0</v>
      </c>
      <c r="AC34" s="501"/>
      <c r="AD34" s="501"/>
    </row>
    <row r="35" spans="1:30" s="541" customFormat="1" ht="39" customHeight="1" x14ac:dyDescent="0.25">
      <c r="A35" s="531"/>
      <c r="B35" s="532">
        <v>3231201</v>
      </c>
      <c r="C35" s="533" t="s">
        <v>46</v>
      </c>
      <c r="D35" s="533"/>
      <c r="E35" s="533" t="s">
        <v>23</v>
      </c>
      <c r="F35" s="534">
        <v>1321.68</v>
      </c>
      <c r="G35" s="535">
        <v>158.6</v>
      </c>
      <c r="H35" s="535"/>
      <c r="I35" s="535">
        <v>1163.08</v>
      </c>
      <c r="J35" s="535">
        <v>0</v>
      </c>
      <c r="K35" s="536"/>
      <c r="L35" s="536"/>
      <c r="M35" s="537"/>
      <c r="N35" s="535" t="s">
        <v>23</v>
      </c>
      <c r="O35" s="538">
        <v>1321.68</v>
      </c>
      <c r="P35" s="535">
        <v>158.6</v>
      </c>
      <c r="Q35" s="535"/>
      <c r="R35" s="535">
        <v>1163.08</v>
      </c>
      <c r="S35" s="535">
        <v>0</v>
      </c>
      <c r="T35" s="536"/>
      <c r="U35" s="539"/>
      <c r="V35" s="537"/>
      <c r="W35" s="532"/>
      <c r="X35" s="535">
        <v>0</v>
      </c>
      <c r="Y35" s="535">
        <v>0</v>
      </c>
      <c r="Z35" s="535"/>
      <c r="AA35" s="535">
        <v>0</v>
      </c>
      <c r="AB35" s="535">
        <v>0</v>
      </c>
      <c r="AC35" s="540"/>
      <c r="AD35" s="540"/>
    </row>
    <row r="36" spans="1:30" s="502" customFormat="1" ht="20.25" customHeight="1" x14ac:dyDescent="0.25">
      <c r="A36" s="595"/>
      <c r="B36" s="488">
        <v>3211109</v>
      </c>
      <c r="C36" s="489" t="s">
        <v>47</v>
      </c>
      <c r="D36" s="521"/>
      <c r="E36" s="521" t="s">
        <v>23</v>
      </c>
      <c r="F36" s="525">
        <v>15</v>
      </c>
      <c r="G36" s="493">
        <v>15</v>
      </c>
      <c r="H36" s="522"/>
      <c r="I36" s="522">
        <v>0</v>
      </c>
      <c r="J36" s="522">
        <v>0</v>
      </c>
      <c r="K36" s="523"/>
      <c r="L36" s="523"/>
      <c r="M36" s="528"/>
      <c r="N36" s="496" t="s">
        <v>23</v>
      </c>
      <c r="O36" s="497">
        <v>22</v>
      </c>
      <c r="P36" s="493">
        <v>22</v>
      </c>
      <c r="Q36" s="522"/>
      <c r="R36" s="524">
        <v>0</v>
      </c>
      <c r="S36" s="522">
        <v>0</v>
      </c>
      <c r="T36" s="523"/>
      <c r="U36" s="530"/>
      <c r="V36" s="528"/>
      <c r="W36" s="500"/>
      <c r="X36" s="493">
        <v>7</v>
      </c>
      <c r="Y36" s="493">
        <v>7</v>
      </c>
      <c r="Z36" s="493"/>
      <c r="AA36" s="493">
        <v>0</v>
      </c>
      <c r="AB36" s="493">
        <v>0</v>
      </c>
      <c r="AC36" s="501"/>
      <c r="AD36" s="501"/>
    </row>
    <row r="37" spans="1:30" s="502" customFormat="1" ht="20.100000000000001" customHeight="1" x14ac:dyDescent="0.25">
      <c r="A37" s="595"/>
      <c r="B37" s="488">
        <v>3256103</v>
      </c>
      <c r="C37" s="489" t="s">
        <v>48</v>
      </c>
      <c r="D37" s="521"/>
      <c r="E37" s="521" t="s">
        <v>23</v>
      </c>
      <c r="F37" s="525">
        <v>25</v>
      </c>
      <c r="G37" s="493">
        <v>25</v>
      </c>
      <c r="H37" s="522"/>
      <c r="I37" s="522">
        <v>0</v>
      </c>
      <c r="J37" s="522">
        <v>0</v>
      </c>
      <c r="K37" s="523"/>
      <c r="L37" s="523"/>
      <c r="M37" s="528"/>
      <c r="N37" s="496" t="s">
        <v>23</v>
      </c>
      <c r="O37" s="497">
        <v>15</v>
      </c>
      <c r="P37" s="493">
        <v>15</v>
      </c>
      <c r="Q37" s="522"/>
      <c r="R37" s="524">
        <v>0</v>
      </c>
      <c r="S37" s="522">
        <v>0</v>
      </c>
      <c r="T37" s="523"/>
      <c r="U37" s="530"/>
      <c r="V37" s="528"/>
      <c r="W37" s="500"/>
      <c r="X37" s="493">
        <v>-10</v>
      </c>
      <c r="Y37" s="493">
        <v>-10</v>
      </c>
      <c r="Z37" s="493"/>
      <c r="AA37" s="493">
        <v>0</v>
      </c>
      <c r="AB37" s="493">
        <v>0</v>
      </c>
      <c r="AC37" s="501"/>
      <c r="AD37" s="501"/>
    </row>
    <row r="38" spans="1:30" s="86" customFormat="1" ht="33" customHeight="1" x14ac:dyDescent="0.25">
      <c r="A38" s="666"/>
      <c r="B38" s="428">
        <v>3257101</v>
      </c>
      <c r="C38" s="126" t="s">
        <v>49</v>
      </c>
      <c r="D38" s="125" t="s">
        <v>50</v>
      </c>
      <c r="E38" s="120" t="s">
        <v>51</v>
      </c>
      <c r="F38" s="137">
        <v>7901.4</v>
      </c>
      <c r="G38" s="88">
        <v>0</v>
      </c>
      <c r="H38" s="121"/>
      <c r="I38" s="121">
        <v>0</v>
      </c>
      <c r="J38" s="121">
        <v>7901.4</v>
      </c>
      <c r="K38" s="122"/>
      <c r="L38" s="122"/>
      <c r="M38" s="144" t="s">
        <v>50</v>
      </c>
      <c r="N38" s="120" t="s">
        <v>52</v>
      </c>
      <c r="O38" s="43">
        <v>7901.4</v>
      </c>
      <c r="P38" s="88">
        <v>0</v>
      </c>
      <c r="Q38" s="121"/>
      <c r="R38" s="474">
        <v>0</v>
      </c>
      <c r="S38" s="121">
        <v>7901.4</v>
      </c>
      <c r="T38" s="122"/>
      <c r="U38" s="89"/>
      <c r="V38" s="124" t="s">
        <v>50</v>
      </c>
      <c r="W38" s="145"/>
      <c r="X38" s="88">
        <v>0</v>
      </c>
      <c r="Y38" s="88">
        <v>0</v>
      </c>
      <c r="Z38" s="88"/>
      <c r="AA38" s="88">
        <v>0</v>
      </c>
      <c r="AB38" s="88">
        <v>0</v>
      </c>
      <c r="AC38" s="87"/>
      <c r="AD38" s="87"/>
    </row>
    <row r="39" spans="1:30" s="502" customFormat="1" ht="19.5" customHeight="1" x14ac:dyDescent="0.25">
      <c r="A39" s="595"/>
      <c r="B39" s="491">
        <v>3111332</v>
      </c>
      <c r="C39" s="511" t="s">
        <v>53</v>
      </c>
      <c r="D39" s="512"/>
      <c r="E39" s="491" t="s">
        <v>23</v>
      </c>
      <c r="F39" s="506">
        <v>25</v>
      </c>
      <c r="G39" s="493">
        <v>25</v>
      </c>
      <c r="H39" s="522"/>
      <c r="I39" s="522">
        <v>0</v>
      </c>
      <c r="J39" s="522">
        <v>0</v>
      </c>
      <c r="K39" s="523"/>
      <c r="L39" s="523"/>
      <c r="M39" s="495"/>
      <c r="N39" s="496" t="s">
        <v>23</v>
      </c>
      <c r="O39" s="497">
        <v>30</v>
      </c>
      <c r="P39" s="493">
        <v>30</v>
      </c>
      <c r="Q39" s="522"/>
      <c r="R39" s="524">
        <v>0</v>
      </c>
      <c r="S39" s="522">
        <v>0</v>
      </c>
      <c r="T39" s="523"/>
      <c r="U39" s="498"/>
      <c r="V39" s="499"/>
      <c r="W39" s="500"/>
      <c r="X39" s="493">
        <v>5</v>
      </c>
      <c r="Y39" s="493">
        <v>5</v>
      </c>
      <c r="Z39" s="493"/>
      <c r="AA39" s="493">
        <v>0</v>
      </c>
      <c r="AB39" s="493">
        <v>0</v>
      </c>
      <c r="AC39" s="501"/>
      <c r="AD39" s="501"/>
    </row>
    <row r="40" spans="1:30" s="86" customFormat="1" ht="18" customHeight="1" x14ac:dyDescent="0.25">
      <c r="A40" s="666"/>
      <c r="B40" s="428">
        <v>3111332</v>
      </c>
      <c r="C40" s="96" t="s">
        <v>54</v>
      </c>
      <c r="D40" s="123"/>
      <c r="E40" s="428" t="s">
        <v>23</v>
      </c>
      <c r="F40" s="137">
        <v>10</v>
      </c>
      <c r="G40" s="88">
        <v>10</v>
      </c>
      <c r="H40" s="121"/>
      <c r="I40" s="121">
        <v>0</v>
      </c>
      <c r="J40" s="121">
        <v>0</v>
      </c>
      <c r="K40" s="122"/>
      <c r="L40" s="122"/>
      <c r="M40" s="144"/>
      <c r="N40" s="120" t="s">
        <v>23</v>
      </c>
      <c r="O40" s="43">
        <v>10</v>
      </c>
      <c r="P40" s="88">
        <v>10</v>
      </c>
      <c r="Q40" s="121"/>
      <c r="R40" s="474">
        <v>0</v>
      </c>
      <c r="S40" s="121">
        <v>0</v>
      </c>
      <c r="T40" s="122"/>
      <c r="U40" s="89"/>
      <c r="V40" s="124"/>
      <c r="W40" s="145"/>
      <c r="X40" s="88">
        <v>0</v>
      </c>
      <c r="Y40" s="88">
        <v>0</v>
      </c>
      <c r="Z40" s="88"/>
      <c r="AA40" s="88">
        <v>0</v>
      </c>
      <c r="AB40" s="88">
        <v>0</v>
      </c>
      <c r="AC40" s="87"/>
      <c r="AD40" s="87"/>
    </row>
    <row r="41" spans="1:30" s="86" customFormat="1" ht="19.5" customHeight="1" x14ac:dyDescent="0.25">
      <c r="A41" s="666"/>
      <c r="B41" s="428">
        <v>3111332</v>
      </c>
      <c r="C41" s="96" t="s">
        <v>55</v>
      </c>
      <c r="D41" s="123"/>
      <c r="E41" s="428" t="s">
        <v>23</v>
      </c>
      <c r="F41" s="137">
        <v>10</v>
      </c>
      <c r="G41" s="88">
        <v>10</v>
      </c>
      <c r="H41" s="121"/>
      <c r="I41" s="121">
        <v>0</v>
      </c>
      <c r="J41" s="121">
        <v>0</v>
      </c>
      <c r="K41" s="122"/>
      <c r="L41" s="122"/>
      <c r="M41" s="144"/>
      <c r="N41" s="120" t="s">
        <v>23</v>
      </c>
      <c r="O41" s="43">
        <v>10</v>
      </c>
      <c r="P41" s="88">
        <v>10</v>
      </c>
      <c r="Q41" s="121"/>
      <c r="R41" s="474">
        <v>0</v>
      </c>
      <c r="S41" s="121">
        <v>0</v>
      </c>
      <c r="T41" s="122"/>
      <c r="U41" s="89"/>
      <c r="V41" s="124"/>
      <c r="W41" s="145"/>
      <c r="X41" s="88">
        <v>0</v>
      </c>
      <c r="Y41" s="88">
        <v>0</v>
      </c>
      <c r="Z41" s="88"/>
      <c r="AA41" s="88">
        <v>0</v>
      </c>
      <c r="AB41" s="88">
        <v>0</v>
      </c>
      <c r="AC41" s="87"/>
      <c r="AD41" s="87"/>
    </row>
    <row r="42" spans="1:30" s="502" customFormat="1" ht="17.25" customHeight="1" x14ac:dyDescent="0.25">
      <c r="A42" s="595"/>
      <c r="B42" s="491">
        <v>3257104</v>
      </c>
      <c r="C42" s="511" t="s">
        <v>56</v>
      </c>
      <c r="D42" s="512"/>
      <c r="E42" s="491" t="s">
        <v>23</v>
      </c>
      <c r="F42" s="506">
        <v>162</v>
      </c>
      <c r="G42" s="493">
        <v>162</v>
      </c>
      <c r="H42" s="522"/>
      <c r="I42" s="522">
        <v>0</v>
      </c>
      <c r="J42" s="522">
        <v>0</v>
      </c>
      <c r="K42" s="523"/>
      <c r="L42" s="523"/>
      <c r="M42" s="495"/>
      <c r="N42" s="496" t="s">
        <v>23</v>
      </c>
      <c r="O42" s="497">
        <v>162</v>
      </c>
      <c r="P42" s="493">
        <v>162</v>
      </c>
      <c r="Q42" s="522"/>
      <c r="R42" s="524">
        <v>0</v>
      </c>
      <c r="S42" s="522">
        <v>0</v>
      </c>
      <c r="T42" s="523"/>
      <c r="U42" s="498"/>
      <c r="V42" s="499"/>
      <c r="W42" s="500"/>
      <c r="X42" s="493">
        <v>0</v>
      </c>
      <c r="Y42" s="493">
        <v>0</v>
      </c>
      <c r="Z42" s="493"/>
      <c r="AA42" s="493">
        <v>0</v>
      </c>
      <c r="AB42" s="493">
        <v>0</v>
      </c>
      <c r="AC42" s="501"/>
      <c r="AD42" s="501"/>
    </row>
    <row r="43" spans="1:30" s="550" customFormat="1" ht="20.100000000000001" customHeight="1" x14ac:dyDescent="0.25">
      <c r="A43" s="595"/>
      <c r="B43" s="491">
        <v>3255101</v>
      </c>
      <c r="C43" s="542" t="s">
        <v>57</v>
      </c>
      <c r="D43" s="543"/>
      <c r="E43" s="491" t="s">
        <v>23</v>
      </c>
      <c r="F43" s="506">
        <v>50</v>
      </c>
      <c r="G43" s="526">
        <v>50</v>
      </c>
      <c r="H43" s="544"/>
      <c r="I43" s="544">
        <v>0</v>
      </c>
      <c r="J43" s="544">
        <v>0</v>
      </c>
      <c r="K43" s="545"/>
      <c r="L43" s="545"/>
      <c r="M43" s="546"/>
      <c r="N43" s="496" t="s">
        <v>23</v>
      </c>
      <c r="O43" s="497">
        <v>60</v>
      </c>
      <c r="P43" s="526">
        <v>60</v>
      </c>
      <c r="Q43" s="544"/>
      <c r="R43" s="547">
        <v>0</v>
      </c>
      <c r="S43" s="544">
        <v>0</v>
      </c>
      <c r="T43" s="545"/>
      <c r="U43" s="498"/>
      <c r="V43" s="499"/>
      <c r="W43" s="548"/>
      <c r="X43" s="493">
        <v>10</v>
      </c>
      <c r="Y43" s="493">
        <v>10</v>
      </c>
      <c r="Z43" s="493"/>
      <c r="AA43" s="493">
        <v>0</v>
      </c>
      <c r="AB43" s="493">
        <v>0</v>
      </c>
      <c r="AC43" s="549"/>
      <c r="AD43" s="549"/>
    </row>
    <row r="44" spans="1:30" s="550" customFormat="1" ht="20.100000000000001" customHeight="1" x14ac:dyDescent="0.25">
      <c r="A44" s="597"/>
      <c r="B44" s="551">
        <v>3256101</v>
      </c>
      <c r="C44" s="542" t="s">
        <v>58</v>
      </c>
      <c r="D44" s="543"/>
      <c r="E44" s="491" t="s">
        <v>23</v>
      </c>
      <c r="F44" s="525">
        <v>1700</v>
      </c>
      <c r="G44" s="526">
        <v>1700</v>
      </c>
      <c r="H44" s="526"/>
      <c r="I44" s="526">
        <v>0</v>
      </c>
      <c r="J44" s="526">
        <v>0</v>
      </c>
      <c r="K44" s="527"/>
      <c r="L44" s="527"/>
      <c r="M44" s="546"/>
      <c r="N44" s="496" t="s">
        <v>23</v>
      </c>
      <c r="O44" s="497">
        <v>1700</v>
      </c>
      <c r="P44" s="526">
        <v>1700</v>
      </c>
      <c r="Q44" s="526"/>
      <c r="R44" s="529">
        <v>0</v>
      </c>
      <c r="S44" s="526">
        <v>0</v>
      </c>
      <c r="T44" s="527"/>
      <c r="U44" s="530"/>
      <c r="V44" s="528"/>
      <c r="W44" s="548"/>
      <c r="X44" s="493">
        <v>0</v>
      </c>
      <c r="Y44" s="493">
        <v>0</v>
      </c>
      <c r="Z44" s="493"/>
      <c r="AA44" s="493">
        <v>0</v>
      </c>
      <c r="AB44" s="493">
        <v>0</v>
      </c>
      <c r="AC44" s="549"/>
      <c r="AD44" s="549"/>
    </row>
    <row r="45" spans="1:30" s="689" customFormat="1" ht="20.100000000000001" customHeight="1" x14ac:dyDescent="0.25">
      <c r="A45" s="119"/>
      <c r="B45" s="741" t="s">
        <v>59</v>
      </c>
      <c r="C45" s="717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475"/>
      <c r="S45" s="82"/>
      <c r="T45" s="82"/>
      <c r="U45" s="82"/>
      <c r="V45" s="149"/>
      <c r="W45" s="149"/>
      <c r="X45" s="149"/>
      <c r="Y45" s="149"/>
      <c r="Z45" s="149"/>
      <c r="AA45" s="149"/>
      <c r="AB45" s="150"/>
      <c r="AC45" s="81"/>
      <c r="AD45" s="80"/>
    </row>
    <row r="46" spans="1:30" s="550" customFormat="1" ht="20.100000000000001" customHeight="1" x14ac:dyDescent="0.25">
      <c r="A46" s="552"/>
      <c r="B46" s="553">
        <v>3258101</v>
      </c>
      <c r="C46" s="554" t="s">
        <v>60</v>
      </c>
      <c r="D46" s="555"/>
      <c r="E46" s="556" t="s">
        <v>61</v>
      </c>
      <c r="F46" s="525">
        <v>100</v>
      </c>
      <c r="G46" s="526">
        <v>100</v>
      </c>
      <c r="H46" s="557"/>
      <c r="I46" s="557">
        <v>0</v>
      </c>
      <c r="J46" s="557">
        <v>0</v>
      </c>
      <c r="K46" s="558"/>
      <c r="L46" s="558"/>
      <c r="M46" s="546"/>
      <c r="N46" s="496" t="s">
        <v>61</v>
      </c>
      <c r="O46" s="497">
        <v>125</v>
      </c>
      <c r="P46" s="557">
        <v>125</v>
      </c>
      <c r="Q46" s="557"/>
      <c r="R46" s="559">
        <v>0</v>
      </c>
      <c r="S46" s="557">
        <v>0</v>
      </c>
      <c r="T46" s="558"/>
      <c r="U46" s="530"/>
      <c r="V46" s="528"/>
      <c r="W46" s="548"/>
      <c r="X46" s="493">
        <v>25</v>
      </c>
      <c r="Y46" s="493">
        <v>25</v>
      </c>
      <c r="Z46" s="493"/>
      <c r="AA46" s="493">
        <v>0</v>
      </c>
      <c r="AB46" s="493">
        <v>0</v>
      </c>
      <c r="AC46" s="549"/>
      <c r="AD46" s="549"/>
    </row>
    <row r="47" spans="1:30" s="550" customFormat="1" ht="20.100000000000001" customHeight="1" x14ac:dyDescent="0.25">
      <c r="A47" s="552"/>
      <c r="B47" s="553">
        <v>3258102</v>
      </c>
      <c r="C47" s="542" t="s">
        <v>62</v>
      </c>
      <c r="D47" s="555"/>
      <c r="E47" s="556" t="s">
        <v>61</v>
      </c>
      <c r="F47" s="525">
        <v>15</v>
      </c>
      <c r="G47" s="526">
        <v>15</v>
      </c>
      <c r="H47" s="557"/>
      <c r="I47" s="557">
        <v>0</v>
      </c>
      <c r="J47" s="557">
        <v>0</v>
      </c>
      <c r="K47" s="558"/>
      <c r="L47" s="558"/>
      <c r="M47" s="546"/>
      <c r="N47" s="496" t="s">
        <v>61</v>
      </c>
      <c r="O47" s="497">
        <v>10</v>
      </c>
      <c r="P47" s="526">
        <v>10</v>
      </c>
      <c r="Q47" s="557"/>
      <c r="R47" s="559">
        <v>0</v>
      </c>
      <c r="S47" s="557">
        <v>0</v>
      </c>
      <c r="T47" s="558"/>
      <c r="U47" s="530"/>
      <c r="V47" s="528"/>
      <c r="W47" s="548"/>
      <c r="X47" s="493">
        <v>-5</v>
      </c>
      <c r="Y47" s="493">
        <v>-5</v>
      </c>
      <c r="Z47" s="493"/>
      <c r="AA47" s="493">
        <v>0</v>
      </c>
      <c r="AB47" s="493">
        <v>0</v>
      </c>
      <c r="AC47" s="549"/>
      <c r="AD47" s="549"/>
    </row>
    <row r="48" spans="1:30" s="550" customFormat="1" ht="20.100000000000001" customHeight="1" x14ac:dyDescent="0.25">
      <c r="A48" s="552"/>
      <c r="B48" s="553">
        <v>3258103</v>
      </c>
      <c r="C48" s="542" t="s">
        <v>63</v>
      </c>
      <c r="D48" s="555"/>
      <c r="E48" s="556" t="s">
        <v>61</v>
      </c>
      <c r="F48" s="525">
        <v>25</v>
      </c>
      <c r="G48" s="526">
        <v>25</v>
      </c>
      <c r="H48" s="526"/>
      <c r="I48" s="526">
        <v>0</v>
      </c>
      <c r="J48" s="526">
        <v>0</v>
      </c>
      <c r="K48" s="527"/>
      <c r="L48" s="527"/>
      <c r="M48" s="546"/>
      <c r="N48" s="496" t="s">
        <v>61</v>
      </c>
      <c r="O48" s="497">
        <v>15</v>
      </c>
      <c r="P48" s="526">
        <v>15</v>
      </c>
      <c r="Q48" s="526"/>
      <c r="R48" s="529">
        <v>0</v>
      </c>
      <c r="S48" s="526">
        <v>0</v>
      </c>
      <c r="T48" s="527"/>
      <c r="U48" s="530"/>
      <c r="V48" s="528"/>
      <c r="W48" s="548"/>
      <c r="X48" s="493">
        <v>-10</v>
      </c>
      <c r="Y48" s="493">
        <v>-10</v>
      </c>
      <c r="Z48" s="493"/>
      <c r="AA48" s="493">
        <v>0</v>
      </c>
      <c r="AB48" s="493">
        <v>0</v>
      </c>
      <c r="AC48" s="549"/>
      <c r="AD48" s="549"/>
    </row>
    <row r="49" spans="1:32" s="550" customFormat="1" ht="20.100000000000001" customHeight="1" x14ac:dyDescent="0.25">
      <c r="A49" s="552"/>
      <c r="B49" s="553">
        <v>3258105</v>
      </c>
      <c r="C49" s="542" t="s">
        <v>64</v>
      </c>
      <c r="D49" s="555"/>
      <c r="E49" s="556" t="s">
        <v>61</v>
      </c>
      <c r="F49" s="525">
        <v>25</v>
      </c>
      <c r="G49" s="526">
        <v>25</v>
      </c>
      <c r="H49" s="557"/>
      <c r="I49" s="557">
        <v>0</v>
      </c>
      <c r="J49" s="557">
        <v>0</v>
      </c>
      <c r="K49" s="558"/>
      <c r="L49" s="558"/>
      <c r="M49" s="546"/>
      <c r="N49" s="496" t="s">
        <v>61</v>
      </c>
      <c r="O49" s="497">
        <v>10</v>
      </c>
      <c r="P49" s="526">
        <v>10</v>
      </c>
      <c r="Q49" s="557"/>
      <c r="R49" s="559">
        <v>0</v>
      </c>
      <c r="S49" s="557">
        <v>0</v>
      </c>
      <c r="T49" s="558"/>
      <c r="U49" s="530"/>
      <c r="V49" s="528"/>
      <c r="W49" s="548"/>
      <c r="X49" s="493">
        <v>-15</v>
      </c>
      <c r="Y49" s="493">
        <v>-15</v>
      </c>
      <c r="Z49" s="493"/>
      <c r="AA49" s="493">
        <v>0</v>
      </c>
      <c r="AB49" s="493">
        <v>0</v>
      </c>
      <c r="AC49" s="549"/>
      <c r="AD49" s="549"/>
    </row>
    <row r="50" spans="1:32" s="550" customFormat="1" ht="20.100000000000001" customHeight="1" x14ac:dyDescent="0.25">
      <c r="A50" s="552"/>
      <c r="B50" s="553">
        <v>3258107</v>
      </c>
      <c r="C50" s="542" t="s">
        <v>65</v>
      </c>
      <c r="D50" s="555"/>
      <c r="E50" s="556" t="s">
        <v>61</v>
      </c>
      <c r="F50" s="525">
        <v>20</v>
      </c>
      <c r="G50" s="526">
        <v>20</v>
      </c>
      <c r="H50" s="557"/>
      <c r="I50" s="557">
        <v>0</v>
      </c>
      <c r="J50" s="557">
        <v>0</v>
      </c>
      <c r="K50" s="558"/>
      <c r="L50" s="558"/>
      <c r="M50" s="546"/>
      <c r="N50" s="496" t="s">
        <v>61</v>
      </c>
      <c r="O50" s="497">
        <v>25</v>
      </c>
      <c r="P50" s="526">
        <v>25</v>
      </c>
      <c r="Q50" s="557"/>
      <c r="R50" s="559">
        <v>0</v>
      </c>
      <c r="S50" s="557">
        <v>0</v>
      </c>
      <c r="T50" s="558"/>
      <c r="U50" s="530"/>
      <c r="V50" s="528"/>
      <c r="W50" s="548"/>
      <c r="X50" s="493">
        <v>5</v>
      </c>
      <c r="Y50" s="493">
        <v>5</v>
      </c>
      <c r="Z50" s="493"/>
      <c r="AA50" s="493">
        <v>0</v>
      </c>
      <c r="AB50" s="493">
        <v>0</v>
      </c>
      <c r="AC50" s="549"/>
      <c r="AD50" s="549"/>
    </row>
    <row r="51" spans="1:32" s="550" customFormat="1" ht="20.100000000000001" customHeight="1" x14ac:dyDescent="0.25">
      <c r="A51" s="552"/>
      <c r="B51" s="553">
        <v>3258106</v>
      </c>
      <c r="C51" s="542" t="s">
        <v>66</v>
      </c>
      <c r="D51" s="555"/>
      <c r="E51" s="556" t="s">
        <v>61</v>
      </c>
      <c r="F51" s="525">
        <v>20</v>
      </c>
      <c r="G51" s="526">
        <v>20</v>
      </c>
      <c r="H51" s="557"/>
      <c r="I51" s="557">
        <v>0</v>
      </c>
      <c r="J51" s="557">
        <v>0</v>
      </c>
      <c r="K51" s="558"/>
      <c r="L51" s="558"/>
      <c r="M51" s="546"/>
      <c r="N51" s="496" t="s">
        <v>61</v>
      </c>
      <c r="O51" s="497">
        <v>40</v>
      </c>
      <c r="P51" s="526">
        <v>40</v>
      </c>
      <c r="Q51" s="557"/>
      <c r="R51" s="559">
        <v>0</v>
      </c>
      <c r="S51" s="557">
        <v>0</v>
      </c>
      <c r="T51" s="558"/>
      <c r="U51" s="530"/>
      <c r="V51" s="528"/>
      <c r="W51" s="548"/>
      <c r="X51" s="493">
        <v>20</v>
      </c>
      <c r="Y51" s="493">
        <v>20</v>
      </c>
      <c r="Z51" s="493"/>
      <c r="AA51" s="493">
        <v>0</v>
      </c>
      <c r="AB51" s="493">
        <v>0</v>
      </c>
      <c r="AC51" s="549"/>
      <c r="AD51" s="549"/>
    </row>
    <row r="52" spans="1:32" s="550" customFormat="1" ht="20.100000000000001" customHeight="1" x14ac:dyDescent="0.25">
      <c r="A52" s="552"/>
      <c r="B52" s="553">
        <v>3258105</v>
      </c>
      <c r="C52" s="542" t="s">
        <v>67</v>
      </c>
      <c r="D52" s="555"/>
      <c r="E52" s="556" t="s">
        <v>61</v>
      </c>
      <c r="F52" s="525">
        <v>25</v>
      </c>
      <c r="G52" s="526">
        <v>25</v>
      </c>
      <c r="H52" s="557"/>
      <c r="I52" s="557">
        <v>0</v>
      </c>
      <c r="J52" s="557">
        <v>0</v>
      </c>
      <c r="K52" s="558"/>
      <c r="L52" s="558"/>
      <c r="M52" s="546"/>
      <c r="N52" s="496" t="s">
        <v>61</v>
      </c>
      <c r="O52" s="497">
        <v>20</v>
      </c>
      <c r="P52" s="526">
        <v>20</v>
      </c>
      <c r="Q52" s="557"/>
      <c r="R52" s="559">
        <v>0</v>
      </c>
      <c r="S52" s="557">
        <v>0</v>
      </c>
      <c r="T52" s="558"/>
      <c r="U52" s="530"/>
      <c r="V52" s="528"/>
      <c r="W52" s="548"/>
      <c r="X52" s="493">
        <v>-5</v>
      </c>
      <c r="Y52" s="493">
        <v>-5</v>
      </c>
      <c r="Z52" s="493"/>
      <c r="AA52" s="493">
        <v>0</v>
      </c>
      <c r="AB52" s="493">
        <v>0</v>
      </c>
      <c r="AC52" s="549"/>
      <c r="AD52" s="549"/>
    </row>
    <row r="53" spans="1:32" s="689" customFormat="1" ht="20.100000000000001" customHeight="1" x14ac:dyDescent="0.25">
      <c r="A53" s="78"/>
      <c r="B53" s="145"/>
      <c r="C53" s="117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476"/>
      <c r="S53" s="116"/>
      <c r="T53" s="116"/>
      <c r="U53" s="116"/>
      <c r="V53" s="149"/>
      <c r="W53" s="149"/>
      <c r="X53" s="149"/>
      <c r="Y53" s="149"/>
      <c r="Z53" s="149"/>
      <c r="AA53" s="151"/>
      <c r="AB53" s="68"/>
      <c r="AC53" s="92"/>
      <c r="AD53" s="92"/>
    </row>
    <row r="54" spans="1:32" s="550" customFormat="1" ht="20.100000000000001" customHeight="1" x14ac:dyDescent="0.25">
      <c r="A54" s="552"/>
      <c r="B54" s="553">
        <v>3258114</v>
      </c>
      <c r="C54" s="513" t="s">
        <v>68</v>
      </c>
      <c r="D54" s="514"/>
      <c r="E54" s="491">
        <v>104</v>
      </c>
      <c r="F54" s="525">
        <v>362.5</v>
      </c>
      <c r="G54" s="526">
        <v>43.5</v>
      </c>
      <c r="H54" s="526"/>
      <c r="I54" s="526">
        <v>319</v>
      </c>
      <c r="J54" s="526">
        <v>0</v>
      </c>
      <c r="K54" s="527"/>
      <c r="L54" s="530"/>
      <c r="M54" s="560"/>
      <c r="N54" s="496">
        <v>86</v>
      </c>
      <c r="O54" s="497">
        <v>294.33999999999997</v>
      </c>
      <c r="P54" s="526">
        <v>41.207600000000014</v>
      </c>
      <c r="Q54" s="526"/>
      <c r="R54" s="529">
        <v>253.13239999999999</v>
      </c>
      <c r="S54" s="526">
        <v>0</v>
      </c>
      <c r="T54" s="527"/>
      <c r="U54" s="530"/>
      <c r="V54" s="528"/>
      <c r="W54" s="548"/>
      <c r="X54" s="493">
        <v>-68.16</v>
      </c>
      <c r="Y54" s="493">
        <v>-2.292399999999986</v>
      </c>
      <c r="Z54" s="493"/>
      <c r="AA54" s="493">
        <v>-65.86760000000001</v>
      </c>
      <c r="AB54" s="493">
        <v>0</v>
      </c>
      <c r="AC54" s="549"/>
      <c r="AD54" s="549"/>
    </row>
    <row r="55" spans="1:32" s="550" customFormat="1" ht="20.100000000000001" customHeight="1" x14ac:dyDescent="0.25">
      <c r="A55" s="552"/>
      <c r="B55" s="551">
        <v>3258128</v>
      </c>
      <c r="C55" s="542" t="s">
        <v>69</v>
      </c>
      <c r="D55" s="514"/>
      <c r="E55" s="491" t="s">
        <v>61</v>
      </c>
      <c r="F55" s="525">
        <v>10</v>
      </c>
      <c r="G55" s="526">
        <v>10</v>
      </c>
      <c r="H55" s="557"/>
      <c r="I55" s="557">
        <v>0</v>
      </c>
      <c r="J55" s="557">
        <v>0</v>
      </c>
      <c r="K55" s="558"/>
      <c r="L55" s="561"/>
      <c r="M55" s="560"/>
      <c r="N55" s="496" t="s">
        <v>61</v>
      </c>
      <c r="O55" s="497">
        <v>5</v>
      </c>
      <c r="P55" s="526">
        <v>5</v>
      </c>
      <c r="Q55" s="557"/>
      <c r="R55" s="559">
        <v>0</v>
      </c>
      <c r="S55" s="557">
        <v>0</v>
      </c>
      <c r="T55" s="558"/>
      <c r="U55" s="530"/>
      <c r="V55" s="562"/>
      <c r="W55" s="548"/>
      <c r="X55" s="493">
        <v>-5</v>
      </c>
      <c r="Y55" s="493">
        <v>-5</v>
      </c>
      <c r="Z55" s="493"/>
      <c r="AA55" s="493">
        <v>0</v>
      </c>
      <c r="AB55" s="493">
        <v>0</v>
      </c>
      <c r="AC55" s="549"/>
      <c r="AD55" s="549"/>
    </row>
    <row r="56" spans="1:32" s="550" customFormat="1" ht="20.100000000000001" customHeight="1" x14ac:dyDescent="0.25">
      <c r="A56" s="552"/>
      <c r="B56" s="551">
        <v>3258107</v>
      </c>
      <c r="C56" s="513" t="s">
        <v>70</v>
      </c>
      <c r="D56" s="505"/>
      <c r="E56" s="556" t="s">
        <v>61</v>
      </c>
      <c r="F56" s="525">
        <v>25</v>
      </c>
      <c r="G56" s="526">
        <v>25</v>
      </c>
      <c r="H56" s="557"/>
      <c r="I56" s="557">
        <v>0</v>
      </c>
      <c r="J56" s="557">
        <v>0</v>
      </c>
      <c r="K56" s="558"/>
      <c r="L56" s="558"/>
      <c r="M56" s="546"/>
      <c r="N56" s="496" t="s">
        <v>61</v>
      </c>
      <c r="O56" s="497">
        <v>40</v>
      </c>
      <c r="P56" s="526">
        <v>40</v>
      </c>
      <c r="Q56" s="557"/>
      <c r="R56" s="559">
        <v>0</v>
      </c>
      <c r="S56" s="557">
        <v>0</v>
      </c>
      <c r="T56" s="558"/>
      <c r="U56" s="530"/>
      <c r="V56" s="562"/>
      <c r="W56" s="548"/>
      <c r="X56" s="493">
        <v>15</v>
      </c>
      <c r="Y56" s="493">
        <v>15</v>
      </c>
      <c r="Z56" s="493"/>
      <c r="AA56" s="493">
        <v>0</v>
      </c>
      <c r="AB56" s="493">
        <v>0</v>
      </c>
      <c r="AC56" s="549"/>
      <c r="AD56" s="549"/>
    </row>
    <row r="57" spans="1:32" s="689" customFormat="1" ht="20.100000000000001" customHeight="1" x14ac:dyDescent="0.25">
      <c r="A57" s="737" t="s">
        <v>71</v>
      </c>
      <c r="B57" s="738"/>
      <c r="C57" s="739"/>
      <c r="D57" s="114"/>
      <c r="E57" s="114"/>
      <c r="F57" s="724">
        <f>SUM(F12:F56)</f>
        <v>18774.14</v>
      </c>
      <c r="G57" s="724">
        <f>SUM(G12:G56)</f>
        <v>6572.18</v>
      </c>
      <c r="H57" s="112"/>
      <c r="I57" s="724">
        <f>SUM(I12:I56)</f>
        <v>4300.5599999999995</v>
      </c>
      <c r="J57" s="724">
        <f>SUM(J12:J56)</f>
        <v>7901.4</v>
      </c>
      <c r="K57" s="113"/>
      <c r="L57" s="113" t="s">
        <v>72</v>
      </c>
      <c r="M57" s="733"/>
      <c r="N57" s="724"/>
      <c r="O57" s="724">
        <f>SUM(O12:O56)</f>
        <v>19382.61</v>
      </c>
      <c r="P57" s="724">
        <f>SUM(P12:P56)</f>
        <v>6828.0775999999996</v>
      </c>
      <c r="Q57" s="112"/>
      <c r="R57" s="724">
        <f>SUM(R12:R56)</f>
        <v>4653.1324000000004</v>
      </c>
      <c r="S57" s="724">
        <f>SUM(S12:S56)</f>
        <v>7901.4</v>
      </c>
      <c r="T57" s="113"/>
      <c r="U57" s="111"/>
      <c r="V57" s="110"/>
      <c r="W57" s="157"/>
      <c r="X57" s="724">
        <f>SUM(X12:X56)</f>
        <v>608.4699999999998</v>
      </c>
      <c r="Y57" s="724">
        <f>SUM(Y12:Y56)</f>
        <v>255.89760000000001</v>
      </c>
      <c r="Z57" s="112"/>
      <c r="AA57" s="724">
        <f>SUM(AA12:AA56)</f>
        <v>352.5723999999999</v>
      </c>
      <c r="AB57" s="724">
        <f>SUM(AB12:AB56)</f>
        <v>0</v>
      </c>
      <c r="AC57" s="109"/>
      <c r="AD57" s="109"/>
      <c r="AF57" s="10"/>
    </row>
    <row r="58" spans="1:32" s="689" customFormat="1" ht="6" customHeight="1" x14ac:dyDescent="0.25">
      <c r="A58" s="712"/>
      <c r="B58" s="707"/>
      <c r="C58" s="708"/>
      <c r="D58" s="108"/>
      <c r="E58" s="108"/>
      <c r="F58" s="702"/>
      <c r="G58" s="702"/>
      <c r="H58" s="49"/>
      <c r="I58" s="702"/>
      <c r="J58" s="702"/>
      <c r="K58" s="107"/>
      <c r="L58" s="107"/>
      <c r="M58" s="729"/>
      <c r="N58" s="702"/>
      <c r="O58" s="702"/>
      <c r="P58" s="702"/>
      <c r="Q58" s="49"/>
      <c r="R58" s="702"/>
      <c r="S58" s="702"/>
      <c r="T58" s="107"/>
      <c r="U58" s="48"/>
      <c r="V58" s="50"/>
      <c r="W58" s="156"/>
      <c r="X58" s="702"/>
      <c r="Y58" s="702"/>
      <c r="Z58" s="49"/>
      <c r="AA58" s="702"/>
      <c r="AB58" s="702"/>
      <c r="AC58" s="106"/>
      <c r="AD58" s="106"/>
    </row>
    <row r="59" spans="1:32" s="689" customFormat="1" ht="16.5" customHeight="1" x14ac:dyDescent="0.25">
      <c r="A59" s="723" t="s">
        <v>2</v>
      </c>
      <c r="B59" s="723" t="s">
        <v>3</v>
      </c>
      <c r="C59" s="701" t="s">
        <v>4</v>
      </c>
      <c r="D59" s="730" t="s">
        <v>5</v>
      </c>
      <c r="E59" s="717"/>
      <c r="F59" s="717"/>
      <c r="G59" s="717"/>
      <c r="H59" s="717"/>
      <c r="I59" s="717"/>
      <c r="J59" s="717"/>
      <c r="K59" s="717"/>
      <c r="L59" s="731"/>
      <c r="M59" s="732" t="s">
        <v>6</v>
      </c>
      <c r="N59" s="717"/>
      <c r="O59" s="717"/>
      <c r="P59" s="717"/>
      <c r="Q59" s="717"/>
      <c r="R59" s="717"/>
      <c r="S59" s="717"/>
      <c r="T59" s="717"/>
      <c r="U59" s="731"/>
      <c r="V59" s="725" t="s">
        <v>7</v>
      </c>
      <c r="W59" s="717"/>
      <c r="X59" s="717"/>
      <c r="Y59" s="717"/>
      <c r="Z59" s="717"/>
      <c r="AA59" s="717"/>
      <c r="AB59" s="717"/>
      <c r="AC59" s="717"/>
      <c r="AD59" s="703"/>
    </row>
    <row r="60" spans="1:32" s="689" customFormat="1" ht="15" customHeight="1" x14ac:dyDescent="0.25">
      <c r="A60" s="705"/>
      <c r="B60" s="705"/>
      <c r="C60" s="705"/>
      <c r="D60" s="726" t="s">
        <v>8</v>
      </c>
      <c r="E60" s="726" t="s">
        <v>9</v>
      </c>
      <c r="F60" s="726" t="s">
        <v>10</v>
      </c>
      <c r="G60" s="717"/>
      <c r="H60" s="717"/>
      <c r="I60" s="717"/>
      <c r="J60" s="717"/>
      <c r="K60" s="717"/>
      <c r="L60" s="703"/>
      <c r="M60" s="727" t="s">
        <v>8</v>
      </c>
      <c r="N60" s="726" t="s">
        <v>9</v>
      </c>
      <c r="O60" s="726" t="s">
        <v>10</v>
      </c>
      <c r="P60" s="717"/>
      <c r="Q60" s="717"/>
      <c r="R60" s="717"/>
      <c r="S60" s="717"/>
      <c r="T60" s="717"/>
      <c r="U60" s="703"/>
      <c r="V60" s="727" t="s">
        <v>8</v>
      </c>
      <c r="W60" s="726" t="s">
        <v>9</v>
      </c>
      <c r="X60" s="726" t="s">
        <v>10</v>
      </c>
      <c r="Y60" s="717"/>
      <c r="Z60" s="717"/>
      <c r="AA60" s="717"/>
      <c r="AB60" s="717"/>
      <c r="AC60" s="717"/>
      <c r="AD60" s="703"/>
    </row>
    <row r="61" spans="1:32" s="689" customFormat="1" ht="15" customHeight="1" x14ac:dyDescent="0.25">
      <c r="A61" s="705"/>
      <c r="B61" s="705"/>
      <c r="C61" s="705"/>
      <c r="D61" s="705"/>
      <c r="E61" s="705"/>
      <c r="F61" s="701" t="s">
        <v>11</v>
      </c>
      <c r="G61" s="704" t="s">
        <v>12</v>
      </c>
      <c r="H61" s="706" t="s">
        <v>13</v>
      </c>
      <c r="I61" s="707"/>
      <c r="J61" s="708"/>
      <c r="K61" s="709" t="s">
        <v>14</v>
      </c>
      <c r="L61" s="734" t="s">
        <v>15</v>
      </c>
      <c r="M61" s="728"/>
      <c r="N61" s="705"/>
      <c r="O61" s="701" t="s">
        <v>11</v>
      </c>
      <c r="P61" s="704" t="s">
        <v>12</v>
      </c>
      <c r="Q61" s="706" t="s">
        <v>13</v>
      </c>
      <c r="R61" s="707"/>
      <c r="S61" s="708"/>
      <c r="T61" s="709" t="s">
        <v>14</v>
      </c>
      <c r="U61" s="710" t="s">
        <v>15</v>
      </c>
      <c r="V61" s="728"/>
      <c r="W61" s="705"/>
      <c r="X61" s="701" t="s">
        <v>11</v>
      </c>
      <c r="Y61" s="704" t="s">
        <v>12</v>
      </c>
      <c r="Z61" s="706" t="s">
        <v>13</v>
      </c>
      <c r="AA61" s="707"/>
      <c r="AB61" s="708"/>
      <c r="AC61" s="709" t="s">
        <v>14</v>
      </c>
      <c r="AD61" s="709" t="s">
        <v>15</v>
      </c>
    </row>
    <row r="62" spans="1:32" s="689" customFormat="1" ht="15.75" customHeight="1" x14ac:dyDescent="0.25">
      <c r="A62" s="705"/>
      <c r="B62" s="705"/>
      <c r="C62" s="705"/>
      <c r="D62" s="705"/>
      <c r="E62" s="705"/>
      <c r="F62" s="705"/>
      <c r="G62" s="705"/>
      <c r="H62" s="701" t="s">
        <v>16</v>
      </c>
      <c r="I62" s="703"/>
      <c r="J62" s="701" t="s">
        <v>17</v>
      </c>
      <c r="K62" s="705"/>
      <c r="L62" s="735"/>
      <c r="M62" s="728"/>
      <c r="N62" s="705"/>
      <c r="O62" s="705"/>
      <c r="P62" s="705"/>
      <c r="Q62" s="701" t="s">
        <v>16</v>
      </c>
      <c r="R62" s="703"/>
      <c r="S62" s="701" t="s">
        <v>17</v>
      </c>
      <c r="T62" s="705"/>
      <c r="U62" s="711"/>
      <c r="V62" s="728"/>
      <c r="W62" s="705"/>
      <c r="X62" s="705"/>
      <c r="Y62" s="705"/>
      <c r="Z62" s="701" t="s">
        <v>16</v>
      </c>
      <c r="AA62" s="703"/>
      <c r="AB62" s="701" t="s">
        <v>17</v>
      </c>
      <c r="AC62" s="705"/>
      <c r="AD62" s="705"/>
    </row>
    <row r="63" spans="1:32" s="689" customFormat="1" ht="39" customHeight="1" x14ac:dyDescent="0.25">
      <c r="A63" s="702"/>
      <c r="B63" s="702"/>
      <c r="C63" s="702"/>
      <c r="D63" s="702"/>
      <c r="E63" s="702"/>
      <c r="F63" s="702"/>
      <c r="G63" s="702"/>
      <c r="H63" s="669" t="s">
        <v>18</v>
      </c>
      <c r="I63" s="669" t="s">
        <v>19</v>
      </c>
      <c r="J63" s="702"/>
      <c r="K63" s="702"/>
      <c r="L63" s="736"/>
      <c r="M63" s="729"/>
      <c r="N63" s="702"/>
      <c r="O63" s="702"/>
      <c r="P63" s="702"/>
      <c r="Q63" s="669" t="s">
        <v>18</v>
      </c>
      <c r="R63" s="669" t="s">
        <v>19</v>
      </c>
      <c r="S63" s="702"/>
      <c r="T63" s="702"/>
      <c r="U63" s="712"/>
      <c r="V63" s="729"/>
      <c r="W63" s="702"/>
      <c r="X63" s="702"/>
      <c r="Y63" s="702"/>
      <c r="Z63" s="669" t="s">
        <v>18</v>
      </c>
      <c r="AA63" s="669" t="s">
        <v>19</v>
      </c>
      <c r="AB63" s="702"/>
      <c r="AC63" s="702"/>
      <c r="AD63" s="702"/>
    </row>
    <row r="64" spans="1:32" s="101" customFormat="1" ht="16.5" customHeight="1" x14ac:dyDescent="0.25">
      <c r="A64" s="102">
        <v>1</v>
      </c>
      <c r="B64" s="102">
        <v>2</v>
      </c>
      <c r="C64" s="102">
        <v>3</v>
      </c>
      <c r="D64" s="102">
        <v>4</v>
      </c>
      <c r="E64" s="102">
        <v>5</v>
      </c>
      <c r="F64" s="105">
        <v>6</v>
      </c>
      <c r="G64" s="105">
        <v>7</v>
      </c>
      <c r="H64" s="105">
        <v>8</v>
      </c>
      <c r="I64" s="102">
        <v>9</v>
      </c>
      <c r="J64" s="102">
        <v>10</v>
      </c>
      <c r="K64" s="102">
        <v>11</v>
      </c>
      <c r="L64" s="104">
        <v>12</v>
      </c>
      <c r="M64" s="103">
        <v>13</v>
      </c>
      <c r="N64" s="102">
        <v>14</v>
      </c>
      <c r="O64" s="102">
        <v>15</v>
      </c>
      <c r="P64" s="102">
        <v>16</v>
      </c>
      <c r="Q64" s="102">
        <v>17</v>
      </c>
      <c r="R64" s="102">
        <v>18</v>
      </c>
      <c r="S64" s="102">
        <v>19</v>
      </c>
      <c r="T64" s="102">
        <v>20</v>
      </c>
      <c r="U64" s="102">
        <v>21</v>
      </c>
      <c r="V64" s="102">
        <v>22</v>
      </c>
      <c r="W64" s="102">
        <v>23</v>
      </c>
      <c r="X64" s="102">
        <v>24</v>
      </c>
      <c r="Y64" s="102">
        <v>25</v>
      </c>
      <c r="Z64" s="102">
        <v>26</v>
      </c>
      <c r="AA64" s="102">
        <v>27</v>
      </c>
      <c r="AB64" s="102">
        <v>28</v>
      </c>
      <c r="AC64" s="102">
        <v>29</v>
      </c>
      <c r="AD64" s="102">
        <v>30</v>
      </c>
    </row>
    <row r="65" spans="1:31" s="689" customFormat="1" ht="20.100000000000001" customHeight="1" x14ac:dyDescent="0.25">
      <c r="A65" s="41" t="s">
        <v>73</v>
      </c>
      <c r="B65" s="40"/>
      <c r="C65" s="40"/>
      <c r="D65" s="10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81"/>
      <c r="AC65" s="81"/>
      <c r="AD65" s="80"/>
    </row>
    <row r="66" spans="1:31" s="689" customFormat="1" ht="20.100000000000001" customHeight="1" x14ac:dyDescent="0.25">
      <c r="A66" s="78"/>
      <c r="B66" s="722" t="s">
        <v>74</v>
      </c>
      <c r="C66" s="717"/>
      <c r="D66" s="717"/>
      <c r="E66" s="717"/>
      <c r="F66" s="717"/>
      <c r="G66" s="717"/>
      <c r="H66" s="717"/>
      <c r="I66" s="717"/>
      <c r="J66" s="717"/>
      <c r="K66" s="717"/>
      <c r="L66" s="717"/>
      <c r="M66" s="717"/>
      <c r="N66" s="717"/>
      <c r="O66" s="717"/>
      <c r="P66" s="717"/>
      <c r="Q66" s="717"/>
      <c r="R66" s="717"/>
      <c r="S66" s="717"/>
      <c r="T66" s="717"/>
      <c r="U66" s="717"/>
      <c r="V66" s="717"/>
      <c r="W66" s="717"/>
      <c r="X66" s="717"/>
      <c r="Y66" s="717"/>
      <c r="Z66" s="717"/>
      <c r="AA66" s="703"/>
      <c r="AB66" s="81"/>
      <c r="AC66" s="81"/>
      <c r="AD66" s="80"/>
    </row>
    <row r="67" spans="1:31" s="689" customFormat="1" ht="20.100000000000001" customHeight="1" x14ac:dyDescent="0.25">
      <c r="A67" s="78"/>
      <c r="B67" s="145"/>
      <c r="C67" s="716" t="s">
        <v>75</v>
      </c>
      <c r="D67" s="717"/>
      <c r="E67" s="717"/>
      <c r="F67" s="717"/>
      <c r="G67" s="717"/>
      <c r="H67" s="717"/>
      <c r="I67" s="717"/>
      <c r="J67" s="717"/>
      <c r="K67" s="717"/>
      <c r="L67" s="717"/>
      <c r="M67" s="717"/>
      <c r="N67" s="717"/>
      <c r="O67" s="717"/>
      <c r="P67" s="717"/>
      <c r="Q67" s="717"/>
      <c r="R67" s="717"/>
      <c r="S67" s="717"/>
      <c r="T67" s="717"/>
      <c r="U67" s="717"/>
      <c r="V67" s="717"/>
      <c r="W67" s="717"/>
      <c r="X67" s="717"/>
      <c r="Y67" s="717"/>
      <c r="Z67" s="717"/>
      <c r="AA67" s="703"/>
      <c r="AB67" s="81"/>
      <c r="AC67" s="81"/>
      <c r="AD67" s="80"/>
    </row>
    <row r="68" spans="1:31" s="86" customFormat="1" ht="47.25" customHeight="1" x14ac:dyDescent="0.25">
      <c r="A68" s="78"/>
      <c r="B68" s="145">
        <v>4112101</v>
      </c>
      <c r="C68" s="96" t="s">
        <v>76</v>
      </c>
      <c r="D68" s="152" t="s">
        <v>77</v>
      </c>
      <c r="E68" s="427">
        <v>10</v>
      </c>
      <c r="F68" s="120">
        <v>702.5</v>
      </c>
      <c r="G68" s="88">
        <v>702.5</v>
      </c>
      <c r="H68" s="98"/>
      <c r="I68" s="98">
        <v>0</v>
      </c>
      <c r="J68" s="98">
        <v>0</v>
      </c>
      <c r="K68" s="99"/>
      <c r="L68" s="89"/>
      <c r="M68" s="152" t="s">
        <v>77</v>
      </c>
      <c r="N68" s="120">
        <v>10</v>
      </c>
      <c r="O68" s="497">
        <v>702.5</v>
      </c>
      <c r="P68" s="98">
        <v>702.5</v>
      </c>
      <c r="Q68" s="98"/>
      <c r="R68" s="98">
        <v>0</v>
      </c>
      <c r="S68" s="98">
        <v>0</v>
      </c>
      <c r="T68" s="99"/>
      <c r="U68" s="89"/>
      <c r="V68" s="124" t="s">
        <v>77</v>
      </c>
      <c r="W68" s="145"/>
      <c r="X68" s="120">
        <v>0</v>
      </c>
      <c r="Y68" s="120">
        <v>0</v>
      </c>
      <c r="Z68" s="120"/>
      <c r="AA68" s="120">
        <v>0</v>
      </c>
      <c r="AB68" s="120">
        <v>0</v>
      </c>
      <c r="AC68" s="87"/>
      <c r="AD68" s="87"/>
    </row>
    <row r="69" spans="1:31" s="502" customFormat="1" ht="34.5" customHeight="1" x14ac:dyDescent="0.25">
      <c r="A69" s="552"/>
      <c r="B69" s="500">
        <v>4112101</v>
      </c>
      <c r="C69" s="511" t="s">
        <v>78</v>
      </c>
      <c r="D69" s="563" t="s">
        <v>77</v>
      </c>
      <c r="E69" s="503">
        <v>35</v>
      </c>
      <c r="F69" s="496">
        <v>68.25</v>
      </c>
      <c r="G69" s="493">
        <v>68.25</v>
      </c>
      <c r="H69" s="493"/>
      <c r="I69" s="493">
        <v>0</v>
      </c>
      <c r="J69" s="493">
        <v>0</v>
      </c>
      <c r="K69" s="494"/>
      <c r="L69" s="498"/>
      <c r="M69" s="563" t="s">
        <v>77</v>
      </c>
      <c r="N69" s="564">
        <v>45</v>
      </c>
      <c r="O69" s="497">
        <v>68.25</v>
      </c>
      <c r="P69" s="493">
        <v>68.25</v>
      </c>
      <c r="Q69" s="493"/>
      <c r="R69" s="493">
        <v>0</v>
      </c>
      <c r="S69" s="493">
        <v>0</v>
      </c>
      <c r="T69" s="494"/>
      <c r="U69" s="498"/>
      <c r="V69" s="499" t="s">
        <v>77</v>
      </c>
      <c r="W69" s="500"/>
      <c r="X69" s="496">
        <v>0</v>
      </c>
      <c r="Y69" s="496">
        <v>0</v>
      </c>
      <c r="Z69" s="496"/>
      <c r="AA69" s="496">
        <v>0</v>
      </c>
      <c r="AB69" s="496">
        <v>0</v>
      </c>
      <c r="AC69" s="501"/>
      <c r="AD69" s="501"/>
      <c r="AE69" s="565"/>
    </row>
    <row r="70" spans="1:31" s="689" customFormat="1" ht="20.100000000000001" customHeight="1" x14ac:dyDescent="0.25">
      <c r="A70" s="78"/>
      <c r="B70" s="126"/>
      <c r="C70" s="720" t="s">
        <v>79</v>
      </c>
      <c r="D70" s="717"/>
      <c r="E70" s="717"/>
      <c r="F70" s="717"/>
      <c r="G70" s="717"/>
      <c r="H70" s="717"/>
      <c r="I70" s="717"/>
      <c r="J70" s="717"/>
      <c r="K70" s="717"/>
      <c r="L70" s="717"/>
      <c r="M70" s="717"/>
      <c r="N70" s="717"/>
      <c r="O70" s="717"/>
      <c r="P70" s="717"/>
      <c r="Q70" s="717"/>
      <c r="R70" s="717"/>
      <c r="S70" s="717"/>
      <c r="T70" s="717"/>
      <c r="U70" s="717"/>
      <c r="V70" s="717"/>
      <c r="W70" s="717"/>
      <c r="X70" s="717"/>
      <c r="Y70" s="717"/>
      <c r="Z70" s="717"/>
      <c r="AA70" s="703"/>
      <c r="AB70" s="81"/>
      <c r="AC70" s="81"/>
      <c r="AD70" s="80"/>
    </row>
    <row r="71" spans="1:31" s="550" customFormat="1" ht="20.100000000000001" customHeight="1" x14ac:dyDescent="0.25">
      <c r="A71" s="552"/>
      <c r="B71" s="500">
        <v>4112102</v>
      </c>
      <c r="C71" s="566" t="s">
        <v>80</v>
      </c>
      <c r="D71" s="563" t="s">
        <v>77</v>
      </c>
      <c r="E71" s="503">
        <v>6</v>
      </c>
      <c r="F71" s="529">
        <v>100</v>
      </c>
      <c r="G71" s="526">
        <v>100</v>
      </c>
      <c r="H71" s="526"/>
      <c r="I71" s="526">
        <v>0</v>
      </c>
      <c r="J71" s="526">
        <v>0</v>
      </c>
      <c r="K71" s="527"/>
      <c r="L71" s="530"/>
      <c r="M71" s="563" t="s">
        <v>77</v>
      </c>
      <c r="N71" s="564">
        <v>5</v>
      </c>
      <c r="O71" s="497">
        <v>90</v>
      </c>
      <c r="P71" s="526">
        <v>90</v>
      </c>
      <c r="Q71" s="526"/>
      <c r="R71" s="526">
        <v>0</v>
      </c>
      <c r="S71" s="526">
        <v>0</v>
      </c>
      <c r="T71" s="527"/>
      <c r="U71" s="530"/>
      <c r="V71" s="528" t="s">
        <v>77</v>
      </c>
      <c r="W71" s="500"/>
      <c r="X71" s="493">
        <v>-10</v>
      </c>
      <c r="Y71" s="493">
        <v>-10</v>
      </c>
      <c r="Z71" s="493"/>
      <c r="AA71" s="493">
        <v>0</v>
      </c>
      <c r="AB71" s="493">
        <v>0</v>
      </c>
      <c r="AC71" s="549"/>
      <c r="AD71" s="549"/>
    </row>
    <row r="72" spans="1:31" s="689" customFormat="1" ht="20.100000000000001" customHeight="1" x14ac:dyDescent="0.25">
      <c r="A72" s="78"/>
      <c r="B72" s="126"/>
      <c r="C72" s="720"/>
      <c r="D72" s="717"/>
      <c r="E72" s="717"/>
      <c r="F72" s="717"/>
      <c r="G72" s="717"/>
      <c r="H72" s="717"/>
      <c r="I72" s="717"/>
      <c r="J72" s="717"/>
      <c r="K72" s="717"/>
      <c r="L72" s="717"/>
      <c r="M72" s="717"/>
      <c r="N72" s="717"/>
      <c r="O72" s="717"/>
      <c r="P72" s="717"/>
      <c r="Q72" s="717"/>
      <c r="R72" s="717"/>
      <c r="S72" s="717"/>
      <c r="T72" s="717"/>
      <c r="U72" s="717"/>
      <c r="V72" s="717"/>
      <c r="W72" s="717"/>
      <c r="X72" s="717"/>
      <c r="Y72" s="717"/>
      <c r="Z72" s="717"/>
      <c r="AA72" s="703"/>
      <c r="AB72" s="92"/>
      <c r="AC72" s="92"/>
      <c r="AD72" s="92"/>
    </row>
    <row r="73" spans="1:31" s="86" customFormat="1" ht="35.25" customHeight="1" x14ac:dyDescent="0.25">
      <c r="A73" s="78"/>
      <c r="B73" s="126">
        <v>4112316</v>
      </c>
      <c r="C73" s="96" t="s">
        <v>81</v>
      </c>
      <c r="D73" s="152" t="s">
        <v>77</v>
      </c>
      <c r="E73" s="427">
        <v>7</v>
      </c>
      <c r="F73" s="120">
        <v>8.9700000000000006</v>
      </c>
      <c r="G73" s="88">
        <v>8.9700000000000006</v>
      </c>
      <c r="H73" s="88"/>
      <c r="I73" s="88">
        <v>0</v>
      </c>
      <c r="J73" s="88">
        <v>0</v>
      </c>
      <c r="K73" s="90"/>
      <c r="L73" s="89"/>
      <c r="M73" s="152" t="s">
        <v>77</v>
      </c>
      <c r="N73" s="429">
        <v>7</v>
      </c>
      <c r="O73" s="497">
        <v>8.9700000000000006</v>
      </c>
      <c r="P73" s="88">
        <v>8.9700000000000006</v>
      </c>
      <c r="Q73" s="88"/>
      <c r="R73" s="88">
        <v>0</v>
      </c>
      <c r="S73" s="88">
        <v>0</v>
      </c>
      <c r="T73" s="90"/>
      <c r="U73" s="89"/>
      <c r="V73" s="124" t="s">
        <v>77</v>
      </c>
      <c r="W73" s="145"/>
      <c r="X73" s="88">
        <v>0</v>
      </c>
      <c r="Y73" s="88">
        <v>0</v>
      </c>
      <c r="Z73" s="88"/>
      <c r="AA73" s="88">
        <v>0</v>
      </c>
      <c r="AB73" s="88">
        <v>0</v>
      </c>
      <c r="AC73" s="87"/>
      <c r="AD73" s="87"/>
    </row>
    <row r="74" spans="1:31" s="502" customFormat="1" ht="36" customHeight="1" x14ac:dyDescent="0.25">
      <c r="A74" s="552"/>
      <c r="B74" s="489">
        <v>4112316</v>
      </c>
      <c r="C74" s="511" t="s">
        <v>82</v>
      </c>
      <c r="D74" s="563" t="s">
        <v>77</v>
      </c>
      <c r="E74" s="503">
        <v>7</v>
      </c>
      <c r="F74" s="496">
        <v>5</v>
      </c>
      <c r="G74" s="493">
        <v>5</v>
      </c>
      <c r="H74" s="493"/>
      <c r="I74" s="493">
        <v>0</v>
      </c>
      <c r="J74" s="493">
        <v>0</v>
      </c>
      <c r="K74" s="494"/>
      <c r="L74" s="498"/>
      <c r="M74" s="563" t="s">
        <v>77</v>
      </c>
      <c r="N74" s="564">
        <v>2</v>
      </c>
      <c r="O74" s="497">
        <v>1</v>
      </c>
      <c r="P74" s="493">
        <v>1</v>
      </c>
      <c r="Q74" s="493"/>
      <c r="R74" s="493">
        <v>0</v>
      </c>
      <c r="S74" s="493">
        <v>0</v>
      </c>
      <c r="T74" s="494"/>
      <c r="U74" s="498"/>
      <c r="V74" s="499" t="s">
        <v>77</v>
      </c>
      <c r="W74" s="500"/>
      <c r="X74" s="493">
        <v>-4</v>
      </c>
      <c r="Y74" s="493">
        <v>-4</v>
      </c>
      <c r="Z74" s="493"/>
      <c r="AA74" s="493">
        <v>0</v>
      </c>
      <c r="AB74" s="493">
        <v>0</v>
      </c>
      <c r="AC74" s="501"/>
      <c r="AD74" s="501"/>
    </row>
    <row r="75" spans="1:31" s="689" customFormat="1" ht="20.100000000000001" customHeight="1" x14ac:dyDescent="0.25">
      <c r="A75" s="78"/>
      <c r="B75" s="126"/>
      <c r="C75" s="721" t="s">
        <v>67</v>
      </c>
      <c r="D75" s="717"/>
      <c r="E75" s="717"/>
      <c r="F75" s="717"/>
      <c r="G75" s="717"/>
      <c r="H75" s="717"/>
      <c r="I75" s="717"/>
      <c r="J75" s="717"/>
      <c r="K75" s="717"/>
      <c r="L75" s="717"/>
      <c r="M75" s="717"/>
      <c r="N75" s="717"/>
      <c r="O75" s="717"/>
      <c r="P75" s="717"/>
      <c r="Q75" s="717"/>
      <c r="R75" s="717"/>
      <c r="S75" s="717"/>
      <c r="T75" s="717"/>
      <c r="U75" s="717"/>
      <c r="V75" s="717"/>
      <c r="W75" s="717"/>
      <c r="X75" s="717"/>
      <c r="Y75" s="717"/>
      <c r="Z75" s="717"/>
      <c r="AA75" s="703"/>
      <c r="AB75" s="81"/>
      <c r="AC75" s="81"/>
      <c r="AD75" s="80"/>
    </row>
    <row r="76" spans="1:31" s="502" customFormat="1" ht="35.25" customHeight="1" x14ac:dyDescent="0.25">
      <c r="A76" s="552"/>
      <c r="B76" s="489">
        <v>4112304</v>
      </c>
      <c r="C76" s="511" t="s">
        <v>83</v>
      </c>
      <c r="D76" s="563" t="s">
        <v>77</v>
      </c>
      <c r="E76" s="503">
        <v>17</v>
      </c>
      <c r="F76" s="496">
        <v>20.5</v>
      </c>
      <c r="G76" s="493">
        <v>20.5</v>
      </c>
      <c r="H76" s="493"/>
      <c r="I76" s="493">
        <v>0</v>
      </c>
      <c r="J76" s="493">
        <v>0</v>
      </c>
      <c r="K76" s="494"/>
      <c r="L76" s="498"/>
      <c r="M76" s="563" t="s">
        <v>77</v>
      </c>
      <c r="N76" s="564">
        <v>17</v>
      </c>
      <c r="O76" s="497">
        <v>20.5</v>
      </c>
      <c r="P76" s="493">
        <v>20.5</v>
      </c>
      <c r="Q76" s="493"/>
      <c r="R76" s="493">
        <v>0</v>
      </c>
      <c r="S76" s="493">
        <v>0</v>
      </c>
      <c r="T76" s="494"/>
      <c r="U76" s="498"/>
      <c r="V76" s="499" t="s">
        <v>77</v>
      </c>
      <c r="W76" s="500"/>
      <c r="X76" s="493">
        <v>0</v>
      </c>
      <c r="Y76" s="493">
        <v>0</v>
      </c>
      <c r="Z76" s="493"/>
      <c r="AA76" s="493">
        <v>0</v>
      </c>
      <c r="AB76" s="493">
        <v>0</v>
      </c>
      <c r="AC76" s="501"/>
      <c r="AD76" s="501"/>
    </row>
    <row r="77" spans="1:31" s="502" customFormat="1" ht="35.25" customHeight="1" x14ac:dyDescent="0.25">
      <c r="A77" s="552"/>
      <c r="B77" s="489">
        <v>4112304</v>
      </c>
      <c r="C77" s="511" t="s">
        <v>84</v>
      </c>
      <c r="D77" s="563" t="s">
        <v>77</v>
      </c>
      <c r="E77" s="503">
        <v>6</v>
      </c>
      <c r="F77" s="564">
        <v>6</v>
      </c>
      <c r="G77" s="493">
        <v>6</v>
      </c>
      <c r="H77" s="493"/>
      <c r="I77" s="493">
        <v>0</v>
      </c>
      <c r="J77" s="493">
        <v>0</v>
      </c>
      <c r="K77" s="494"/>
      <c r="L77" s="498"/>
      <c r="M77" s="563" t="s">
        <v>77</v>
      </c>
      <c r="N77" s="564">
        <v>3</v>
      </c>
      <c r="O77" s="497">
        <v>3</v>
      </c>
      <c r="P77" s="493">
        <v>3</v>
      </c>
      <c r="Q77" s="493"/>
      <c r="R77" s="493">
        <v>0</v>
      </c>
      <c r="S77" s="493">
        <v>0</v>
      </c>
      <c r="T77" s="494"/>
      <c r="U77" s="498"/>
      <c r="V77" s="499" t="s">
        <v>77</v>
      </c>
      <c r="W77" s="500"/>
      <c r="X77" s="493">
        <v>-3</v>
      </c>
      <c r="Y77" s="493">
        <v>-3</v>
      </c>
      <c r="Z77" s="493"/>
      <c r="AA77" s="493">
        <v>0</v>
      </c>
      <c r="AB77" s="493">
        <v>0</v>
      </c>
      <c r="AC77" s="501"/>
      <c r="AD77" s="501"/>
    </row>
    <row r="78" spans="1:31" s="86" customFormat="1" ht="18" customHeight="1" x14ac:dyDescent="0.25">
      <c r="A78" s="78"/>
      <c r="B78" s="126">
        <v>4112304</v>
      </c>
      <c r="C78" s="96" t="s">
        <v>85</v>
      </c>
      <c r="D78" s="152"/>
      <c r="E78" s="427" t="s">
        <v>86</v>
      </c>
      <c r="F78" s="120">
        <v>50</v>
      </c>
      <c r="G78" s="88">
        <v>50</v>
      </c>
      <c r="H78" s="88"/>
      <c r="I78" s="88">
        <v>0</v>
      </c>
      <c r="J78" s="88">
        <v>0</v>
      </c>
      <c r="K78" s="90"/>
      <c r="L78" s="89"/>
      <c r="M78" s="152"/>
      <c r="N78" s="120" t="s">
        <v>86</v>
      </c>
      <c r="O78" s="497">
        <v>50</v>
      </c>
      <c r="P78" s="88">
        <v>50</v>
      </c>
      <c r="Q78" s="88"/>
      <c r="R78" s="88">
        <v>0</v>
      </c>
      <c r="S78" s="88">
        <v>0</v>
      </c>
      <c r="T78" s="90"/>
      <c r="U78" s="89"/>
      <c r="V78" s="124"/>
      <c r="W78" s="145"/>
      <c r="X78" s="88">
        <v>0</v>
      </c>
      <c r="Y78" s="88">
        <v>0</v>
      </c>
      <c r="Z78" s="88"/>
      <c r="AA78" s="88">
        <v>0</v>
      </c>
      <c r="AB78" s="88">
        <v>0</v>
      </c>
      <c r="AC78" s="87"/>
      <c r="AD78" s="87"/>
    </row>
    <row r="79" spans="1:31" s="689" customFormat="1" ht="20.100000000000001" customHeight="1" x14ac:dyDescent="0.25">
      <c r="A79" s="78"/>
      <c r="B79" s="126"/>
      <c r="C79" s="716" t="s">
        <v>87</v>
      </c>
      <c r="D79" s="717"/>
      <c r="E79" s="717"/>
      <c r="F79" s="717"/>
      <c r="G79" s="717"/>
      <c r="H79" s="717"/>
      <c r="I79" s="717"/>
      <c r="J79" s="717"/>
      <c r="K79" s="717"/>
      <c r="L79" s="717"/>
      <c r="M79" s="717"/>
      <c r="N79" s="717"/>
      <c r="O79" s="717"/>
      <c r="P79" s="717"/>
      <c r="Q79" s="717"/>
      <c r="R79" s="717"/>
      <c r="S79" s="717"/>
      <c r="T79" s="717"/>
      <c r="U79" s="717"/>
      <c r="V79" s="717"/>
      <c r="W79" s="717"/>
      <c r="X79" s="717"/>
      <c r="Y79" s="717"/>
      <c r="Z79" s="717"/>
      <c r="AA79" s="703"/>
      <c r="AB79" s="81"/>
      <c r="AC79" s="81"/>
      <c r="AD79" s="80"/>
    </row>
    <row r="80" spans="1:31" s="502" customFormat="1" ht="67.5" customHeight="1" x14ac:dyDescent="0.25">
      <c r="A80" s="552"/>
      <c r="B80" s="489">
        <v>4112202</v>
      </c>
      <c r="C80" s="511" t="s">
        <v>88</v>
      </c>
      <c r="D80" s="563" t="s">
        <v>77</v>
      </c>
      <c r="E80" s="503">
        <v>30</v>
      </c>
      <c r="F80" s="496">
        <v>19.5</v>
      </c>
      <c r="G80" s="493">
        <v>19.5</v>
      </c>
      <c r="H80" s="493"/>
      <c r="I80" s="493">
        <v>0</v>
      </c>
      <c r="J80" s="493">
        <v>0</v>
      </c>
      <c r="K80" s="494"/>
      <c r="L80" s="498"/>
      <c r="M80" s="563" t="s">
        <v>77</v>
      </c>
      <c r="N80" s="564">
        <v>37</v>
      </c>
      <c r="O80" s="497">
        <v>24.5</v>
      </c>
      <c r="P80" s="493">
        <v>24.5</v>
      </c>
      <c r="Q80" s="493"/>
      <c r="R80" s="493">
        <v>0</v>
      </c>
      <c r="S80" s="493">
        <v>0</v>
      </c>
      <c r="T80" s="494"/>
      <c r="U80" s="498"/>
      <c r="V80" s="499" t="s">
        <v>77</v>
      </c>
      <c r="W80" s="500"/>
      <c r="X80" s="493">
        <v>5</v>
      </c>
      <c r="Y80" s="493">
        <v>5</v>
      </c>
      <c r="Z80" s="493"/>
      <c r="AA80" s="493">
        <v>0</v>
      </c>
      <c r="AB80" s="493">
        <v>0</v>
      </c>
      <c r="AC80" s="501"/>
      <c r="AD80" s="501"/>
    </row>
    <row r="81" spans="1:42" s="86" customFormat="1" ht="36" customHeight="1" x14ac:dyDescent="0.25">
      <c r="A81" s="78"/>
      <c r="B81" s="126">
        <v>4112202</v>
      </c>
      <c r="C81" s="96" t="s">
        <v>89</v>
      </c>
      <c r="D81" s="152" t="s">
        <v>77</v>
      </c>
      <c r="E81" s="427">
        <v>11</v>
      </c>
      <c r="F81" s="120">
        <v>13.75</v>
      </c>
      <c r="G81" s="88">
        <v>13.75</v>
      </c>
      <c r="H81" s="88"/>
      <c r="I81" s="88">
        <v>0</v>
      </c>
      <c r="J81" s="88">
        <v>0</v>
      </c>
      <c r="K81" s="90"/>
      <c r="L81" s="89"/>
      <c r="M81" s="152" t="s">
        <v>77</v>
      </c>
      <c r="N81" s="429">
        <v>11</v>
      </c>
      <c r="O81" s="43">
        <v>13.75</v>
      </c>
      <c r="P81" s="88">
        <v>13.75</v>
      </c>
      <c r="Q81" s="88"/>
      <c r="R81" s="88">
        <v>0</v>
      </c>
      <c r="S81" s="88">
        <v>0</v>
      </c>
      <c r="T81" s="90"/>
      <c r="U81" s="89"/>
      <c r="V81" s="124" t="s">
        <v>77</v>
      </c>
      <c r="W81" s="145"/>
      <c r="X81" s="88">
        <v>0</v>
      </c>
      <c r="Y81" s="88">
        <v>0</v>
      </c>
      <c r="Z81" s="88"/>
      <c r="AA81" s="88">
        <v>0</v>
      </c>
      <c r="AB81" s="88">
        <v>0</v>
      </c>
      <c r="AC81" s="87"/>
      <c r="AD81" s="87"/>
    </row>
    <row r="82" spans="1:42" s="689" customFormat="1" ht="20.100000000000001" customHeight="1" x14ac:dyDescent="0.25">
      <c r="A82" s="78"/>
      <c r="B82" s="126">
        <v>4112202</v>
      </c>
      <c r="C82" s="96" t="s">
        <v>90</v>
      </c>
      <c r="D82" s="152" t="s">
        <v>77</v>
      </c>
      <c r="E82" s="427">
        <v>2</v>
      </c>
      <c r="F82" s="440">
        <v>1.5</v>
      </c>
      <c r="G82" s="70">
        <v>1.5</v>
      </c>
      <c r="H82" s="70"/>
      <c r="I82" s="70">
        <v>0</v>
      </c>
      <c r="J82" s="70">
        <v>0</v>
      </c>
      <c r="K82" s="72"/>
      <c r="L82" s="71"/>
      <c r="M82" s="152" t="s">
        <v>77</v>
      </c>
      <c r="N82" s="429">
        <v>2</v>
      </c>
      <c r="O82" s="43">
        <v>1.5</v>
      </c>
      <c r="P82" s="70">
        <v>1.5</v>
      </c>
      <c r="Q82" s="70"/>
      <c r="R82" s="70">
        <v>0</v>
      </c>
      <c r="S82" s="70">
        <v>0</v>
      </c>
      <c r="T82" s="72"/>
      <c r="U82" s="71"/>
      <c r="V82" s="69" t="s">
        <v>77</v>
      </c>
      <c r="W82" s="145"/>
      <c r="X82" s="88">
        <v>0</v>
      </c>
      <c r="Y82" s="88">
        <v>0</v>
      </c>
      <c r="Z82" s="88"/>
      <c r="AA82" s="88">
        <v>0</v>
      </c>
      <c r="AB82" s="88">
        <v>0</v>
      </c>
      <c r="AC82" s="92"/>
      <c r="AD82" s="92"/>
    </row>
    <row r="83" spans="1:42" s="86" customFormat="1" ht="34.5" customHeight="1" x14ac:dyDescent="0.25">
      <c r="A83" s="78"/>
      <c r="B83" s="126">
        <v>4112202</v>
      </c>
      <c r="C83" s="96" t="s">
        <v>91</v>
      </c>
      <c r="D83" s="152" t="s">
        <v>77</v>
      </c>
      <c r="E83" s="427">
        <v>11</v>
      </c>
      <c r="F83" s="120">
        <v>5.25</v>
      </c>
      <c r="G83" s="88">
        <v>5.25</v>
      </c>
      <c r="H83" s="88"/>
      <c r="I83" s="88">
        <v>0</v>
      </c>
      <c r="J83" s="88">
        <v>0</v>
      </c>
      <c r="K83" s="90"/>
      <c r="L83" s="89"/>
      <c r="M83" s="152" t="s">
        <v>77</v>
      </c>
      <c r="N83" s="429">
        <v>17</v>
      </c>
      <c r="O83" s="43">
        <v>5.25</v>
      </c>
      <c r="P83" s="88">
        <v>5.25</v>
      </c>
      <c r="Q83" s="88"/>
      <c r="R83" s="88">
        <v>0</v>
      </c>
      <c r="S83" s="88">
        <v>0</v>
      </c>
      <c r="T83" s="90"/>
      <c r="U83" s="89"/>
      <c r="V83" s="124" t="s">
        <v>77</v>
      </c>
      <c r="W83" s="145"/>
      <c r="X83" s="88">
        <v>0</v>
      </c>
      <c r="Y83" s="88">
        <v>0</v>
      </c>
      <c r="Z83" s="88"/>
      <c r="AA83" s="88">
        <v>0</v>
      </c>
      <c r="AB83" s="88">
        <v>0</v>
      </c>
      <c r="AC83" s="87"/>
      <c r="AD83" s="87"/>
    </row>
    <row r="84" spans="1:42" s="689" customFormat="1" ht="20.100000000000001" customHeight="1" x14ac:dyDescent="0.25">
      <c r="A84" s="78"/>
      <c r="B84" s="126">
        <v>4112314</v>
      </c>
      <c r="C84" s="95" t="s">
        <v>62</v>
      </c>
      <c r="D84" s="95"/>
      <c r="E84" s="93" t="s">
        <v>92</v>
      </c>
      <c r="F84" s="440">
        <v>50</v>
      </c>
      <c r="G84" s="70">
        <v>50</v>
      </c>
      <c r="H84" s="70"/>
      <c r="I84" s="70">
        <v>0</v>
      </c>
      <c r="J84" s="70">
        <v>0</v>
      </c>
      <c r="K84" s="72"/>
      <c r="L84" s="71"/>
      <c r="M84" s="148"/>
      <c r="N84" s="93" t="s">
        <v>92</v>
      </c>
      <c r="O84" s="43">
        <v>50</v>
      </c>
      <c r="P84" s="70">
        <v>50</v>
      </c>
      <c r="Q84" s="70"/>
      <c r="R84" s="70">
        <v>0</v>
      </c>
      <c r="S84" s="70">
        <v>0</v>
      </c>
      <c r="T84" s="72"/>
      <c r="U84" s="71"/>
      <c r="V84" s="69"/>
      <c r="W84" s="68"/>
      <c r="X84" s="88">
        <v>0</v>
      </c>
      <c r="Y84" s="88">
        <v>0</v>
      </c>
      <c r="Z84" s="88"/>
      <c r="AA84" s="88">
        <v>0</v>
      </c>
      <c r="AB84" s="88">
        <v>0</v>
      </c>
      <c r="AC84" s="92"/>
      <c r="AD84" s="92"/>
    </row>
    <row r="85" spans="1:42" s="689" customFormat="1" ht="20.100000000000001" customHeight="1" x14ac:dyDescent="0.25">
      <c r="A85" s="75"/>
      <c r="B85" s="126">
        <v>4112303</v>
      </c>
      <c r="C85" s="95" t="s">
        <v>93</v>
      </c>
      <c r="D85" s="95" t="s">
        <v>77</v>
      </c>
      <c r="E85" s="93">
        <v>15</v>
      </c>
      <c r="F85" s="440">
        <v>15</v>
      </c>
      <c r="G85" s="70">
        <v>15</v>
      </c>
      <c r="H85" s="70"/>
      <c r="I85" s="70">
        <v>0</v>
      </c>
      <c r="J85" s="70">
        <v>0</v>
      </c>
      <c r="K85" s="72"/>
      <c r="L85" s="71"/>
      <c r="M85" s="152" t="s">
        <v>77</v>
      </c>
      <c r="N85" s="429">
        <v>15</v>
      </c>
      <c r="O85" s="43">
        <v>15</v>
      </c>
      <c r="P85" s="70">
        <v>15</v>
      </c>
      <c r="Q85" s="648">
        <f>SUM(O68:O69,O71,O73:O74,O76:O78,O80:O85)</f>
        <v>1054.22</v>
      </c>
      <c r="R85" s="70">
        <v>0</v>
      </c>
      <c r="S85" s="70">
        <v>0</v>
      </c>
      <c r="T85" s="72"/>
      <c r="U85" s="71"/>
      <c r="V85" s="69" t="s">
        <v>77</v>
      </c>
      <c r="W85" s="145"/>
      <c r="X85" s="88">
        <v>0</v>
      </c>
      <c r="Y85" s="88">
        <v>0</v>
      </c>
      <c r="Z85" s="88"/>
      <c r="AA85" s="88">
        <v>0</v>
      </c>
      <c r="AB85" s="88">
        <v>0</v>
      </c>
      <c r="AC85" s="92"/>
      <c r="AD85" s="92"/>
      <c r="AH85" s="92"/>
      <c r="AI85" s="92" t="s">
        <v>94</v>
      </c>
      <c r="AJ85" s="92"/>
      <c r="AK85" s="92"/>
      <c r="AL85" s="92"/>
      <c r="AM85" s="92" t="s">
        <v>95</v>
      </c>
      <c r="AN85" s="92"/>
      <c r="AO85" s="689" t="s">
        <v>96</v>
      </c>
    </row>
    <row r="86" spans="1:42" s="689" customFormat="1" ht="23.25" customHeight="1" x14ac:dyDescent="0.25">
      <c r="A86" s="718"/>
      <c r="B86" s="126"/>
      <c r="C86" s="716" t="s">
        <v>97</v>
      </c>
      <c r="D86" s="717"/>
      <c r="E86" s="717"/>
      <c r="F86" s="717"/>
      <c r="G86" s="717"/>
      <c r="H86" s="717"/>
      <c r="I86" s="717"/>
      <c r="J86" s="717"/>
      <c r="K86" s="717"/>
      <c r="L86" s="717"/>
      <c r="M86" s="717"/>
      <c r="N86" s="717"/>
      <c r="O86" s="717"/>
      <c r="P86" s="717"/>
      <c r="Q86" s="717"/>
      <c r="R86" s="717"/>
      <c r="S86" s="717"/>
      <c r="T86" s="717"/>
      <c r="U86" s="717"/>
      <c r="V86" s="717"/>
      <c r="W86" s="717"/>
      <c r="X86" s="717"/>
      <c r="Y86" s="717"/>
      <c r="Z86" s="717"/>
      <c r="AA86" s="703"/>
      <c r="AB86" s="81"/>
      <c r="AC86" s="81"/>
      <c r="AD86" s="80"/>
      <c r="AG86" s="86"/>
      <c r="AH86" s="87"/>
      <c r="AI86" s="87"/>
      <c r="AJ86" s="87"/>
      <c r="AK86" s="87"/>
      <c r="AL86" s="87"/>
      <c r="AM86" s="87"/>
      <c r="AN86" s="87"/>
      <c r="AO86" s="86"/>
      <c r="AP86" s="86"/>
    </row>
    <row r="87" spans="1:42" s="502" customFormat="1" ht="20.100000000000001" customHeight="1" x14ac:dyDescent="0.25">
      <c r="A87" s="702"/>
      <c r="B87" s="489">
        <v>4141101</v>
      </c>
      <c r="C87" s="513" t="s">
        <v>98</v>
      </c>
      <c r="D87" s="513" t="s">
        <v>99</v>
      </c>
      <c r="E87" s="491">
        <v>470</v>
      </c>
      <c r="F87" s="493">
        <v>24000</v>
      </c>
      <c r="G87" s="493">
        <v>24000</v>
      </c>
      <c r="H87" s="493"/>
      <c r="I87" s="493">
        <v>0</v>
      </c>
      <c r="J87" s="493">
        <v>0</v>
      </c>
      <c r="K87" s="494"/>
      <c r="L87" s="498"/>
      <c r="M87" s="495" t="s">
        <v>99</v>
      </c>
      <c r="N87" s="496">
        <v>470</v>
      </c>
      <c r="O87" s="497">
        <v>22850</v>
      </c>
      <c r="P87" s="493">
        <v>22850</v>
      </c>
      <c r="Q87" s="493"/>
      <c r="R87" s="493">
        <v>0</v>
      </c>
      <c r="S87" s="493">
        <v>0</v>
      </c>
      <c r="T87" s="494"/>
      <c r="U87" s="498"/>
      <c r="V87" s="499" t="s">
        <v>99</v>
      </c>
      <c r="W87" s="500"/>
      <c r="X87" s="493">
        <v>-1150</v>
      </c>
      <c r="Y87" s="493">
        <v>-1150</v>
      </c>
      <c r="Z87" s="493"/>
      <c r="AA87" s="493">
        <v>0</v>
      </c>
      <c r="AB87" s="493">
        <v>0</v>
      </c>
      <c r="AC87" s="501"/>
      <c r="AD87" s="501"/>
      <c r="AG87" s="550"/>
      <c r="AH87" s="567" t="e">
        <f>#REF!</f>
        <v>#REF!</v>
      </c>
      <c r="AI87" s="567" t="e">
        <f>#REF!</f>
        <v>#REF!</v>
      </c>
      <c r="AJ87" s="567" t="e">
        <f>AI87+AH87</f>
        <v>#REF!</v>
      </c>
      <c r="AK87" s="549"/>
      <c r="AL87" s="549">
        <v>50</v>
      </c>
      <c r="AM87" s="526">
        <v>371</v>
      </c>
      <c r="AN87" s="567">
        <f>AM87+AL87</f>
        <v>421</v>
      </c>
      <c r="AO87" s="568" t="e">
        <f>AN87-AJ87</f>
        <v>#REF!</v>
      </c>
      <c r="AP87" s="550"/>
    </row>
    <row r="88" spans="1:42" s="689" customFormat="1" ht="20.100000000000001" customHeight="1" x14ac:dyDescent="0.25">
      <c r="A88" s="91"/>
      <c r="B88" s="673"/>
      <c r="C88" s="716" t="s">
        <v>100</v>
      </c>
      <c r="D88" s="717"/>
      <c r="E88" s="717"/>
      <c r="F88" s="717"/>
      <c r="G88" s="717"/>
      <c r="H88" s="717"/>
      <c r="I88" s="717"/>
      <c r="J88" s="717"/>
      <c r="K88" s="717"/>
      <c r="L88" s="717"/>
      <c r="M88" s="717"/>
      <c r="N88" s="717"/>
      <c r="O88" s="717"/>
      <c r="P88" s="717"/>
      <c r="Q88" s="717"/>
      <c r="R88" s="717"/>
      <c r="S88" s="717"/>
      <c r="T88" s="717"/>
      <c r="U88" s="717"/>
      <c r="V88" s="717"/>
      <c r="W88" s="717"/>
      <c r="X88" s="717"/>
      <c r="Y88" s="717"/>
      <c r="Z88" s="717"/>
      <c r="AA88" s="703"/>
      <c r="AB88" s="81"/>
      <c r="AC88" s="81"/>
      <c r="AD88" s="80"/>
      <c r="AH88" s="92"/>
      <c r="AI88" s="92"/>
      <c r="AJ88" s="92"/>
      <c r="AK88" s="92"/>
      <c r="AL88" s="92"/>
      <c r="AM88" s="92"/>
      <c r="AN88" s="92"/>
    </row>
    <row r="89" spans="1:42" s="689" customFormat="1" ht="15" customHeight="1" x14ac:dyDescent="0.25">
      <c r="A89" s="78"/>
      <c r="B89" s="126"/>
      <c r="C89" s="83" t="s">
        <v>101</v>
      </c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4"/>
      <c r="W89" s="84"/>
      <c r="X89" s="84"/>
      <c r="Y89" s="84"/>
      <c r="Z89" s="84"/>
      <c r="AA89" s="84"/>
      <c r="AB89" s="81"/>
      <c r="AC89" s="81"/>
      <c r="AD89" s="80"/>
      <c r="AG89" s="79" t="e">
        <f>P90/U90</f>
        <v>#DIV/0!</v>
      </c>
      <c r="AH89" s="70">
        <v>46.5</v>
      </c>
      <c r="AI89" s="70">
        <v>895.5</v>
      </c>
      <c r="AJ89" s="76">
        <f>AI89+AH89</f>
        <v>942</v>
      </c>
      <c r="AK89" s="92"/>
      <c r="AL89" s="92">
        <v>161</v>
      </c>
      <c r="AM89" s="77">
        <v>1182</v>
      </c>
      <c r="AN89" s="76">
        <f>AM89+AL89</f>
        <v>1343</v>
      </c>
      <c r="AO89" s="10">
        <f>AN89-AJ89</f>
        <v>401</v>
      </c>
    </row>
    <row r="90" spans="1:42" s="550" customFormat="1" ht="18.75" customHeight="1" x14ac:dyDescent="0.25">
      <c r="A90" s="552"/>
      <c r="B90" s="489">
        <v>4111306</v>
      </c>
      <c r="C90" s="513" t="s">
        <v>102</v>
      </c>
      <c r="D90" s="563" t="s">
        <v>77</v>
      </c>
      <c r="E90" s="513">
        <v>131</v>
      </c>
      <c r="F90" s="526">
        <v>1261</v>
      </c>
      <c r="G90" s="526">
        <v>151.32</v>
      </c>
      <c r="H90" s="526"/>
      <c r="I90" s="526">
        <v>1109.68</v>
      </c>
      <c r="J90" s="526">
        <v>0</v>
      </c>
      <c r="K90" s="527"/>
      <c r="L90" s="530"/>
      <c r="M90" s="563" t="s">
        <v>77</v>
      </c>
      <c r="N90" s="564">
        <v>127</v>
      </c>
      <c r="O90" s="569">
        <v>1213.55</v>
      </c>
      <c r="P90" s="570">
        <v>169.89699999999999</v>
      </c>
      <c r="Q90" s="526"/>
      <c r="R90" s="570">
        <v>1043.653</v>
      </c>
      <c r="S90" s="526">
        <v>0</v>
      </c>
      <c r="T90" s="527"/>
      <c r="U90" s="530"/>
      <c r="V90" s="528" t="s">
        <v>77</v>
      </c>
      <c r="W90" s="500"/>
      <c r="X90" s="496">
        <v>-47.450000000000053</v>
      </c>
      <c r="Y90" s="496">
        <v>18.577000000000002</v>
      </c>
      <c r="Z90" s="496"/>
      <c r="AA90" s="496">
        <v>-66.027000000000044</v>
      </c>
      <c r="AB90" s="496">
        <v>0</v>
      </c>
      <c r="AC90" s="549"/>
      <c r="AD90" s="549"/>
      <c r="AH90" s="549"/>
      <c r="AI90" s="549"/>
      <c r="AJ90" s="549"/>
      <c r="AK90" s="549"/>
      <c r="AL90" s="549"/>
      <c r="AM90" s="549"/>
      <c r="AN90" s="549"/>
    </row>
    <row r="91" spans="1:42" s="689" customFormat="1" ht="15" customHeight="1" x14ac:dyDescent="0.25">
      <c r="A91" s="78"/>
      <c r="B91" s="126"/>
      <c r="C91" s="83" t="s">
        <v>103</v>
      </c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153"/>
      <c r="W91" s="153"/>
      <c r="X91" s="160"/>
      <c r="Y91" s="160"/>
      <c r="Z91" s="160"/>
      <c r="AA91" s="160"/>
      <c r="AB91" s="161"/>
      <c r="AC91" s="81"/>
      <c r="AD91" s="80"/>
      <c r="AG91" s="79" t="e">
        <f>P92/U92</f>
        <v>#DIV/0!</v>
      </c>
      <c r="AH91" s="70">
        <v>46.5</v>
      </c>
      <c r="AI91" s="70">
        <v>895.5</v>
      </c>
      <c r="AJ91" s="76">
        <f>AI91+AH91</f>
        <v>942</v>
      </c>
      <c r="AK91" s="92"/>
      <c r="AL91" s="92">
        <v>161</v>
      </c>
      <c r="AM91" s="77">
        <v>1182</v>
      </c>
      <c r="AN91" s="76">
        <f>AM91+AL91</f>
        <v>1343</v>
      </c>
      <c r="AO91" s="10">
        <f>AN91-AJ91</f>
        <v>401</v>
      </c>
    </row>
    <row r="92" spans="1:42" s="550" customFormat="1" ht="24" customHeight="1" x14ac:dyDescent="0.25">
      <c r="A92" s="552"/>
      <c r="B92" s="489">
        <v>4111307</v>
      </c>
      <c r="C92" s="513" t="s">
        <v>104</v>
      </c>
      <c r="D92" s="563" t="s">
        <v>77</v>
      </c>
      <c r="E92" s="491" t="s">
        <v>105</v>
      </c>
      <c r="F92" s="526">
        <v>1515</v>
      </c>
      <c r="G92" s="526">
        <v>181.8</v>
      </c>
      <c r="H92" s="526"/>
      <c r="I92" s="526">
        <v>1333.2</v>
      </c>
      <c r="J92" s="526">
        <v>0</v>
      </c>
      <c r="K92" s="527"/>
      <c r="L92" s="530"/>
      <c r="M92" s="563" t="s">
        <v>77</v>
      </c>
      <c r="N92" s="564">
        <v>5</v>
      </c>
      <c r="O92" s="497">
        <v>1276.6199999999999</v>
      </c>
      <c r="P92" s="570">
        <v>178.7268</v>
      </c>
      <c r="Q92" s="526"/>
      <c r="R92" s="570">
        <v>1097.8932</v>
      </c>
      <c r="S92" s="526">
        <v>0</v>
      </c>
      <c r="T92" s="527"/>
      <c r="U92" s="530"/>
      <c r="V92" s="528" t="s">
        <v>77</v>
      </c>
      <c r="W92" s="548"/>
      <c r="X92" s="496">
        <v>-238.38000000000011</v>
      </c>
      <c r="Y92" s="496">
        <v>-3.0732000000000141</v>
      </c>
      <c r="Z92" s="496"/>
      <c r="AA92" s="496">
        <v>-235.30680000000009</v>
      </c>
      <c r="AB92" s="496">
        <v>0</v>
      </c>
      <c r="AC92" s="549"/>
      <c r="AD92" s="549"/>
      <c r="AG92" s="571" t="e">
        <f>P93/U93</f>
        <v>#DIV/0!</v>
      </c>
      <c r="AH92" s="526">
        <v>978.5</v>
      </c>
      <c r="AI92" s="526">
        <v>18871.5</v>
      </c>
      <c r="AJ92" s="567">
        <f>AI92+AH92</f>
        <v>19850</v>
      </c>
      <c r="AK92" s="549"/>
      <c r="AL92" s="549">
        <v>3398</v>
      </c>
      <c r="AM92" s="570">
        <v>24917</v>
      </c>
      <c r="AN92" s="567">
        <f>AM92+AL92</f>
        <v>28315</v>
      </c>
      <c r="AO92" s="568">
        <f>AN92-AJ92</f>
        <v>8465</v>
      </c>
    </row>
    <row r="93" spans="1:42" s="550" customFormat="1" ht="32.25" customHeight="1" x14ac:dyDescent="0.25">
      <c r="A93" s="552"/>
      <c r="B93" s="489">
        <v>4111307</v>
      </c>
      <c r="C93" s="513" t="s">
        <v>106</v>
      </c>
      <c r="D93" s="563" t="s">
        <v>77</v>
      </c>
      <c r="E93" s="491" t="s">
        <v>107</v>
      </c>
      <c r="F93" s="526">
        <v>20311</v>
      </c>
      <c r="G93" s="526">
        <v>2437.3200000000002</v>
      </c>
      <c r="H93" s="526"/>
      <c r="I93" s="526">
        <v>17873.68</v>
      </c>
      <c r="J93" s="526">
        <v>0</v>
      </c>
      <c r="K93" s="527"/>
      <c r="L93" s="530"/>
      <c r="M93" s="563" t="s">
        <v>77</v>
      </c>
      <c r="N93" s="564">
        <v>114</v>
      </c>
      <c r="O93" s="569">
        <v>17903.939999999999</v>
      </c>
      <c r="P93" s="570">
        <v>2506.5515999999998</v>
      </c>
      <c r="Q93" s="526"/>
      <c r="R93" s="570">
        <v>15397.3884</v>
      </c>
      <c r="S93" s="526">
        <v>0</v>
      </c>
      <c r="T93" s="527"/>
      <c r="U93" s="530"/>
      <c r="V93" s="528" t="s">
        <v>77</v>
      </c>
      <c r="W93" s="548"/>
      <c r="X93" s="496">
        <v>-2407.0600000000009</v>
      </c>
      <c r="Y93" s="496">
        <v>69.231599999999617</v>
      </c>
      <c r="Z93" s="496"/>
      <c r="AA93" s="496">
        <v>-2476.2916</v>
      </c>
      <c r="AB93" s="496">
        <v>0</v>
      </c>
      <c r="AC93" s="549"/>
      <c r="AD93" s="549"/>
      <c r="AG93" s="571" t="e">
        <f>P94/U94</f>
        <v>#DIV/0!</v>
      </c>
      <c r="AH93" s="526">
        <v>131</v>
      </c>
      <c r="AI93" s="526">
        <v>2528</v>
      </c>
      <c r="AJ93" s="567">
        <f>AI93+AH93</f>
        <v>2659</v>
      </c>
      <c r="AK93" s="549"/>
      <c r="AL93" s="549">
        <v>455</v>
      </c>
      <c r="AM93" s="570">
        <v>3337</v>
      </c>
      <c r="AN93" s="567">
        <f>AM93+AL93</f>
        <v>3792</v>
      </c>
      <c r="AO93" s="568">
        <f>AN93-AJ93</f>
        <v>1133</v>
      </c>
    </row>
    <row r="94" spans="1:42" s="550" customFormat="1" ht="19.5" customHeight="1" x14ac:dyDescent="0.25">
      <c r="A94" s="552"/>
      <c r="B94" s="489">
        <v>4111307</v>
      </c>
      <c r="C94" s="513" t="s">
        <v>108</v>
      </c>
      <c r="D94" s="513" t="s">
        <v>109</v>
      </c>
      <c r="E94" s="572">
        <v>318</v>
      </c>
      <c r="F94" s="526">
        <v>9729</v>
      </c>
      <c r="G94" s="526">
        <v>1167.48</v>
      </c>
      <c r="H94" s="526"/>
      <c r="I94" s="526">
        <v>8561.52</v>
      </c>
      <c r="J94" s="526">
        <v>0</v>
      </c>
      <c r="K94" s="527"/>
      <c r="L94" s="530"/>
      <c r="M94" s="546" t="s">
        <v>109</v>
      </c>
      <c r="N94" s="573">
        <v>342.584</v>
      </c>
      <c r="O94" s="569">
        <v>10091.780000000001</v>
      </c>
      <c r="P94" s="570">
        <v>1412.8492000000001</v>
      </c>
      <c r="Q94" s="526"/>
      <c r="R94" s="570">
        <v>8678.9308000000001</v>
      </c>
      <c r="S94" s="526">
        <v>0</v>
      </c>
      <c r="T94" s="527"/>
      <c r="U94" s="530"/>
      <c r="V94" s="528" t="s">
        <v>109</v>
      </c>
      <c r="W94" s="548"/>
      <c r="X94" s="496">
        <v>362.77999999999969</v>
      </c>
      <c r="Y94" s="496">
        <v>245.36920000000009</v>
      </c>
      <c r="Z94" s="496"/>
      <c r="AA94" s="496">
        <v>117.4107999999997</v>
      </c>
      <c r="AB94" s="496">
        <v>0</v>
      </c>
      <c r="AC94" s="549"/>
      <c r="AD94" s="549"/>
      <c r="AG94" s="571" t="e">
        <f>#REF!/#REF!</f>
        <v>#REF!</v>
      </c>
      <c r="AH94" s="526"/>
      <c r="AI94" s="526"/>
      <c r="AJ94" s="567"/>
      <c r="AK94" s="549"/>
      <c r="AL94" s="549"/>
      <c r="AM94" s="570"/>
      <c r="AN94" s="567"/>
      <c r="AO94" s="568"/>
    </row>
    <row r="95" spans="1:42" s="689" customFormat="1" ht="15" customHeight="1" x14ac:dyDescent="0.25">
      <c r="A95" s="78"/>
      <c r="B95" s="145"/>
      <c r="C95" s="83" t="s">
        <v>15</v>
      </c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479"/>
      <c r="O95" s="82"/>
      <c r="P95" s="82"/>
      <c r="Q95" s="82"/>
      <c r="R95" s="82"/>
      <c r="S95" s="82"/>
      <c r="T95" s="82"/>
      <c r="U95" s="82"/>
      <c r="V95" s="154"/>
      <c r="W95" s="155"/>
      <c r="X95" s="162"/>
      <c r="Y95" s="162"/>
      <c r="Z95" s="162"/>
      <c r="AA95" s="120"/>
      <c r="AB95" s="161"/>
      <c r="AC95" s="81"/>
      <c r="AD95" s="80"/>
      <c r="AG95" s="79" t="e">
        <f>P96/U96</f>
        <v>#DIV/0!</v>
      </c>
      <c r="AH95" s="70">
        <v>18</v>
      </c>
      <c r="AI95" s="70">
        <v>360</v>
      </c>
      <c r="AJ95" s="76">
        <f>AI95+AH95</f>
        <v>378</v>
      </c>
      <c r="AK95" s="92"/>
      <c r="AL95" s="92">
        <v>65</v>
      </c>
      <c r="AM95" s="77">
        <v>475.36</v>
      </c>
      <c r="AN95" s="76">
        <f>AM95+AL95</f>
        <v>540.36</v>
      </c>
      <c r="AO95" s="10">
        <f>AN95-AJ95</f>
        <v>162.36000000000001</v>
      </c>
    </row>
    <row r="96" spans="1:42" s="550" customFormat="1" ht="33.75" customHeight="1" x14ac:dyDescent="0.25">
      <c r="A96" s="552"/>
      <c r="B96" s="500">
        <v>4111201</v>
      </c>
      <c r="C96" s="513" t="s">
        <v>110</v>
      </c>
      <c r="D96" s="513" t="s">
        <v>109</v>
      </c>
      <c r="E96" s="572">
        <v>143</v>
      </c>
      <c r="F96" s="526">
        <v>2515</v>
      </c>
      <c r="G96" s="526">
        <v>301.8</v>
      </c>
      <c r="H96" s="574"/>
      <c r="I96" s="526">
        <v>2213.1999999999998</v>
      </c>
      <c r="J96" s="526">
        <v>0</v>
      </c>
      <c r="K96" s="527"/>
      <c r="L96" s="530"/>
      <c r="M96" s="546" t="s">
        <v>109</v>
      </c>
      <c r="N96" s="573">
        <v>108.974</v>
      </c>
      <c r="O96" s="569">
        <v>3145.78</v>
      </c>
      <c r="P96" s="570">
        <v>440.40920000000011</v>
      </c>
      <c r="Q96" s="526"/>
      <c r="R96" s="570">
        <v>2705.3708000000001</v>
      </c>
      <c r="S96" s="526">
        <v>0</v>
      </c>
      <c r="T96" s="527"/>
      <c r="U96" s="530"/>
      <c r="V96" s="528" t="s">
        <v>109</v>
      </c>
      <c r="W96" s="493"/>
      <c r="X96" s="496">
        <v>630.78000000000043</v>
      </c>
      <c r="Y96" s="496">
        <v>138.6092000000001</v>
      </c>
      <c r="Z96" s="496"/>
      <c r="AA96" s="496">
        <v>492.17080000000033</v>
      </c>
      <c r="AB96" s="496">
        <v>0</v>
      </c>
      <c r="AC96" s="549"/>
      <c r="AD96" s="549"/>
      <c r="AG96" s="571" t="e">
        <f>P97/U97</f>
        <v>#DIV/0!</v>
      </c>
      <c r="AH96" s="526">
        <v>3</v>
      </c>
      <c r="AI96" s="526">
        <v>60</v>
      </c>
      <c r="AJ96" s="567">
        <f>AI96+AH96</f>
        <v>63</v>
      </c>
      <c r="AK96" s="549"/>
      <c r="AL96" s="549">
        <v>11</v>
      </c>
      <c r="AM96" s="570">
        <v>80</v>
      </c>
      <c r="AN96" s="567">
        <f>AM96+AL96</f>
        <v>91</v>
      </c>
      <c r="AO96" s="568">
        <f>AN96-AJ96</f>
        <v>28</v>
      </c>
    </row>
    <row r="97" spans="1:42" s="550" customFormat="1" ht="34.5" customHeight="1" x14ac:dyDescent="0.25">
      <c r="A97" s="552"/>
      <c r="B97" s="500">
        <v>4111201</v>
      </c>
      <c r="C97" s="513" t="s">
        <v>111</v>
      </c>
      <c r="D97" s="513" t="s">
        <v>109</v>
      </c>
      <c r="E97" s="575">
        <v>84.31</v>
      </c>
      <c r="F97" s="526">
        <v>2550</v>
      </c>
      <c r="G97" s="526">
        <v>306</v>
      </c>
      <c r="H97" s="574"/>
      <c r="I97" s="526">
        <v>2244</v>
      </c>
      <c r="J97" s="526">
        <v>0</v>
      </c>
      <c r="K97" s="527"/>
      <c r="L97" s="530"/>
      <c r="M97" s="546" t="s">
        <v>109</v>
      </c>
      <c r="N97" s="573">
        <v>67.11</v>
      </c>
      <c r="O97" s="569">
        <v>1684.96</v>
      </c>
      <c r="P97" s="570">
        <v>235.89439999999999</v>
      </c>
      <c r="Q97" s="526"/>
      <c r="R97" s="570">
        <v>1449.0655999999999</v>
      </c>
      <c r="S97" s="526">
        <v>0</v>
      </c>
      <c r="T97" s="527"/>
      <c r="U97" s="530"/>
      <c r="V97" s="528" t="s">
        <v>109</v>
      </c>
      <c r="W97" s="493"/>
      <c r="X97" s="496">
        <v>-865.04000000000008</v>
      </c>
      <c r="Y97" s="496">
        <v>-70.10560000000001</v>
      </c>
      <c r="Z97" s="496"/>
      <c r="AA97" s="496">
        <v>-794.9344000000001</v>
      </c>
      <c r="AB97" s="496">
        <v>0</v>
      </c>
      <c r="AC97" s="549"/>
      <c r="AD97" s="549"/>
      <c r="AG97" s="571" t="e">
        <f>P98/U98</f>
        <v>#DIV/0!</v>
      </c>
      <c r="AH97" s="526">
        <v>8.25</v>
      </c>
      <c r="AI97" s="526">
        <v>170.25</v>
      </c>
      <c r="AJ97" s="567">
        <f>AI97+AH97</f>
        <v>178.5</v>
      </c>
      <c r="AK97" s="549"/>
      <c r="AL97" s="549">
        <v>31</v>
      </c>
      <c r="AM97" s="570">
        <v>225</v>
      </c>
      <c r="AN97" s="567">
        <f>AM97+AL97</f>
        <v>256</v>
      </c>
      <c r="AO97" s="568">
        <f>AN97-AJ97</f>
        <v>77.5</v>
      </c>
    </row>
    <row r="98" spans="1:42" s="550" customFormat="1" ht="33" customHeight="1" x14ac:dyDescent="0.25">
      <c r="A98" s="552"/>
      <c r="B98" s="500">
        <v>4111201</v>
      </c>
      <c r="C98" s="513" t="s">
        <v>112</v>
      </c>
      <c r="D98" s="513" t="s">
        <v>109</v>
      </c>
      <c r="E98" s="575">
        <v>87.03</v>
      </c>
      <c r="F98" s="526">
        <v>1785</v>
      </c>
      <c r="G98" s="526">
        <v>214.2</v>
      </c>
      <c r="H98" s="574"/>
      <c r="I98" s="526">
        <v>1570.8</v>
      </c>
      <c r="J98" s="526">
        <v>0</v>
      </c>
      <c r="K98" s="527"/>
      <c r="L98" s="530"/>
      <c r="M98" s="546" t="s">
        <v>109</v>
      </c>
      <c r="N98" s="573">
        <v>57.912000000000013</v>
      </c>
      <c r="O98" s="569">
        <v>1568.07</v>
      </c>
      <c r="P98" s="570">
        <v>219.52979999999999</v>
      </c>
      <c r="Q98" s="526"/>
      <c r="R98" s="570">
        <v>1348.5401999999999</v>
      </c>
      <c r="S98" s="526">
        <v>0</v>
      </c>
      <c r="T98" s="527"/>
      <c r="U98" s="530"/>
      <c r="V98" s="528" t="s">
        <v>109</v>
      </c>
      <c r="W98" s="493"/>
      <c r="X98" s="496">
        <v>-216.93</v>
      </c>
      <c r="Y98" s="496">
        <v>5.3298000000000059</v>
      </c>
      <c r="Z98" s="496"/>
      <c r="AA98" s="496">
        <v>-222.25980000000001</v>
      </c>
      <c r="AB98" s="496">
        <v>0</v>
      </c>
      <c r="AC98" s="549"/>
      <c r="AD98" s="549"/>
      <c r="AG98" s="571" t="e">
        <f>P99/U99</f>
        <v>#DIV/0!</v>
      </c>
      <c r="AH98" s="526"/>
      <c r="AI98" s="526"/>
      <c r="AJ98" s="567"/>
      <c r="AK98" s="549"/>
      <c r="AL98" s="549"/>
      <c r="AM98" s="570"/>
      <c r="AN98" s="567"/>
      <c r="AO98" s="568"/>
    </row>
    <row r="99" spans="1:42" s="550" customFormat="1" ht="20.25" customHeight="1" x14ac:dyDescent="0.25">
      <c r="A99" s="552"/>
      <c r="B99" s="500">
        <v>4111201</v>
      </c>
      <c r="C99" s="513" t="s">
        <v>113</v>
      </c>
      <c r="D99" s="513" t="s">
        <v>109</v>
      </c>
      <c r="E99" s="575">
        <v>263.24</v>
      </c>
      <c r="F99" s="526">
        <v>11952.5</v>
      </c>
      <c r="G99" s="526">
        <v>1434.3</v>
      </c>
      <c r="H99" s="574"/>
      <c r="I99" s="526">
        <v>10518.2</v>
      </c>
      <c r="J99" s="526">
        <v>0</v>
      </c>
      <c r="K99" s="527"/>
      <c r="L99" s="530"/>
      <c r="M99" s="546" t="s">
        <v>109</v>
      </c>
      <c r="N99" s="657">
        <v>255.00699999999989</v>
      </c>
      <c r="O99" s="658">
        <v>17676.21</v>
      </c>
      <c r="P99" s="659">
        <v>5677.4076000000077</v>
      </c>
      <c r="Q99" s="660"/>
      <c r="R99" s="659">
        <v>11998.80239999999</v>
      </c>
      <c r="S99" s="526">
        <v>0</v>
      </c>
      <c r="T99" s="527"/>
      <c r="U99" s="530"/>
      <c r="V99" s="528" t="s">
        <v>109</v>
      </c>
      <c r="W99" s="493"/>
      <c r="X99" s="496">
        <v>5723.71</v>
      </c>
      <c r="Y99" s="496">
        <v>4243.1076000000076</v>
      </c>
      <c r="Z99" s="496"/>
      <c r="AA99" s="496">
        <v>1480.602399999992</v>
      </c>
      <c r="AB99" s="496">
        <v>0</v>
      </c>
      <c r="AC99" s="549"/>
      <c r="AD99" s="549"/>
      <c r="AG99" s="571" t="e">
        <f>#REF!/#REF!</f>
        <v>#REF!</v>
      </c>
      <c r="AH99" s="526"/>
      <c r="AI99" s="526"/>
      <c r="AJ99" s="567"/>
      <c r="AK99" s="549"/>
      <c r="AL99" s="549"/>
      <c r="AM99" s="570"/>
      <c r="AN99" s="567"/>
      <c r="AO99" s="568"/>
    </row>
    <row r="100" spans="1:42" s="550" customFormat="1" ht="18" customHeight="1" x14ac:dyDescent="0.25">
      <c r="A100" s="552"/>
      <c r="B100" s="500">
        <v>4111201</v>
      </c>
      <c r="C100" s="513" t="s">
        <v>114</v>
      </c>
      <c r="D100" s="563" t="s">
        <v>77</v>
      </c>
      <c r="E100" s="575">
        <v>8</v>
      </c>
      <c r="F100" s="526">
        <v>166</v>
      </c>
      <c r="G100" s="526">
        <v>19.920000000000002</v>
      </c>
      <c r="H100" s="574"/>
      <c r="I100" s="526">
        <v>146.08000000000001</v>
      </c>
      <c r="J100" s="526">
        <v>0</v>
      </c>
      <c r="K100" s="527"/>
      <c r="L100" s="530"/>
      <c r="M100" s="563" t="s">
        <v>77</v>
      </c>
      <c r="N100" s="564">
        <v>7</v>
      </c>
      <c r="O100" s="569">
        <v>154.12</v>
      </c>
      <c r="P100" s="570">
        <v>21.576799999999999</v>
      </c>
      <c r="Q100" s="526"/>
      <c r="R100" s="570">
        <v>132.54320000000001</v>
      </c>
      <c r="S100" s="526">
        <v>0</v>
      </c>
      <c r="T100" s="527"/>
      <c r="U100" s="530"/>
      <c r="V100" s="528" t="s">
        <v>77</v>
      </c>
      <c r="W100" s="493"/>
      <c r="X100" s="496">
        <v>-11.88</v>
      </c>
      <c r="Y100" s="496">
        <v>1.6567999999999969</v>
      </c>
      <c r="Z100" s="496"/>
      <c r="AA100" s="496">
        <v>-13.536799999999999</v>
      </c>
      <c r="AB100" s="496">
        <v>0</v>
      </c>
      <c r="AC100" s="549"/>
      <c r="AD100" s="549"/>
      <c r="AG100" s="571" t="e">
        <f>#REF!/#REF!</f>
        <v>#REF!</v>
      </c>
      <c r="AH100" s="526">
        <v>8.25</v>
      </c>
      <c r="AI100" s="526">
        <v>170.25</v>
      </c>
      <c r="AJ100" s="567">
        <f>AI100+AH100</f>
        <v>178.5</v>
      </c>
      <c r="AK100" s="549"/>
      <c r="AL100" s="549">
        <v>31</v>
      </c>
      <c r="AM100" s="570">
        <v>225</v>
      </c>
      <c r="AN100" s="567">
        <f>AM100+AL100</f>
        <v>256</v>
      </c>
      <c r="AO100" s="568">
        <f>AN100-AJ100</f>
        <v>77.5</v>
      </c>
    </row>
    <row r="101" spans="1:42" s="550" customFormat="1" ht="18" customHeight="1" x14ac:dyDescent="0.25">
      <c r="A101" s="552"/>
      <c r="B101" s="500">
        <v>4111201</v>
      </c>
      <c r="C101" s="513" t="s">
        <v>115</v>
      </c>
      <c r="D101" s="563" t="s">
        <v>77</v>
      </c>
      <c r="E101" s="575"/>
      <c r="F101" s="526">
        <v>0</v>
      </c>
      <c r="G101" s="526">
        <v>0</v>
      </c>
      <c r="H101" s="574"/>
      <c r="I101" s="526">
        <v>0</v>
      </c>
      <c r="J101" s="526">
        <v>0</v>
      </c>
      <c r="K101" s="527"/>
      <c r="L101" s="530"/>
      <c r="M101" s="563" t="s">
        <v>77</v>
      </c>
      <c r="N101" s="564">
        <v>20</v>
      </c>
      <c r="O101" s="569">
        <v>900</v>
      </c>
      <c r="P101" s="570">
        <v>126</v>
      </c>
      <c r="Q101" s="526"/>
      <c r="R101" s="570">
        <v>774</v>
      </c>
      <c r="S101" s="526">
        <v>0</v>
      </c>
      <c r="T101" s="527"/>
      <c r="U101" s="530"/>
      <c r="V101" s="528" t="s">
        <v>77</v>
      </c>
      <c r="W101" s="500"/>
      <c r="X101" s="496">
        <v>900</v>
      </c>
      <c r="Y101" s="496">
        <v>126</v>
      </c>
      <c r="Z101" s="496"/>
      <c r="AA101" s="496">
        <v>774</v>
      </c>
      <c r="AB101" s="496">
        <v>0</v>
      </c>
      <c r="AC101" s="549"/>
      <c r="AD101" s="549"/>
      <c r="AG101" s="571"/>
      <c r="AH101" s="526"/>
      <c r="AI101" s="526"/>
      <c r="AJ101" s="567"/>
      <c r="AK101" s="549"/>
      <c r="AL101" s="549"/>
      <c r="AM101" s="570"/>
      <c r="AN101" s="567"/>
      <c r="AO101" s="568"/>
    </row>
    <row r="102" spans="1:42" s="550" customFormat="1" ht="18" customHeight="1" x14ac:dyDescent="0.25">
      <c r="A102" s="552"/>
      <c r="B102" s="500">
        <v>4111201</v>
      </c>
      <c r="C102" s="513" t="s">
        <v>116</v>
      </c>
      <c r="D102" s="563" t="s">
        <v>77</v>
      </c>
      <c r="E102" s="575">
        <v>60</v>
      </c>
      <c r="F102" s="526">
        <v>1380</v>
      </c>
      <c r="G102" s="526">
        <v>165.6</v>
      </c>
      <c r="H102" s="574"/>
      <c r="I102" s="526">
        <v>1214.4000000000001</v>
      </c>
      <c r="J102" s="526">
        <v>0</v>
      </c>
      <c r="K102" s="527"/>
      <c r="L102" s="530"/>
      <c r="M102" s="563" t="s">
        <v>77</v>
      </c>
      <c r="N102" s="496">
        <v>60</v>
      </c>
      <c r="O102" s="569">
        <v>2100</v>
      </c>
      <c r="P102" s="570">
        <v>294</v>
      </c>
      <c r="Q102" s="526"/>
      <c r="R102" s="570">
        <v>1806</v>
      </c>
      <c r="S102" s="526">
        <v>0</v>
      </c>
      <c r="T102" s="527"/>
      <c r="U102" s="530"/>
      <c r="V102" s="528" t="s">
        <v>77</v>
      </c>
      <c r="W102" s="500"/>
      <c r="X102" s="496">
        <v>719.99999999999989</v>
      </c>
      <c r="Y102" s="496">
        <v>128.4</v>
      </c>
      <c r="Z102" s="496"/>
      <c r="AA102" s="496">
        <v>591.59999999999991</v>
      </c>
      <c r="AB102" s="496">
        <v>0</v>
      </c>
      <c r="AC102" s="549"/>
      <c r="AD102" s="549"/>
      <c r="AH102" s="526">
        <v>726.6</v>
      </c>
      <c r="AI102" s="526">
        <v>14031.95</v>
      </c>
      <c r="AJ102" s="567">
        <f>AI102+AH102</f>
        <v>14758.550000000001</v>
      </c>
      <c r="AK102" s="549"/>
      <c r="AL102" s="549">
        <v>2526</v>
      </c>
      <c r="AM102" s="570">
        <v>18527</v>
      </c>
      <c r="AN102" s="567">
        <f>AM102+AL102</f>
        <v>21053</v>
      </c>
      <c r="AO102" s="568">
        <f>AN102-AJ102</f>
        <v>6294.4499999999989</v>
      </c>
    </row>
    <row r="103" spans="1:42" s="550" customFormat="1" ht="20.100000000000001" customHeight="1" x14ac:dyDescent="0.25">
      <c r="A103" s="576"/>
      <c r="B103" s="500">
        <v>4111201</v>
      </c>
      <c r="C103" s="513" t="s">
        <v>117</v>
      </c>
      <c r="D103" s="513" t="s">
        <v>118</v>
      </c>
      <c r="E103" s="556" t="s">
        <v>86</v>
      </c>
      <c r="F103" s="526">
        <v>200</v>
      </c>
      <c r="G103" s="526">
        <v>200</v>
      </c>
      <c r="H103" s="574"/>
      <c r="I103" s="526">
        <v>0</v>
      </c>
      <c r="J103" s="526">
        <v>0</v>
      </c>
      <c r="K103" s="527"/>
      <c r="L103" s="530"/>
      <c r="M103" s="546" t="s">
        <v>118</v>
      </c>
      <c r="N103" s="496">
        <v>2</v>
      </c>
      <c r="O103" s="569">
        <v>600</v>
      </c>
      <c r="P103" s="570">
        <v>600</v>
      </c>
      <c r="Q103" s="526"/>
      <c r="R103" s="570">
        <v>0</v>
      </c>
      <c r="S103" s="526">
        <v>0</v>
      </c>
      <c r="T103" s="527"/>
      <c r="U103" s="530"/>
      <c r="V103" s="528" t="s">
        <v>118</v>
      </c>
      <c r="W103" s="493"/>
      <c r="X103" s="496">
        <v>400</v>
      </c>
      <c r="Y103" s="496">
        <v>400</v>
      </c>
      <c r="Z103" s="496"/>
      <c r="AA103" s="496">
        <v>0</v>
      </c>
      <c r="AB103" s="496">
        <v>0</v>
      </c>
      <c r="AC103" s="549"/>
      <c r="AD103" s="549"/>
      <c r="AG103" s="577"/>
      <c r="AH103" s="525" t="e">
        <f>SUM(AH87:AH102)</f>
        <v>#REF!</v>
      </c>
      <c r="AI103" s="525" t="e">
        <f>SUM(AI87:AI102)</f>
        <v>#REF!</v>
      </c>
      <c r="AJ103" s="525" t="e">
        <f>SUM(AJ87:AJ102)</f>
        <v>#REF!</v>
      </c>
      <c r="AK103" s="548"/>
      <c r="AL103" s="525">
        <f>SUM(AL87:AL102)</f>
        <v>6889</v>
      </c>
      <c r="AM103" s="525">
        <f>SUM(AM87:AM102)</f>
        <v>50521.36</v>
      </c>
      <c r="AN103" s="525">
        <f>SUM(AN87:AN102)</f>
        <v>57410.36</v>
      </c>
      <c r="AO103" s="525" t="e">
        <f>SUM(AO87:AO102)</f>
        <v>#REF!</v>
      </c>
      <c r="AP103" s="577"/>
    </row>
    <row r="104" spans="1:42" s="59" customFormat="1" ht="20.100000000000001" customHeight="1" x14ac:dyDescent="0.25">
      <c r="A104" s="719" t="s">
        <v>119</v>
      </c>
      <c r="B104" s="717"/>
      <c r="C104" s="703"/>
      <c r="D104" s="67"/>
      <c r="E104" s="66"/>
      <c r="F104" s="672">
        <f>SUM(F68:F69,F71,F73:F74,F76:F78,F80:F83,F84:F85,F87,F90,F92,F93,F94,F96:F103)</f>
        <v>78430.720000000001</v>
      </c>
      <c r="G104" s="672">
        <f>SUM(G68:G69,G71,G73:G74,G76:G78,G80:G85,G87,G90,G92:G94,G96:G103)</f>
        <v>31645.959999999995</v>
      </c>
      <c r="H104" s="672"/>
      <c r="I104" s="672">
        <f>SUM(I68:I69,I71,I73:I74,I76:I78,I80:I85,I87,I90,I92:I94,I96:I103)</f>
        <v>46784.76</v>
      </c>
      <c r="J104" s="672">
        <f>SUM(J68:J69,J71,J73:J74,J76:J78,J80:J85,J87,J90,J92:J94,J96:J103)</f>
        <v>0</v>
      </c>
      <c r="K104" s="65"/>
      <c r="L104" s="65"/>
      <c r="M104" s="64"/>
      <c r="N104" s="63"/>
      <c r="O104" s="672">
        <f>SUM(O68:O69,O71,O73:O74,O76:O78,O80:O85,O87,O90,O92:O94,O96:O103)</f>
        <v>82219.25</v>
      </c>
      <c r="P104" s="672">
        <f>SUM(P68:P69,P71,P73:P74,P76:P78,P80:P85,P87,P90,P92:P94,P96:P103)</f>
        <v>35787.062400000017</v>
      </c>
      <c r="Q104" s="672"/>
      <c r="R104" s="672">
        <f>SUM(R68:R69,R71,R73:R74,R76:R78,R80:R85,R87,R90,R92:R94,R96:R103)</f>
        <v>46432.18759999999</v>
      </c>
      <c r="S104" s="672">
        <f>SUM(S68:S69,S71,S73:S74,S76:S78,S80:S85,S87,S90,S92:S94,S96:S103)</f>
        <v>0</v>
      </c>
      <c r="T104" s="65"/>
      <c r="U104" s="62"/>
      <c r="V104" s="64"/>
      <c r="W104" s="61"/>
      <c r="X104" s="672">
        <f>SUM(X68:X69,X71,X73:X74,X76:X78,X80:X85,X87,X90,X92:X94,X96:X103)</f>
        <v>3788.5299999999993</v>
      </c>
      <c r="Y104" s="672">
        <f>SUM(Y68:Y69,Y71,Y73:Y74,Y76:Y78,Y80:Y85,Y87,Y90,Y92:Y94,Y96:Y103)</f>
        <v>4141.102400000007</v>
      </c>
      <c r="Z104" s="672"/>
      <c r="AA104" s="672">
        <f>SUM(AA68:AA69,AA71,AA73:AA74,AA76:AA78,AA80:AA85,AA87,AA90,AA92:AA94,AA96:AA103)</f>
        <v>-352.57240000000797</v>
      </c>
      <c r="AB104" s="672">
        <f>SUM(AB68:AB69,AB71,AB73:AB74,AB76:AB78,AB80:AB85,AB87,AB90,AB92:AB94,AB96:AB103)</f>
        <v>0</v>
      </c>
      <c r="AC104" s="60"/>
      <c r="AD104" s="60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</row>
    <row r="105" spans="1:42" s="34" customFormat="1" ht="15.75" customHeight="1" x14ac:dyDescent="0.25">
      <c r="A105" s="719" t="s">
        <v>120</v>
      </c>
      <c r="B105" s="717"/>
      <c r="C105" s="703"/>
      <c r="D105" s="53"/>
      <c r="E105" s="58"/>
      <c r="F105" s="477">
        <f>SUM(F57+F104)</f>
        <v>97204.86</v>
      </c>
      <c r="G105" s="672">
        <f>SUM(G57+G104)</f>
        <v>38218.14</v>
      </c>
      <c r="H105" s="672"/>
      <c r="I105" s="672">
        <f>SUM(I57+I104)</f>
        <v>51085.32</v>
      </c>
      <c r="J105" s="672">
        <f>SUM(J57+J104)</f>
        <v>7901.4</v>
      </c>
      <c r="K105" s="55"/>
      <c r="L105" s="57"/>
      <c r="M105" s="56"/>
      <c r="N105" s="37"/>
      <c r="O105" s="672">
        <f>SUM(O57+O104)</f>
        <v>101601.86</v>
      </c>
      <c r="P105" s="672">
        <f>SUM(P57+P104)</f>
        <v>42615.140000000014</v>
      </c>
      <c r="Q105" s="672"/>
      <c r="R105" s="672">
        <f>SUM(R57+R104)</f>
        <v>51085.319999999992</v>
      </c>
      <c r="S105" s="672">
        <f>SUM(S57+S104)</f>
        <v>7901.4</v>
      </c>
      <c r="T105" s="55"/>
      <c r="U105" s="54"/>
      <c r="V105" s="56"/>
      <c r="W105" s="439"/>
      <c r="X105" s="672">
        <f>SUM(X57+X104)</f>
        <v>4396.9999999999991</v>
      </c>
      <c r="Y105" s="672">
        <f>SUM(Y57+Y104)</f>
        <v>4397.0000000000073</v>
      </c>
      <c r="Z105" s="672"/>
      <c r="AA105" s="672">
        <f>SUM(AA57+AA104)</f>
        <v>-8.0717654782347381E-12</v>
      </c>
      <c r="AB105" s="672">
        <f>SUM(AB57+AB104)</f>
        <v>0</v>
      </c>
      <c r="AC105" s="35"/>
      <c r="AD105" s="35"/>
    </row>
    <row r="106" spans="1:42" s="34" customFormat="1" ht="16.5" customHeight="1" x14ac:dyDescent="0.25">
      <c r="A106" s="35"/>
      <c r="B106" s="656">
        <v>0</v>
      </c>
      <c r="C106" s="426" t="s">
        <v>121</v>
      </c>
      <c r="D106" s="53" t="s">
        <v>122</v>
      </c>
      <c r="E106" s="45" t="s">
        <v>61</v>
      </c>
      <c r="F106" s="672">
        <v>258</v>
      </c>
      <c r="G106" s="672">
        <v>100</v>
      </c>
      <c r="H106" s="672"/>
      <c r="I106" s="672">
        <v>158</v>
      </c>
      <c r="J106" s="672">
        <v>0</v>
      </c>
      <c r="K106" s="52"/>
      <c r="L106" s="51"/>
      <c r="M106" s="50" t="s">
        <v>122</v>
      </c>
      <c r="N106" s="120" t="s">
        <v>61</v>
      </c>
      <c r="O106" s="672">
        <v>258</v>
      </c>
      <c r="P106" s="672">
        <v>100</v>
      </c>
      <c r="Q106" s="672"/>
      <c r="R106" s="672">
        <v>158</v>
      </c>
      <c r="S106" s="672">
        <v>0</v>
      </c>
      <c r="T106" s="52"/>
      <c r="U106" s="48"/>
      <c r="V106" s="50" t="s">
        <v>122</v>
      </c>
      <c r="W106" s="49"/>
      <c r="X106" s="672">
        <v>0</v>
      </c>
      <c r="Y106" s="672">
        <v>0</v>
      </c>
      <c r="Z106" s="672"/>
      <c r="AA106" s="672">
        <v>0</v>
      </c>
      <c r="AB106" s="672">
        <v>0</v>
      </c>
      <c r="AC106" s="47"/>
      <c r="AD106" s="47"/>
    </row>
    <row r="107" spans="1:42" s="689" customFormat="1" ht="20.100000000000001" customHeight="1" x14ac:dyDescent="0.25">
      <c r="A107" s="92"/>
      <c r="B107" s="656">
        <v>0</v>
      </c>
      <c r="C107" s="426" t="s">
        <v>123</v>
      </c>
      <c r="D107" s="46" t="s">
        <v>122</v>
      </c>
      <c r="E107" s="45" t="s">
        <v>61</v>
      </c>
      <c r="F107" s="672">
        <v>402.14</v>
      </c>
      <c r="G107" s="672">
        <v>100.76</v>
      </c>
      <c r="H107" s="672"/>
      <c r="I107" s="672">
        <v>301.38</v>
      </c>
      <c r="J107" s="672">
        <v>0</v>
      </c>
      <c r="K107" s="44"/>
      <c r="L107" s="44"/>
      <c r="M107" s="69" t="s">
        <v>122</v>
      </c>
      <c r="N107" s="120" t="s">
        <v>61</v>
      </c>
      <c r="O107" s="672">
        <v>402.14</v>
      </c>
      <c r="P107" s="672">
        <v>100.76</v>
      </c>
      <c r="Q107" s="672"/>
      <c r="R107" s="672">
        <v>301.38</v>
      </c>
      <c r="S107" s="672">
        <v>0</v>
      </c>
      <c r="T107" s="44"/>
      <c r="U107" s="115"/>
      <c r="V107" s="42" t="s">
        <v>122</v>
      </c>
      <c r="W107" s="88"/>
      <c r="X107" s="672">
        <v>0</v>
      </c>
      <c r="Y107" s="672">
        <v>0</v>
      </c>
      <c r="Z107" s="672"/>
      <c r="AA107" s="672">
        <v>0</v>
      </c>
      <c r="AB107" s="672">
        <v>0</v>
      </c>
      <c r="AC107" s="92"/>
      <c r="AD107" s="92"/>
    </row>
    <row r="108" spans="1:42" s="34" customFormat="1" ht="20.25" customHeight="1" x14ac:dyDescent="0.25">
      <c r="A108" s="41" t="s">
        <v>72</v>
      </c>
      <c r="B108" s="163"/>
      <c r="C108" s="39" t="s">
        <v>124</v>
      </c>
      <c r="D108" s="38"/>
      <c r="E108" s="38"/>
      <c r="F108" s="672">
        <f>SUM(F105,F106:F107)</f>
        <v>97865</v>
      </c>
      <c r="G108" s="672">
        <f>SUM(G105,G106:G107)</f>
        <v>38418.9</v>
      </c>
      <c r="H108" s="672"/>
      <c r="I108" s="672">
        <f>SUM(I105,I106:I107)</f>
        <v>51544.7</v>
      </c>
      <c r="J108" s="672">
        <f>SUM(J105,J106:J107)</f>
        <v>7901.4</v>
      </c>
      <c r="K108" s="55"/>
      <c r="L108" s="55"/>
      <c r="M108" s="674"/>
      <c r="N108" s="37"/>
      <c r="O108" s="672">
        <f>SUM(O105,O106:O107)</f>
        <v>102262</v>
      </c>
      <c r="P108" s="672">
        <f>SUM(P105,P106:P107)</f>
        <v>42815.900000000016</v>
      </c>
      <c r="Q108" s="672"/>
      <c r="R108" s="672">
        <f>SUM(R105,R106:R107)</f>
        <v>51544.69999999999</v>
      </c>
      <c r="S108" s="672">
        <f>SUM(S105,S106:S107)</f>
        <v>7901.4</v>
      </c>
      <c r="T108" s="36"/>
      <c r="U108" s="57"/>
      <c r="V108" s="674"/>
      <c r="W108" s="672"/>
      <c r="X108" s="672">
        <f>SUM(X105:X107)</f>
        <v>4396.9999999999991</v>
      </c>
      <c r="Y108" s="672">
        <f>SUM(Y105:Y107)</f>
        <v>4397.0000000000073</v>
      </c>
      <c r="Z108" s="672"/>
      <c r="AA108" s="672">
        <f>SUM(AA105:AA107)</f>
        <v>-8.0717654782347381E-12</v>
      </c>
      <c r="AB108" s="672">
        <f>SUM(AB105:AB107)</f>
        <v>0</v>
      </c>
      <c r="AC108" s="35"/>
      <c r="AD108" s="35"/>
    </row>
    <row r="109" spans="1:42" s="32" customFormat="1" ht="13.5" customHeight="1" x14ac:dyDescent="0.25">
      <c r="A109" s="32" t="s">
        <v>125</v>
      </c>
      <c r="B109" s="33"/>
      <c r="D109" s="31"/>
      <c r="E109" s="31"/>
      <c r="F109" s="31"/>
      <c r="G109" s="30"/>
      <c r="H109" s="33"/>
      <c r="I109" s="30"/>
      <c r="J109" s="33"/>
      <c r="K109" s="33"/>
      <c r="L109" s="33"/>
      <c r="M109" s="29"/>
      <c r="N109" s="29"/>
      <c r="O109" s="29"/>
      <c r="P109" s="30"/>
      <c r="Q109" s="33"/>
      <c r="R109" s="30"/>
      <c r="S109" s="470"/>
      <c r="T109" s="33"/>
      <c r="U109" s="29"/>
      <c r="V109" s="29"/>
      <c r="W109" s="30"/>
      <c r="X109" s="33"/>
      <c r="Y109" s="30"/>
      <c r="Z109" s="33"/>
      <c r="AA109" s="29"/>
    </row>
    <row r="110" spans="1:42" ht="12.75" customHeight="1" x14ac:dyDescent="0.2">
      <c r="A110" s="16"/>
      <c r="B110" s="16"/>
      <c r="C110" s="16"/>
      <c r="D110" s="15"/>
      <c r="E110" s="15"/>
      <c r="F110" s="15"/>
      <c r="G110" s="24"/>
      <c r="H110" s="24"/>
      <c r="I110" s="27"/>
      <c r="J110" s="26"/>
      <c r="K110" s="26"/>
      <c r="L110" s="26"/>
      <c r="M110" s="28"/>
      <c r="N110" s="28"/>
      <c r="O110" s="28"/>
      <c r="P110" s="24"/>
      <c r="Q110" s="24"/>
      <c r="R110" s="27"/>
      <c r="S110" s="26"/>
      <c r="T110" s="26"/>
      <c r="U110" s="28"/>
      <c r="V110" s="28"/>
      <c r="W110" s="24"/>
      <c r="X110" s="24"/>
      <c r="Y110" s="27"/>
      <c r="Z110" s="26"/>
      <c r="AA110" s="28"/>
    </row>
    <row r="111" spans="1:42" ht="5.25" customHeight="1" x14ac:dyDescent="0.2">
      <c r="A111" s="24"/>
      <c r="B111" s="24"/>
      <c r="C111" s="16"/>
      <c r="D111" s="15"/>
      <c r="E111" s="15"/>
      <c r="F111" s="15"/>
      <c r="G111" s="24"/>
      <c r="H111" s="24"/>
      <c r="I111" s="24"/>
      <c r="J111" s="24"/>
      <c r="K111" s="24"/>
      <c r="L111" s="24"/>
      <c r="M111" s="25"/>
      <c r="N111" s="25"/>
      <c r="O111" s="25"/>
      <c r="P111" s="24"/>
      <c r="Q111" s="24"/>
      <c r="R111" s="24"/>
      <c r="S111" s="24"/>
      <c r="T111" s="24"/>
      <c r="U111" s="25"/>
      <c r="V111" s="25"/>
      <c r="W111" s="24"/>
      <c r="X111" s="24"/>
      <c r="Y111" s="24"/>
      <c r="Z111" s="24"/>
      <c r="AA111" s="25"/>
    </row>
    <row r="112" spans="1:42" ht="15.75" customHeight="1" x14ac:dyDescent="0.25">
      <c r="A112" s="713"/>
      <c r="B112" s="714"/>
      <c r="C112" s="714"/>
      <c r="D112" s="714"/>
      <c r="E112" s="714"/>
      <c r="F112" s="714"/>
      <c r="G112" s="715"/>
      <c r="H112" s="714"/>
      <c r="I112" s="714"/>
      <c r="J112" s="714"/>
      <c r="K112" s="714"/>
      <c r="L112" s="714"/>
      <c r="M112" s="675"/>
      <c r="N112" s="675"/>
      <c r="O112" s="675"/>
      <c r="P112" s="23"/>
      <c r="U112" s="661"/>
      <c r="V112" s="675"/>
      <c r="W112" s="23"/>
      <c r="AA112" s="661"/>
    </row>
    <row r="113" spans="1:27" ht="21" customHeight="1" x14ac:dyDescent="0.25">
      <c r="A113" s="16"/>
      <c r="B113" s="16"/>
      <c r="C113" s="16"/>
      <c r="D113" s="15"/>
      <c r="E113" s="15" t="s">
        <v>126</v>
      </c>
      <c r="F113" s="4">
        <f>SUM(F90:F102)+F54</f>
        <v>53527</v>
      </c>
      <c r="G113" s="4">
        <f>SUM(G90:G102)+G54</f>
        <v>6423.2400000000007</v>
      </c>
      <c r="H113" s="17"/>
      <c r="I113" s="4">
        <f>SUM(I90:I102)+I54</f>
        <v>47103.76</v>
      </c>
      <c r="M113" s="688"/>
      <c r="N113" s="688"/>
      <c r="O113" s="4">
        <f>SUM(O90:O102)+O54</f>
        <v>58009.369999999995</v>
      </c>
      <c r="P113" s="4">
        <f>SUM(P90:P102)+P54</f>
        <v>11324.050000000008</v>
      </c>
      <c r="Q113" s="17"/>
      <c r="R113" s="4">
        <f>SUM(R90:R102)+R54</f>
        <v>46685.319999999992</v>
      </c>
      <c r="U113" s="21">
        <f>SUM(U107:U107)</f>
        <v>0</v>
      </c>
      <c r="V113" s="688"/>
      <c r="W113" s="17"/>
      <c r="X113" s="4">
        <f>SUM(X90:X102)+X54</f>
        <v>4482.369999999999</v>
      </c>
      <c r="Y113" s="4">
        <f>SUM(Y90:Y102)+Y54</f>
        <v>4900.8100000000068</v>
      </c>
      <c r="Z113" s="17"/>
      <c r="AA113" s="4">
        <f>SUM(AA90:AA102)+AA54</f>
        <v>-418.44000000000801</v>
      </c>
    </row>
    <row r="114" spans="1:27" ht="15" customHeight="1" x14ac:dyDescent="0.25">
      <c r="A114" s="22"/>
      <c r="B114" s="22"/>
      <c r="C114" s="16"/>
      <c r="D114" s="15"/>
      <c r="E114" s="15"/>
      <c r="F114" s="15"/>
      <c r="G114" s="21"/>
      <c r="H114" s="17"/>
      <c r="I114" s="21"/>
      <c r="M114" s="21"/>
      <c r="N114" s="21"/>
      <c r="O114" s="21"/>
      <c r="P114" s="21"/>
      <c r="Q114" s="17"/>
      <c r="R114" s="21"/>
      <c r="V114" s="21"/>
      <c r="W114" s="21"/>
      <c r="X114" s="17"/>
      <c r="Y114" s="21"/>
      <c r="Z114" s="17"/>
      <c r="AA114" s="21"/>
    </row>
    <row r="115" spans="1:27" ht="15" customHeight="1" x14ac:dyDescent="0.25">
      <c r="A115" s="8"/>
      <c r="B115" s="8"/>
      <c r="C115" s="20"/>
      <c r="D115" s="19"/>
      <c r="E115" s="19" t="s">
        <v>127</v>
      </c>
      <c r="F115" s="18">
        <f>F99+F98+F97+F96+F94+F93+F92+F54+F90+F100+F102+F103</f>
        <v>53727</v>
      </c>
      <c r="G115" s="18">
        <f>G99+G98+G97+G96+G94+G93+G92+G54+G90+G100+G102+G103</f>
        <v>6623.2400000000007</v>
      </c>
      <c r="H115" s="17"/>
      <c r="I115" s="18">
        <f>I99+I98+I97+I96+I94+I93+I92+I54+I90+I100+I102+I103</f>
        <v>47103.76</v>
      </c>
      <c r="J115" s="17"/>
      <c r="K115" s="17"/>
      <c r="L115" s="17"/>
      <c r="M115" s="9"/>
      <c r="N115" s="19" t="s">
        <v>127</v>
      </c>
      <c r="O115" s="18">
        <f>O99+O98+O97+O96+O94+O93+O92+O54+O90+O100+O102+O103</f>
        <v>57709.369999999995</v>
      </c>
      <c r="P115" s="18">
        <f>P99+P98+P97+P96+P94+P93+P92+P54+P90+P100+P102+P103</f>
        <v>11798.05000000001</v>
      </c>
      <c r="Q115" s="17"/>
      <c r="R115" s="18">
        <f>R99+R98+R97+R96+R94+R93+R92+R54+R90+R100+R102+R103</f>
        <v>45911.319999999992</v>
      </c>
      <c r="S115" s="17"/>
      <c r="T115" s="17"/>
      <c r="U115" s="21">
        <f>U99+U98+U97+U96+U94+U93+U92+U54</f>
        <v>0</v>
      </c>
      <c r="V115" s="9"/>
      <c r="W115" s="19" t="s">
        <v>127</v>
      </c>
      <c r="X115" s="18">
        <f>X99+X98+X97+X96+X94+X93+X92+X54+X90+X100+X102+X103</f>
        <v>3982.369999999999</v>
      </c>
      <c r="Y115" s="18">
        <f>Y99+Y98+Y97+Y96+Y94+Y93+Y92+Y54+Y90+Y100+Y102+Y103</f>
        <v>5174.8100000000077</v>
      </c>
      <c r="Z115" s="17"/>
      <c r="AA115" s="18">
        <f>AA99+AA98+AA97+AA96+AA94+AA93+AA92+AA54+AA90+AA100+AA102+AA103</f>
        <v>-1192.4400000000085</v>
      </c>
    </row>
    <row r="116" spans="1:27" ht="15" customHeight="1" x14ac:dyDescent="0.25">
      <c r="A116" s="8"/>
      <c r="B116" s="8"/>
      <c r="C116" s="16" t="s">
        <v>72</v>
      </c>
      <c r="D116" s="15"/>
      <c r="E116" s="15"/>
      <c r="F116" s="15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ht="15" customHeight="1" x14ac:dyDescent="0.25">
      <c r="A117" s="8"/>
      <c r="B117" s="8"/>
      <c r="C117" s="16"/>
      <c r="D117" s="15"/>
      <c r="E117" s="15" t="s">
        <v>128</v>
      </c>
      <c r="F117" s="15"/>
      <c r="G117" s="21">
        <f>G115+G113</f>
        <v>13046.480000000001</v>
      </c>
      <c r="H117" s="17"/>
      <c r="I117" s="21">
        <f>I115+I113</f>
        <v>94207.52</v>
      </c>
      <c r="J117" s="17"/>
      <c r="K117" s="17"/>
      <c r="L117" s="17"/>
      <c r="M117" s="9"/>
      <c r="N117" s="9"/>
      <c r="O117" s="9"/>
      <c r="P117" s="21">
        <f>P115+P113</f>
        <v>23122.10000000002</v>
      </c>
      <c r="Q117" s="17"/>
      <c r="R117" s="21">
        <f>R115+R113</f>
        <v>92596.639999999985</v>
      </c>
      <c r="S117" s="17"/>
      <c r="T117" s="17"/>
      <c r="U117" s="21">
        <f>U115+U122</f>
        <v>0</v>
      </c>
      <c r="V117" s="9"/>
      <c r="W117" s="17"/>
      <c r="X117" s="17"/>
      <c r="Y117" s="17"/>
      <c r="Z117" s="17"/>
      <c r="AA117" s="9"/>
    </row>
    <row r="118" spans="1:27" ht="15" customHeight="1" x14ac:dyDescent="0.25">
      <c r="A118" s="689"/>
      <c r="B118" s="689"/>
      <c r="C118" s="689"/>
      <c r="G118" s="688"/>
      <c r="H118" s="689"/>
      <c r="I118" s="689"/>
      <c r="J118" s="689"/>
      <c r="K118" s="689"/>
      <c r="L118" s="689"/>
      <c r="M118" s="9"/>
      <c r="N118" s="9"/>
      <c r="O118" s="9"/>
      <c r="P118" s="688"/>
      <c r="Q118" s="689"/>
      <c r="R118" s="9"/>
      <c r="S118" s="689"/>
      <c r="T118" s="689"/>
      <c r="U118" s="9"/>
      <c r="V118" s="9"/>
      <c r="W118" s="688"/>
      <c r="X118" s="689"/>
      <c r="Y118" s="689"/>
      <c r="Z118" s="689"/>
      <c r="AA118" s="9"/>
    </row>
    <row r="119" spans="1:27" ht="15" customHeight="1" x14ac:dyDescent="0.25">
      <c r="A119" s="689"/>
      <c r="B119" s="689"/>
      <c r="C119" s="14"/>
      <c r="D119" s="13"/>
      <c r="E119" s="13" t="s">
        <v>129</v>
      </c>
      <c r="F119" s="13"/>
      <c r="G119" s="12">
        <f>G108-G117</f>
        <v>25372.42</v>
      </c>
      <c r="H119" s="689"/>
      <c r="I119" s="11">
        <f>I32+I33+I34+I35</f>
        <v>3981.56</v>
      </c>
      <c r="J119" s="689"/>
      <c r="K119" s="689"/>
      <c r="L119" s="689"/>
      <c r="M119" s="9"/>
      <c r="N119" s="9"/>
      <c r="O119" s="9"/>
      <c r="P119" s="688"/>
      <c r="Q119" s="689"/>
      <c r="R119" s="11">
        <f>R32+R33+R34+R35</f>
        <v>4400</v>
      </c>
      <c r="S119" s="689"/>
      <c r="T119" s="689"/>
      <c r="U119" s="9"/>
      <c r="V119" s="9"/>
      <c r="W119" s="688"/>
      <c r="X119" s="689"/>
      <c r="Y119" s="689"/>
      <c r="Z119" s="689"/>
      <c r="AA119" s="9"/>
    </row>
    <row r="120" spans="1:27" ht="15" customHeight="1" x14ac:dyDescent="0.25">
      <c r="A120" s="689"/>
      <c r="B120" s="689"/>
      <c r="C120" s="689"/>
      <c r="G120" s="688"/>
      <c r="H120" s="689"/>
      <c r="I120" s="10">
        <f>I119+I117</f>
        <v>98189.08</v>
      </c>
      <c r="J120" s="689"/>
      <c r="K120" s="689"/>
      <c r="L120" s="689"/>
      <c r="M120" s="9"/>
      <c r="N120" s="9"/>
      <c r="O120" s="9"/>
      <c r="P120" s="688"/>
      <c r="Q120" s="689"/>
      <c r="R120" s="10">
        <f>R119+R117</f>
        <v>96996.639999999985</v>
      </c>
      <c r="S120" s="689"/>
      <c r="T120" s="689"/>
      <c r="U120" s="9"/>
      <c r="V120" s="9"/>
      <c r="W120" s="688"/>
      <c r="X120" s="689"/>
      <c r="Y120" s="689"/>
      <c r="Z120" s="689"/>
      <c r="AA120" s="9"/>
    </row>
    <row r="121" spans="1:27" x14ac:dyDescent="0.25">
      <c r="R121" s="662"/>
    </row>
    <row r="122" spans="1:27" ht="15" customHeight="1" x14ac:dyDescent="0.2">
      <c r="J122" s="8" t="s">
        <v>130</v>
      </c>
      <c r="K122" s="8"/>
      <c r="L122" s="8"/>
      <c r="R122" s="8" t="s">
        <v>130</v>
      </c>
      <c r="S122" s="688">
        <f>U54+U92+U96+U97+U98</f>
        <v>0</v>
      </c>
      <c r="T122" s="688"/>
    </row>
    <row r="123" spans="1:27" ht="14.25" customHeight="1" x14ac:dyDescent="0.2">
      <c r="J123" s="8" t="s">
        <v>131</v>
      </c>
      <c r="K123" s="8"/>
      <c r="L123" s="8"/>
      <c r="R123" s="8" t="s">
        <v>131</v>
      </c>
      <c r="S123" s="7" t="e">
        <f>U93+U94+#REF!+U99+#REF!+#REF!+U100+#REF!</f>
        <v>#REF!</v>
      </c>
      <c r="T123" s="7"/>
    </row>
    <row r="124" spans="1:27" ht="29.25" customHeight="1" x14ac:dyDescent="0.25">
      <c r="C124" s="158"/>
      <c r="F124" s="6">
        <f>F33+F34+F35</f>
        <v>4253.43</v>
      </c>
      <c r="O124" s="6">
        <f>O33+O34+O35</f>
        <v>4998.0600000000004</v>
      </c>
      <c r="R124" s="6">
        <f>R33+R34+R35</f>
        <v>4400</v>
      </c>
      <c r="S124" s="11">
        <f>U102</f>
        <v>0</v>
      </c>
      <c r="T124" s="11"/>
    </row>
    <row r="125" spans="1:27" ht="27.75" customHeight="1" x14ac:dyDescent="0.25">
      <c r="C125" s="158"/>
      <c r="R125" s="662"/>
      <c r="S125" s="5" t="e">
        <f>SUM(S122:S124)</f>
        <v>#REF!</v>
      </c>
      <c r="T125" s="5"/>
    </row>
    <row r="126" spans="1:27" ht="26.1" customHeight="1" x14ac:dyDescent="0.25">
      <c r="C126" s="158"/>
      <c r="R126" s="662"/>
    </row>
    <row r="127" spans="1:27" ht="26.1" customHeight="1" x14ac:dyDescent="0.25">
      <c r="C127" s="158"/>
      <c r="G127" s="4"/>
      <c r="P127" s="4"/>
      <c r="R127" s="662"/>
      <c r="W127" s="4"/>
    </row>
    <row r="128" spans="1:27" s="3" customFormat="1" ht="26.1" customHeight="1" x14ac:dyDescent="0.25">
      <c r="A128" s="661"/>
      <c r="B128" s="661"/>
      <c r="C128" s="159"/>
      <c r="G128" s="4"/>
      <c r="M128" s="2"/>
      <c r="N128" s="2"/>
      <c r="O128" s="2"/>
      <c r="P128" s="4"/>
      <c r="R128" s="2"/>
      <c r="U128" s="2"/>
      <c r="V128" s="2"/>
      <c r="W128" s="4"/>
      <c r="AA128" s="2"/>
    </row>
    <row r="129" spans="1:27" s="3" customFormat="1" ht="26.1" customHeight="1" x14ac:dyDescent="0.25">
      <c r="C129" s="159"/>
      <c r="G129" s="4"/>
      <c r="M129" s="2"/>
      <c r="N129" s="2"/>
      <c r="O129" s="2" t="s">
        <v>72</v>
      </c>
      <c r="P129" s="4"/>
      <c r="U129" s="2"/>
      <c r="V129" s="2"/>
      <c r="W129" s="4"/>
      <c r="AA129" s="2"/>
    </row>
    <row r="130" spans="1:27" s="3" customFormat="1" x14ac:dyDescent="0.25">
      <c r="C130" s="159"/>
      <c r="G130" s="663"/>
      <c r="M130" s="2"/>
      <c r="N130" s="2"/>
      <c r="O130" s="2"/>
      <c r="P130" s="663"/>
      <c r="U130" s="2"/>
      <c r="V130" s="2"/>
      <c r="W130" s="663"/>
      <c r="AA130" s="2"/>
    </row>
    <row r="131" spans="1:27" ht="39" customHeight="1" x14ac:dyDescent="0.25">
      <c r="A131" s="3"/>
      <c r="B131" s="3"/>
      <c r="C131" s="158"/>
    </row>
    <row r="132" spans="1:27" ht="26.1" customHeight="1" x14ac:dyDescent="0.25">
      <c r="C132" s="158"/>
    </row>
    <row r="133" spans="1:27" ht="32.25" customHeight="1" x14ac:dyDescent="0.25">
      <c r="C133" s="158"/>
    </row>
    <row r="134" spans="1:27" ht="38.25" customHeight="1" x14ac:dyDescent="0.25">
      <c r="C134" s="158"/>
    </row>
    <row r="159" spans="9:27" x14ac:dyDescent="0.25">
      <c r="I159" s="663"/>
      <c r="J159" s="663"/>
      <c r="K159" s="663"/>
      <c r="L159" s="663"/>
      <c r="M159" s="1"/>
      <c r="N159" s="1"/>
      <c r="O159" s="1"/>
      <c r="R159" s="663"/>
      <c r="S159" s="663"/>
      <c r="T159" s="663"/>
      <c r="U159" s="1"/>
      <c r="V159" s="1"/>
      <c r="Y159" s="663"/>
      <c r="Z159" s="663"/>
      <c r="AA159" s="1"/>
    </row>
    <row r="160" spans="9:27" x14ac:dyDescent="0.25">
      <c r="I160" s="663"/>
      <c r="J160" s="663"/>
      <c r="K160" s="663"/>
      <c r="L160" s="663"/>
      <c r="M160" s="1"/>
      <c r="N160" s="1"/>
      <c r="O160" s="1"/>
      <c r="R160" s="663"/>
      <c r="S160" s="663"/>
      <c r="T160" s="663"/>
      <c r="U160" s="1"/>
      <c r="V160" s="1"/>
      <c r="Y160" s="663"/>
      <c r="Z160" s="663"/>
      <c r="AA160" s="1"/>
    </row>
    <row r="161" spans="9:27" x14ac:dyDescent="0.25">
      <c r="I161" s="663"/>
      <c r="J161" s="663"/>
      <c r="K161" s="663"/>
      <c r="L161" s="663"/>
      <c r="M161" s="1"/>
      <c r="N161" s="1"/>
      <c r="O161" s="1"/>
      <c r="R161" s="663"/>
      <c r="S161" s="663"/>
      <c r="T161" s="663"/>
      <c r="U161" s="1"/>
      <c r="V161" s="1"/>
      <c r="Y161" s="663"/>
      <c r="Z161" s="663"/>
      <c r="AA161" s="1"/>
    </row>
    <row r="162" spans="9:27" x14ac:dyDescent="0.25">
      <c r="I162" s="663"/>
      <c r="J162" s="663"/>
      <c r="K162" s="663"/>
      <c r="L162" s="663"/>
      <c r="M162" s="1"/>
      <c r="N162" s="1"/>
      <c r="O162" s="1"/>
      <c r="R162" s="663"/>
      <c r="S162" s="663"/>
      <c r="T162" s="663"/>
      <c r="U162" s="1"/>
      <c r="V162" s="1"/>
      <c r="Y162" s="663"/>
      <c r="Z162" s="663"/>
      <c r="AA162" s="1"/>
    </row>
    <row r="163" spans="9:27" x14ac:dyDescent="0.25">
      <c r="I163" s="663"/>
      <c r="J163" s="663"/>
      <c r="K163" s="663"/>
      <c r="L163" s="663"/>
      <c r="M163" s="1"/>
      <c r="N163" s="1"/>
      <c r="O163" s="1"/>
      <c r="R163" s="663"/>
      <c r="S163" s="663"/>
      <c r="T163" s="663"/>
      <c r="U163" s="1"/>
      <c r="V163" s="1"/>
      <c r="Y163" s="663"/>
      <c r="Z163" s="663"/>
      <c r="AA163" s="1"/>
    </row>
    <row r="164" spans="9:27" x14ac:dyDescent="0.25">
      <c r="I164" s="663"/>
      <c r="J164" s="663"/>
      <c r="K164" s="663"/>
      <c r="L164" s="663"/>
      <c r="M164" s="1"/>
      <c r="N164" s="1"/>
      <c r="O164" s="1"/>
      <c r="R164" s="663"/>
      <c r="S164" s="663"/>
      <c r="T164" s="663"/>
      <c r="U164" s="1"/>
      <c r="V164" s="1"/>
      <c r="Y164" s="663"/>
      <c r="Z164" s="663"/>
      <c r="AA164" s="1"/>
    </row>
    <row r="165" spans="9:27" x14ac:dyDescent="0.25">
      <c r="I165" s="663"/>
      <c r="J165" s="663"/>
      <c r="K165" s="663"/>
      <c r="L165" s="663"/>
      <c r="M165" s="1"/>
      <c r="N165" s="1"/>
      <c r="O165" s="1"/>
      <c r="R165" s="663"/>
      <c r="S165" s="663"/>
      <c r="T165" s="663"/>
      <c r="U165" s="1"/>
      <c r="V165" s="1"/>
      <c r="Y165" s="663"/>
      <c r="Z165" s="663"/>
      <c r="AA165" s="1"/>
    </row>
    <row r="166" spans="9:27" x14ac:dyDescent="0.25">
      <c r="I166" s="663"/>
      <c r="J166" s="663"/>
      <c r="K166" s="663"/>
      <c r="L166" s="663"/>
      <c r="M166" s="1"/>
      <c r="N166" s="1"/>
      <c r="O166" s="1"/>
      <c r="R166" s="663"/>
      <c r="S166" s="663"/>
      <c r="T166" s="663"/>
      <c r="U166" s="1"/>
      <c r="V166" s="1"/>
      <c r="Y166" s="663"/>
      <c r="Z166" s="663"/>
      <c r="AA166" s="1"/>
    </row>
    <row r="167" spans="9:27" x14ac:dyDescent="0.25">
      <c r="I167" s="663"/>
      <c r="J167" s="663"/>
      <c r="K167" s="663"/>
      <c r="L167" s="663"/>
      <c r="M167" s="1"/>
      <c r="N167" s="1"/>
      <c r="O167" s="1"/>
      <c r="R167" s="663"/>
      <c r="S167" s="663"/>
      <c r="T167" s="663"/>
      <c r="U167" s="1"/>
      <c r="V167" s="1"/>
      <c r="Y167" s="663"/>
      <c r="Z167" s="663"/>
      <c r="AA167" s="1"/>
    </row>
    <row r="168" spans="9:27" x14ac:dyDescent="0.25">
      <c r="I168" s="663"/>
      <c r="J168" s="663"/>
      <c r="K168" s="663"/>
      <c r="L168" s="663"/>
      <c r="M168" s="1"/>
      <c r="N168" s="1"/>
      <c r="O168" s="1"/>
      <c r="R168" s="663"/>
      <c r="S168" s="663"/>
      <c r="T168" s="663"/>
      <c r="U168" s="1"/>
      <c r="V168" s="1"/>
      <c r="Y168" s="663"/>
      <c r="Z168" s="663"/>
      <c r="AA168" s="1"/>
    </row>
    <row r="169" spans="9:27" x14ac:dyDescent="0.25">
      <c r="I169" s="663"/>
      <c r="J169" s="663"/>
      <c r="K169" s="663"/>
      <c r="L169" s="663"/>
      <c r="M169" s="1"/>
      <c r="N169" s="1"/>
      <c r="O169" s="1"/>
      <c r="R169" s="663"/>
      <c r="S169" s="663"/>
      <c r="T169" s="663"/>
      <c r="U169" s="1"/>
      <c r="V169" s="1"/>
      <c r="Y169" s="663"/>
      <c r="Z169" s="663"/>
      <c r="AA169" s="1"/>
    </row>
    <row r="170" spans="9:27" x14ac:dyDescent="0.25">
      <c r="I170" s="663"/>
      <c r="J170" s="663"/>
      <c r="K170" s="663"/>
      <c r="L170" s="663"/>
      <c r="M170" s="1"/>
      <c r="N170" s="1"/>
      <c r="O170" s="1"/>
      <c r="R170" s="663"/>
      <c r="S170" s="663"/>
      <c r="T170" s="663"/>
      <c r="U170" s="1"/>
      <c r="V170" s="1"/>
      <c r="Y170" s="663"/>
      <c r="Z170" s="663"/>
      <c r="AA170" s="1"/>
    </row>
    <row r="171" spans="9:27" x14ac:dyDescent="0.25">
      <c r="I171" s="663"/>
      <c r="J171" s="663"/>
      <c r="K171" s="663"/>
      <c r="L171" s="663"/>
      <c r="M171" s="1"/>
      <c r="N171" s="1"/>
      <c r="O171" s="1"/>
      <c r="R171" s="663"/>
      <c r="S171" s="663"/>
      <c r="T171" s="663"/>
      <c r="U171" s="1"/>
      <c r="V171" s="1"/>
      <c r="Y171" s="663"/>
      <c r="Z171" s="663"/>
      <c r="AA171" s="1"/>
    </row>
    <row r="172" spans="9:27" x14ac:dyDescent="0.25">
      <c r="I172" s="663"/>
      <c r="J172" s="663"/>
      <c r="K172" s="663"/>
      <c r="L172" s="663"/>
      <c r="M172" s="1"/>
      <c r="N172" s="1"/>
      <c r="O172" s="1"/>
      <c r="R172" s="663"/>
      <c r="S172" s="663"/>
      <c r="T172" s="663"/>
      <c r="U172" s="1"/>
      <c r="V172" s="1"/>
      <c r="Y172" s="663"/>
      <c r="Z172" s="663"/>
      <c r="AA172" s="1"/>
    </row>
    <row r="173" spans="9:27" x14ac:dyDescent="0.25">
      <c r="I173" s="663"/>
      <c r="J173" s="663"/>
      <c r="K173" s="663"/>
      <c r="L173" s="663"/>
      <c r="M173" s="1"/>
      <c r="N173" s="1"/>
      <c r="O173" s="1"/>
      <c r="R173" s="663"/>
      <c r="S173" s="663"/>
      <c r="T173" s="663"/>
      <c r="U173" s="1"/>
      <c r="V173" s="1"/>
      <c r="Y173" s="663"/>
      <c r="Z173" s="663"/>
      <c r="AA173" s="1"/>
    </row>
    <row r="174" spans="9:27" x14ac:dyDescent="0.25">
      <c r="I174" s="663"/>
      <c r="J174" s="663"/>
      <c r="K174" s="663"/>
      <c r="L174" s="663"/>
      <c r="M174" s="1"/>
      <c r="N174" s="1"/>
      <c r="O174" s="1"/>
      <c r="R174" s="663"/>
      <c r="S174" s="663"/>
      <c r="T174" s="663"/>
      <c r="U174" s="1"/>
      <c r="V174" s="1"/>
      <c r="Y174" s="663"/>
      <c r="Z174" s="663"/>
      <c r="AA174" s="1"/>
    </row>
    <row r="175" spans="9:27" x14ac:dyDescent="0.25">
      <c r="I175" s="663"/>
      <c r="J175" s="663"/>
      <c r="K175" s="663"/>
      <c r="L175" s="663"/>
      <c r="M175" s="1"/>
      <c r="N175" s="1"/>
      <c r="O175" s="1"/>
      <c r="R175" s="663"/>
      <c r="S175" s="663"/>
      <c r="T175" s="663"/>
      <c r="U175" s="1"/>
      <c r="V175" s="1"/>
      <c r="Y175" s="663"/>
      <c r="Z175" s="663"/>
      <c r="AA175" s="1"/>
    </row>
    <row r="176" spans="9:27" x14ac:dyDescent="0.25">
      <c r="I176" s="663"/>
      <c r="J176" s="663"/>
      <c r="K176" s="663"/>
      <c r="L176" s="663"/>
      <c r="M176" s="1"/>
      <c r="N176" s="1"/>
      <c r="O176" s="1"/>
      <c r="R176" s="663"/>
      <c r="S176" s="663"/>
      <c r="T176" s="663"/>
      <c r="U176" s="1"/>
      <c r="V176" s="1"/>
      <c r="Y176" s="663"/>
      <c r="Z176" s="663"/>
      <c r="AA176" s="1"/>
    </row>
    <row r="177" spans="9:27" x14ac:dyDescent="0.25">
      <c r="I177" s="663"/>
      <c r="J177" s="663"/>
      <c r="K177" s="663"/>
      <c r="L177" s="663"/>
      <c r="M177" s="1"/>
      <c r="N177" s="1"/>
      <c r="O177" s="1"/>
      <c r="R177" s="663"/>
      <c r="S177" s="663"/>
      <c r="T177" s="663"/>
      <c r="U177" s="1"/>
      <c r="V177" s="1"/>
      <c r="Y177" s="663"/>
      <c r="Z177" s="663"/>
      <c r="AA177" s="1"/>
    </row>
    <row r="12515" spans="3:28" ht="14.45" customHeight="1" x14ac:dyDescent="0.25">
      <c r="C12515" t="s">
        <v>113</v>
      </c>
      <c r="D12515" t="s">
        <v>109</v>
      </c>
      <c r="E12515">
        <v>263.24</v>
      </c>
      <c r="F12515">
        <v>11952.5</v>
      </c>
      <c r="G12515">
        <v>1434.3</v>
      </c>
      <c r="I12515">
        <v>10518.2</v>
      </c>
      <c r="J12515">
        <v>0</v>
      </c>
      <c r="M12515" t="s">
        <v>109</v>
      </c>
      <c r="N12515">
        <v>254.20699999999999</v>
      </c>
      <c r="O12515">
        <v>16526.21</v>
      </c>
      <c r="P12515">
        <v>4527.3990000000067</v>
      </c>
      <c r="R12515">
        <v>11998.810999999991</v>
      </c>
      <c r="S12515">
        <v>0</v>
      </c>
      <c r="V12515" t="s">
        <v>109</v>
      </c>
      <c r="W12515">
        <v>-9.0330000000000155</v>
      </c>
      <c r="X12515">
        <v>4573.71</v>
      </c>
      <c r="Y12515">
        <v>3093.099000000007</v>
      </c>
      <c r="AA12515">
        <v>1480.610999999994</v>
      </c>
      <c r="AB12515">
        <v>0</v>
      </c>
    </row>
  </sheetData>
  <mergeCells count="107">
    <mergeCell ref="S1:U1"/>
    <mergeCell ref="Z1:AA1"/>
    <mergeCell ref="A2:W2"/>
    <mergeCell ref="X2:Y2"/>
    <mergeCell ref="A3:L3"/>
    <mergeCell ref="A4:A8"/>
    <mergeCell ref="B4:B8"/>
    <mergeCell ref="C4:C8"/>
    <mergeCell ref="D4:L4"/>
    <mergeCell ref="M4:U4"/>
    <mergeCell ref="F6:F8"/>
    <mergeCell ref="G6:G8"/>
    <mergeCell ref="H6:J6"/>
    <mergeCell ref="K6:K8"/>
    <mergeCell ref="L6:L8"/>
    <mergeCell ref="O6:O8"/>
    <mergeCell ref="V4:AD4"/>
    <mergeCell ref="D5:D8"/>
    <mergeCell ref="E5:E8"/>
    <mergeCell ref="F5:L5"/>
    <mergeCell ref="M5:M8"/>
    <mergeCell ref="N5:N8"/>
    <mergeCell ref="O5:U5"/>
    <mergeCell ref="V5:V8"/>
    <mergeCell ref="A11:A14"/>
    <mergeCell ref="B11:C11"/>
    <mergeCell ref="B45:C45"/>
    <mergeCell ref="W5:W8"/>
    <mergeCell ref="X5:AD5"/>
    <mergeCell ref="Z6:AB6"/>
    <mergeCell ref="AC6:AC8"/>
    <mergeCell ref="AD6:AD8"/>
    <mergeCell ref="H7:I7"/>
    <mergeCell ref="J7:J8"/>
    <mergeCell ref="Q7:R7"/>
    <mergeCell ref="S7:S8"/>
    <mergeCell ref="Z7:AA7"/>
    <mergeCell ref="AB7:AB8"/>
    <mergeCell ref="P6:P8"/>
    <mergeCell ref="Q6:S6"/>
    <mergeCell ref="T6:T8"/>
    <mergeCell ref="U6:U8"/>
    <mergeCell ref="X6:X8"/>
    <mergeCell ref="Y6:Y8"/>
    <mergeCell ref="P57:P58"/>
    <mergeCell ref="R57:R58"/>
    <mergeCell ref="K61:K63"/>
    <mergeCell ref="L61:L63"/>
    <mergeCell ref="O61:O63"/>
    <mergeCell ref="D60:D63"/>
    <mergeCell ref="E60:E63"/>
    <mergeCell ref="A57:C58"/>
    <mergeCell ref="F57:F58"/>
    <mergeCell ref="G57:G58"/>
    <mergeCell ref="I57:I58"/>
    <mergeCell ref="J57:J58"/>
    <mergeCell ref="H62:I62"/>
    <mergeCell ref="J62:J63"/>
    <mergeCell ref="Q62:R62"/>
    <mergeCell ref="S57:S58"/>
    <mergeCell ref="X57:X58"/>
    <mergeCell ref="Y57:Y58"/>
    <mergeCell ref="AA57:AA58"/>
    <mergeCell ref="AB57:AB58"/>
    <mergeCell ref="V59:AD59"/>
    <mergeCell ref="F61:F63"/>
    <mergeCell ref="G61:G63"/>
    <mergeCell ref="H61:J61"/>
    <mergeCell ref="N60:N63"/>
    <mergeCell ref="O60:U60"/>
    <mergeCell ref="V60:V63"/>
    <mergeCell ref="W60:W63"/>
    <mergeCell ref="X60:AD60"/>
    <mergeCell ref="F60:L60"/>
    <mergeCell ref="M60:M63"/>
    <mergeCell ref="Z61:AB61"/>
    <mergeCell ref="AC61:AC63"/>
    <mergeCell ref="AD61:AD63"/>
    <mergeCell ref="D59:L59"/>
    <mergeCell ref="M59:U59"/>
    <mergeCell ref="M57:M58"/>
    <mergeCell ref="N57:N58"/>
    <mergeCell ref="O57:O58"/>
    <mergeCell ref="S62:S63"/>
    <mergeCell ref="Z62:AA62"/>
    <mergeCell ref="AB62:AB63"/>
    <mergeCell ref="P61:P63"/>
    <mergeCell ref="Q61:S61"/>
    <mergeCell ref="T61:T63"/>
    <mergeCell ref="U61:U63"/>
    <mergeCell ref="A112:L112"/>
    <mergeCell ref="C79:AA79"/>
    <mergeCell ref="A86:A87"/>
    <mergeCell ref="C86:AA86"/>
    <mergeCell ref="C88:AA88"/>
    <mergeCell ref="A104:C104"/>
    <mergeCell ref="A105:C105"/>
    <mergeCell ref="C72:AA72"/>
    <mergeCell ref="C75:AA75"/>
    <mergeCell ref="X61:X63"/>
    <mergeCell ref="Y61:Y63"/>
    <mergeCell ref="C67:AA67"/>
    <mergeCell ref="C70:AA70"/>
    <mergeCell ref="B66:AA66"/>
    <mergeCell ref="A59:A63"/>
    <mergeCell ref="B59:B63"/>
    <mergeCell ref="C59:C63"/>
  </mergeCells>
  <pageMargins left="0.41" right="0.16" top="0.51" bottom="0.2" header="0.3" footer="0.17"/>
  <pageSetup paperSize="9" scale="41" firstPageNumber="4" orientation="landscape" useFirstPageNumber="1" r:id="rId1"/>
  <headerFooter>
    <oddFooter>&amp;C&amp;20 P - &amp;P</oddFooter>
  </headerFooter>
  <rowBreaks count="2" manualBreakCount="2">
    <brk id="58" max="16383" man="1"/>
    <brk id="110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25" workbookViewId="0">
      <selection activeCell="E12" sqref="E12"/>
    </sheetView>
  </sheetViews>
  <sheetFormatPr defaultColWidth="13.85546875" defaultRowHeight="15.75" x14ac:dyDescent="0.25"/>
  <cols>
    <col min="1" max="1" width="7.5703125" style="697" customWidth="1"/>
    <col min="2" max="2" width="16.28515625" style="697" customWidth="1"/>
    <col min="3" max="3" width="16.5703125" style="697" customWidth="1"/>
    <col min="4" max="4" width="15.140625" style="697" customWidth="1"/>
    <col min="5" max="5" width="16.85546875" style="697" customWidth="1"/>
    <col min="6" max="7" width="19.85546875" style="697" customWidth="1"/>
    <col min="8" max="8" width="6.85546875" style="697" customWidth="1"/>
    <col min="9" max="9" width="13.42578125" style="697" customWidth="1"/>
    <col min="10" max="10" width="11" style="697" customWidth="1"/>
    <col min="11" max="11" width="10.28515625" style="697" customWidth="1"/>
    <col min="12" max="87" width="13.85546875" style="697" customWidth="1"/>
    <col min="88" max="16384" width="13.85546875" style="697"/>
  </cols>
  <sheetData>
    <row r="1" spans="1:12" ht="18.75" customHeight="1" x14ac:dyDescent="0.3">
      <c r="A1" s="809" t="s">
        <v>324</v>
      </c>
      <c r="B1" s="807"/>
      <c r="C1" s="807"/>
      <c r="D1" s="807"/>
      <c r="E1" s="807"/>
      <c r="F1" s="807"/>
      <c r="G1" s="696"/>
      <c r="H1" s="696"/>
      <c r="I1" s="696"/>
      <c r="J1" s="696"/>
      <c r="K1" s="696"/>
    </row>
    <row r="2" spans="1:12" ht="18.75" customHeight="1" x14ac:dyDescent="0.3">
      <c r="A2" s="411"/>
      <c r="B2" s="411"/>
      <c r="C2" s="411"/>
      <c r="D2" s="411"/>
      <c r="E2" s="411"/>
      <c r="F2" s="411"/>
      <c r="G2" s="411"/>
      <c r="H2" s="411"/>
      <c r="I2" s="411"/>
      <c r="J2" s="411"/>
      <c r="K2" s="411"/>
    </row>
    <row r="3" spans="1:12" ht="18.75" customHeight="1" x14ac:dyDescent="0.3">
      <c r="A3" s="810" t="s">
        <v>325</v>
      </c>
      <c r="B3" s="807"/>
      <c r="C3" s="807"/>
      <c r="D3" s="807"/>
      <c r="E3" s="807"/>
      <c r="F3" s="807"/>
      <c r="G3" s="698"/>
      <c r="H3" s="698"/>
      <c r="I3" s="698"/>
      <c r="J3" s="698"/>
      <c r="K3" s="698"/>
    </row>
    <row r="4" spans="1:12" x14ac:dyDescent="0.25">
      <c r="A4" s="412"/>
      <c r="B4" s="412"/>
      <c r="C4" s="412"/>
      <c r="D4" s="412"/>
      <c r="E4" s="412"/>
      <c r="F4" s="412"/>
      <c r="G4" s="412"/>
      <c r="H4" s="412"/>
      <c r="I4" s="412"/>
      <c r="J4" s="412"/>
      <c r="K4" s="412"/>
    </row>
    <row r="5" spans="1:12" x14ac:dyDescent="0.25">
      <c r="A5" s="806" t="s">
        <v>326</v>
      </c>
      <c r="B5" s="807"/>
      <c r="C5" s="806" t="s">
        <v>327</v>
      </c>
      <c r="D5" s="807"/>
      <c r="E5" s="807"/>
      <c r="F5" s="807"/>
      <c r="G5" s="699"/>
      <c r="H5" s="699"/>
      <c r="I5" s="699"/>
      <c r="J5" s="699"/>
      <c r="K5" s="699"/>
    </row>
    <row r="6" spans="1:12" x14ac:dyDescent="0.25">
      <c r="A6" s="806" t="s">
        <v>328</v>
      </c>
      <c r="B6" s="807"/>
      <c r="C6" s="806" t="s">
        <v>329</v>
      </c>
      <c r="D6" s="807"/>
      <c r="E6" s="807"/>
      <c r="F6" s="807"/>
      <c r="G6" s="647">
        <v>102234</v>
      </c>
      <c r="H6" s="699"/>
      <c r="I6" s="699"/>
      <c r="J6" s="699"/>
      <c r="K6" s="699"/>
    </row>
    <row r="7" spans="1:12" x14ac:dyDescent="0.25">
      <c r="A7" s="806" t="s">
        <v>330</v>
      </c>
      <c r="B7" s="807"/>
      <c r="C7" s="808" t="s">
        <v>331</v>
      </c>
      <c r="D7" s="807"/>
      <c r="E7" s="807"/>
      <c r="F7" s="807"/>
      <c r="G7" s="700"/>
      <c r="H7" s="700"/>
      <c r="I7" s="700"/>
      <c r="J7" s="700"/>
      <c r="K7" s="700"/>
    </row>
    <row r="8" spans="1:12" x14ac:dyDescent="0.25">
      <c r="A8" s="806" t="s">
        <v>332</v>
      </c>
      <c r="B8" s="807"/>
      <c r="C8" s="806" t="s">
        <v>333</v>
      </c>
      <c r="D8" s="807"/>
      <c r="E8" s="807"/>
      <c r="F8" s="807"/>
      <c r="G8" s="699"/>
      <c r="H8" s="699"/>
      <c r="I8" s="699"/>
      <c r="J8" s="699"/>
      <c r="K8" s="699"/>
    </row>
    <row r="9" spans="1:12" x14ac:dyDescent="0.25">
      <c r="A9" s="806" t="s">
        <v>334</v>
      </c>
      <c r="B9" s="807"/>
      <c r="C9" s="806" t="s">
        <v>335</v>
      </c>
      <c r="D9" s="807"/>
      <c r="E9" s="807"/>
      <c r="F9" s="807"/>
      <c r="G9" s="699"/>
      <c r="H9" s="699"/>
      <c r="I9" s="699"/>
      <c r="J9" s="699"/>
      <c r="K9" s="699"/>
    </row>
    <row r="10" spans="1:12" x14ac:dyDescent="0.25">
      <c r="F10" s="413" t="s">
        <v>336</v>
      </c>
      <c r="G10" s="413"/>
      <c r="H10" s="413"/>
      <c r="I10" s="413"/>
      <c r="J10" s="413"/>
      <c r="K10" s="413"/>
    </row>
    <row r="11" spans="1:12" ht="47.25" customHeight="1" x14ac:dyDescent="0.25">
      <c r="A11" s="414" t="s">
        <v>309</v>
      </c>
      <c r="B11" s="414" t="s">
        <v>337</v>
      </c>
      <c r="C11" s="414" t="s">
        <v>338</v>
      </c>
      <c r="D11" s="414" t="s">
        <v>339</v>
      </c>
      <c r="E11" s="414" t="s">
        <v>340</v>
      </c>
      <c r="F11" s="414" t="s">
        <v>341</v>
      </c>
      <c r="G11" s="415"/>
      <c r="H11" s="416"/>
      <c r="I11" s="417" t="s">
        <v>342</v>
      </c>
      <c r="J11" s="417"/>
      <c r="K11" s="417"/>
      <c r="L11" s="417"/>
    </row>
    <row r="12" spans="1:12" s="413" customFormat="1" x14ac:dyDescent="0.25">
      <c r="A12" s="417">
        <v>1</v>
      </c>
      <c r="B12" s="417">
        <v>2</v>
      </c>
      <c r="C12" s="417">
        <v>3</v>
      </c>
      <c r="D12" s="417">
        <v>4</v>
      </c>
      <c r="E12" s="417" t="s">
        <v>343</v>
      </c>
      <c r="F12" s="417" t="s">
        <v>344</v>
      </c>
      <c r="G12" s="418"/>
      <c r="H12" s="419"/>
      <c r="I12" s="420" t="s">
        <v>345</v>
      </c>
      <c r="J12" s="420" t="s">
        <v>16</v>
      </c>
      <c r="K12" s="420" t="s">
        <v>17</v>
      </c>
      <c r="L12" s="420" t="s">
        <v>11</v>
      </c>
    </row>
    <row r="13" spans="1:12" x14ac:dyDescent="0.25">
      <c r="A13" s="417">
        <v>11</v>
      </c>
      <c r="B13" s="421">
        <v>59529.599999999999</v>
      </c>
      <c r="C13" s="421">
        <f t="shared" ref="C13:C42" si="0">$B$13/30</f>
        <v>1984.32</v>
      </c>
      <c r="D13" s="421">
        <f t="shared" ref="D13:D42" si="1">B13*0.01/100</f>
        <v>5.9529600000000009</v>
      </c>
      <c r="E13" s="421">
        <f t="shared" ref="E13:E43" si="2">C13+D13</f>
        <v>1990.27296</v>
      </c>
      <c r="F13" s="421">
        <f t="shared" ref="F13:F42" si="3">B13-C13</f>
        <v>57545.279999999999</v>
      </c>
      <c r="G13" s="422"/>
      <c r="H13" s="419" t="s">
        <v>346</v>
      </c>
      <c r="I13" s="420">
        <v>231.42</v>
      </c>
      <c r="J13" s="420"/>
      <c r="K13" s="420">
        <v>849.67</v>
      </c>
      <c r="L13" s="420">
        <f>SUM(I13:K13)</f>
        <v>1081.0899999999999</v>
      </c>
    </row>
    <row r="14" spans="1:12" x14ac:dyDescent="0.25">
      <c r="A14" s="417">
        <v>12</v>
      </c>
      <c r="B14" s="421">
        <f t="shared" ref="B14:B42" si="4">F13</f>
        <v>57545.279999999999</v>
      </c>
      <c r="C14" s="421">
        <f t="shared" si="0"/>
        <v>1984.32</v>
      </c>
      <c r="D14" s="421">
        <f t="shared" si="1"/>
        <v>5.7545280000000005</v>
      </c>
      <c r="E14" s="421">
        <f t="shared" si="2"/>
        <v>1990.0745279999999</v>
      </c>
      <c r="F14" s="421">
        <f t="shared" si="3"/>
        <v>55560.959999999999</v>
      </c>
      <c r="G14" s="422"/>
      <c r="H14" s="419" t="s">
        <v>347</v>
      </c>
      <c r="I14" s="420">
        <v>375.2</v>
      </c>
      <c r="J14" s="420"/>
      <c r="K14" s="420"/>
      <c r="L14" s="420">
        <f>SUM(I14:K14)</f>
        <v>375.2</v>
      </c>
    </row>
    <row r="15" spans="1:12" x14ac:dyDescent="0.25">
      <c r="A15" s="417">
        <v>13</v>
      </c>
      <c r="B15" s="421">
        <f t="shared" si="4"/>
        <v>55560.959999999999</v>
      </c>
      <c r="C15" s="421">
        <f t="shared" si="0"/>
        <v>1984.32</v>
      </c>
      <c r="D15" s="421">
        <f t="shared" si="1"/>
        <v>5.5560960000000001</v>
      </c>
      <c r="E15" s="421">
        <f t="shared" si="2"/>
        <v>1989.876096</v>
      </c>
      <c r="F15" s="421">
        <f t="shared" si="3"/>
        <v>53576.639999999999</v>
      </c>
      <c r="G15" s="422"/>
      <c r="H15" s="419" t="s">
        <v>11</v>
      </c>
      <c r="I15" s="420">
        <f>SUM(I13:I14)</f>
        <v>606.62</v>
      </c>
      <c r="J15" s="420">
        <f>SUM(J13:J14)</f>
        <v>0</v>
      </c>
      <c r="K15" s="420">
        <f>SUM(K13:K14)</f>
        <v>849.67</v>
      </c>
      <c r="L15" s="420">
        <f>SUM(L13:L14)</f>
        <v>1456.29</v>
      </c>
    </row>
    <row r="16" spans="1:12" x14ac:dyDescent="0.25">
      <c r="A16" s="417">
        <v>14</v>
      </c>
      <c r="B16" s="421">
        <f t="shared" si="4"/>
        <v>53576.639999999999</v>
      </c>
      <c r="C16" s="421">
        <f t="shared" si="0"/>
        <v>1984.32</v>
      </c>
      <c r="D16" s="421">
        <f t="shared" si="1"/>
        <v>5.3576639999999998</v>
      </c>
      <c r="E16" s="421">
        <f t="shared" si="2"/>
        <v>1989.6776639999998</v>
      </c>
      <c r="F16" s="421">
        <f t="shared" si="3"/>
        <v>51592.32</v>
      </c>
      <c r="G16" s="422"/>
    </row>
    <row r="17" spans="1:12" x14ac:dyDescent="0.25">
      <c r="A17" s="417">
        <v>15</v>
      </c>
      <c r="B17" s="421">
        <f t="shared" si="4"/>
        <v>51592.32</v>
      </c>
      <c r="C17" s="421">
        <f t="shared" si="0"/>
        <v>1984.32</v>
      </c>
      <c r="D17" s="421">
        <f t="shared" si="1"/>
        <v>5.1592319999999994</v>
      </c>
      <c r="E17" s="421">
        <f t="shared" si="2"/>
        <v>1989.4792319999999</v>
      </c>
      <c r="F17" s="421">
        <f t="shared" si="3"/>
        <v>49608</v>
      </c>
      <c r="G17" s="423"/>
      <c r="H17" s="416"/>
      <c r="I17" s="417" t="s">
        <v>348</v>
      </c>
      <c r="J17" s="417"/>
      <c r="K17" s="417"/>
      <c r="L17" s="417"/>
    </row>
    <row r="18" spans="1:12" x14ac:dyDescent="0.25">
      <c r="A18" s="417">
        <v>16</v>
      </c>
      <c r="B18" s="421">
        <f t="shared" si="4"/>
        <v>49608</v>
      </c>
      <c r="C18" s="421">
        <f t="shared" si="0"/>
        <v>1984.32</v>
      </c>
      <c r="D18" s="421">
        <f t="shared" si="1"/>
        <v>4.9607999999999999</v>
      </c>
      <c r="E18" s="421">
        <f t="shared" si="2"/>
        <v>1989.2808</v>
      </c>
      <c r="F18" s="421">
        <f t="shared" si="3"/>
        <v>47623.68</v>
      </c>
      <c r="G18" s="422"/>
      <c r="H18" s="419"/>
      <c r="I18" s="420" t="s">
        <v>345</v>
      </c>
      <c r="J18" s="420" t="s">
        <v>16</v>
      </c>
      <c r="K18" s="420" t="s">
        <v>17</v>
      </c>
      <c r="L18" s="420" t="s">
        <v>11</v>
      </c>
    </row>
    <row r="19" spans="1:12" x14ac:dyDescent="0.25">
      <c r="A19" s="417">
        <v>17</v>
      </c>
      <c r="B19" s="421">
        <f t="shared" si="4"/>
        <v>47623.68</v>
      </c>
      <c r="C19" s="421">
        <f t="shared" si="0"/>
        <v>1984.32</v>
      </c>
      <c r="D19" s="421">
        <f t="shared" si="1"/>
        <v>4.7623680000000004</v>
      </c>
      <c r="E19" s="421">
        <f t="shared" si="2"/>
        <v>1989.0823679999999</v>
      </c>
      <c r="F19" s="421">
        <f t="shared" si="3"/>
        <v>45639.360000000001</v>
      </c>
      <c r="G19" s="422"/>
      <c r="H19" s="419" t="s">
        <v>346</v>
      </c>
      <c r="I19" s="420">
        <v>635.09</v>
      </c>
      <c r="J19" s="420">
        <v>9.2200000000000006</v>
      </c>
      <c r="K19" s="420">
        <v>1849.43</v>
      </c>
      <c r="L19" s="420">
        <f>SUM(I19:K19)</f>
        <v>2493.7400000000002</v>
      </c>
    </row>
    <row r="20" spans="1:12" x14ac:dyDescent="0.25">
      <c r="A20" s="417">
        <v>18</v>
      </c>
      <c r="B20" s="421">
        <f t="shared" si="4"/>
        <v>45639.360000000001</v>
      </c>
      <c r="C20" s="421">
        <f t="shared" si="0"/>
        <v>1984.32</v>
      </c>
      <c r="D20" s="421">
        <f t="shared" si="1"/>
        <v>4.563936</v>
      </c>
      <c r="E20" s="421">
        <f t="shared" si="2"/>
        <v>1988.8839359999999</v>
      </c>
      <c r="F20" s="421">
        <f t="shared" si="3"/>
        <v>43655.040000000001</v>
      </c>
      <c r="G20" s="422"/>
      <c r="H20" s="419" t="s">
        <v>347</v>
      </c>
      <c r="I20" s="420">
        <v>189.19</v>
      </c>
      <c r="J20" s="420"/>
      <c r="K20" s="420"/>
      <c r="L20" s="420">
        <f>SUM(I20:K20)</f>
        <v>189.19</v>
      </c>
    </row>
    <row r="21" spans="1:12" x14ac:dyDescent="0.25">
      <c r="A21" s="417">
        <v>19</v>
      </c>
      <c r="B21" s="421">
        <f t="shared" si="4"/>
        <v>43655.040000000001</v>
      </c>
      <c r="C21" s="421">
        <f t="shared" si="0"/>
        <v>1984.32</v>
      </c>
      <c r="D21" s="421">
        <f t="shared" si="1"/>
        <v>4.3655040000000005</v>
      </c>
      <c r="E21" s="421">
        <f t="shared" si="2"/>
        <v>1988.685504</v>
      </c>
      <c r="F21" s="421">
        <f t="shared" si="3"/>
        <v>41670.720000000001</v>
      </c>
      <c r="G21" s="422"/>
      <c r="H21" s="419" t="s">
        <v>11</v>
      </c>
      <c r="I21" s="420">
        <f>SUM(I19:I20)</f>
        <v>824.28</v>
      </c>
      <c r="J21" s="420">
        <f>SUM(J19:J20)</f>
        <v>9.2200000000000006</v>
      </c>
      <c r="K21" s="420">
        <f>SUM(K19:K20)</f>
        <v>1849.43</v>
      </c>
      <c r="L21" s="420">
        <f>SUM(L19:L20)</f>
        <v>2682.9300000000003</v>
      </c>
    </row>
    <row r="22" spans="1:12" x14ac:dyDescent="0.25">
      <c r="A22" s="417">
        <v>20</v>
      </c>
      <c r="B22" s="421">
        <f t="shared" si="4"/>
        <v>41670.720000000001</v>
      </c>
      <c r="C22" s="421">
        <f t="shared" si="0"/>
        <v>1984.32</v>
      </c>
      <c r="D22" s="421">
        <f t="shared" si="1"/>
        <v>4.1670720000000001</v>
      </c>
      <c r="E22" s="421">
        <f t="shared" si="2"/>
        <v>1988.4870719999999</v>
      </c>
      <c r="F22" s="421">
        <f t="shared" si="3"/>
        <v>39686.400000000001</v>
      </c>
      <c r="G22" s="422"/>
      <c r="H22" s="697" t="s">
        <v>349</v>
      </c>
      <c r="I22" s="697">
        <f>I15+I21</f>
        <v>1430.9</v>
      </c>
      <c r="J22" s="697">
        <f>J15+J21</f>
        <v>9.2200000000000006</v>
      </c>
      <c r="K22" s="697">
        <f>K15+K21</f>
        <v>2699.1</v>
      </c>
      <c r="L22" s="697">
        <f>L15+L21</f>
        <v>4139.22</v>
      </c>
    </row>
    <row r="23" spans="1:12" x14ac:dyDescent="0.25">
      <c r="A23" s="417">
        <v>21</v>
      </c>
      <c r="B23" s="421">
        <f t="shared" si="4"/>
        <v>39686.400000000001</v>
      </c>
      <c r="C23" s="421">
        <f t="shared" si="0"/>
        <v>1984.32</v>
      </c>
      <c r="D23" s="421">
        <f t="shared" si="1"/>
        <v>3.9686400000000002</v>
      </c>
      <c r="E23" s="421">
        <f t="shared" si="2"/>
        <v>1988.28864</v>
      </c>
      <c r="F23" s="421">
        <f t="shared" si="3"/>
        <v>37702.080000000002</v>
      </c>
      <c r="G23" s="423"/>
    </row>
    <row r="24" spans="1:12" x14ac:dyDescent="0.25">
      <c r="A24" s="417">
        <v>22</v>
      </c>
      <c r="B24" s="421">
        <f t="shared" si="4"/>
        <v>37702.080000000002</v>
      </c>
      <c r="C24" s="421">
        <f t="shared" si="0"/>
        <v>1984.32</v>
      </c>
      <c r="D24" s="421">
        <f t="shared" si="1"/>
        <v>3.7702080000000002</v>
      </c>
      <c r="E24" s="421">
        <f t="shared" si="2"/>
        <v>1988.0902079999998</v>
      </c>
      <c r="F24" s="421">
        <f t="shared" si="3"/>
        <v>35717.760000000002</v>
      </c>
      <c r="G24" s="423"/>
    </row>
    <row r="25" spans="1:12" x14ac:dyDescent="0.25">
      <c r="A25" s="417">
        <v>23</v>
      </c>
      <c r="B25" s="421">
        <f t="shared" si="4"/>
        <v>35717.760000000002</v>
      </c>
      <c r="C25" s="421">
        <f t="shared" si="0"/>
        <v>1984.32</v>
      </c>
      <c r="D25" s="421">
        <f t="shared" si="1"/>
        <v>3.5717760000000003</v>
      </c>
      <c r="E25" s="421">
        <f t="shared" si="2"/>
        <v>1987.8917759999999</v>
      </c>
      <c r="F25" s="421">
        <f t="shared" si="3"/>
        <v>33733.440000000002</v>
      </c>
      <c r="G25" s="423"/>
      <c r="H25" s="416"/>
      <c r="I25" s="417" t="s">
        <v>350</v>
      </c>
      <c r="J25" s="417"/>
      <c r="K25" s="417"/>
      <c r="L25" s="417"/>
    </row>
    <row r="26" spans="1:12" x14ac:dyDescent="0.25">
      <c r="A26" s="417">
        <v>24</v>
      </c>
      <c r="B26" s="421">
        <f t="shared" si="4"/>
        <v>33733.440000000002</v>
      </c>
      <c r="C26" s="421">
        <f t="shared" si="0"/>
        <v>1984.32</v>
      </c>
      <c r="D26" s="421">
        <f t="shared" si="1"/>
        <v>3.3733440000000003</v>
      </c>
      <c r="E26" s="421">
        <f t="shared" si="2"/>
        <v>1987.693344</v>
      </c>
      <c r="F26" s="421">
        <f t="shared" si="3"/>
        <v>31749.120000000003</v>
      </c>
      <c r="G26" s="422"/>
      <c r="H26" s="419"/>
      <c r="I26" s="420" t="s">
        <v>345</v>
      </c>
      <c r="J26" s="420" t="s">
        <v>16</v>
      </c>
      <c r="K26" s="420" t="s">
        <v>17</v>
      </c>
      <c r="L26" s="420" t="s">
        <v>11</v>
      </c>
    </row>
    <row r="27" spans="1:12" x14ac:dyDescent="0.25">
      <c r="A27" s="417">
        <v>25</v>
      </c>
      <c r="B27" s="421">
        <f t="shared" si="4"/>
        <v>31749.120000000003</v>
      </c>
      <c r="C27" s="421">
        <f t="shared" si="0"/>
        <v>1984.32</v>
      </c>
      <c r="D27" s="421">
        <f t="shared" si="1"/>
        <v>3.1749120000000004</v>
      </c>
      <c r="E27" s="421">
        <f t="shared" si="2"/>
        <v>1987.4949119999999</v>
      </c>
      <c r="F27" s="421">
        <f t="shared" si="3"/>
        <v>29764.800000000003</v>
      </c>
      <c r="G27" s="422"/>
      <c r="H27" s="419" t="s">
        <v>346</v>
      </c>
      <c r="I27" s="420">
        <v>703.95</v>
      </c>
      <c r="J27" s="420">
        <v>401.59</v>
      </c>
      <c r="K27" s="420">
        <v>1093.1500000000001</v>
      </c>
      <c r="L27" s="420">
        <f>SUM(I27:K27)</f>
        <v>2198.69</v>
      </c>
    </row>
    <row r="28" spans="1:12" x14ac:dyDescent="0.25">
      <c r="A28" s="417">
        <v>26</v>
      </c>
      <c r="B28" s="421">
        <f t="shared" si="4"/>
        <v>29764.800000000003</v>
      </c>
      <c r="C28" s="421">
        <f t="shared" si="0"/>
        <v>1984.32</v>
      </c>
      <c r="D28" s="421">
        <f t="shared" si="1"/>
        <v>2.9764800000000005</v>
      </c>
      <c r="E28" s="421">
        <f t="shared" si="2"/>
        <v>1987.29648</v>
      </c>
      <c r="F28" s="421">
        <f t="shared" si="3"/>
        <v>27780.480000000003</v>
      </c>
      <c r="G28" s="422"/>
      <c r="H28" s="419" t="s">
        <v>347</v>
      </c>
      <c r="I28" s="420">
        <v>4854.6000000000004</v>
      </c>
      <c r="J28" s="420">
        <v>860.19</v>
      </c>
      <c r="K28" s="420"/>
      <c r="L28" s="420">
        <f>SUM(I28:K28)</f>
        <v>5714.7900000000009</v>
      </c>
    </row>
    <row r="29" spans="1:12" x14ac:dyDescent="0.25">
      <c r="A29" s="417">
        <v>27</v>
      </c>
      <c r="B29" s="421">
        <f t="shared" si="4"/>
        <v>27780.480000000003</v>
      </c>
      <c r="C29" s="421">
        <f t="shared" si="0"/>
        <v>1984.32</v>
      </c>
      <c r="D29" s="421">
        <f t="shared" si="1"/>
        <v>2.7780480000000005</v>
      </c>
      <c r="E29" s="421">
        <f t="shared" si="2"/>
        <v>1987.0980479999998</v>
      </c>
      <c r="F29" s="421">
        <f t="shared" si="3"/>
        <v>25796.160000000003</v>
      </c>
      <c r="G29" s="422"/>
      <c r="H29" s="419" t="s">
        <v>11</v>
      </c>
      <c r="I29" s="420">
        <f>SUM(I27:I28)</f>
        <v>5558.55</v>
      </c>
      <c r="J29" s="420">
        <f>SUM(J27:J28)</f>
        <v>1261.78</v>
      </c>
      <c r="K29" s="420">
        <f>SUM(K27:K28)</f>
        <v>1093.1500000000001</v>
      </c>
      <c r="L29" s="420">
        <f>SUM(L27:L28)</f>
        <v>7913.4800000000014</v>
      </c>
    </row>
    <row r="30" spans="1:12" x14ac:dyDescent="0.25">
      <c r="A30" s="417">
        <v>28</v>
      </c>
      <c r="B30" s="421">
        <f t="shared" si="4"/>
        <v>25796.160000000003</v>
      </c>
      <c r="C30" s="421">
        <f t="shared" si="0"/>
        <v>1984.32</v>
      </c>
      <c r="D30" s="421">
        <f t="shared" si="1"/>
        <v>2.5796160000000001</v>
      </c>
      <c r="E30" s="421">
        <f t="shared" si="2"/>
        <v>1986.8996159999999</v>
      </c>
      <c r="F30" s="421">
        <f t="shared" si="3"/>
        <v>23811.840000000004</v>
      </c>
      <c r="G30" s="422"/>
      <c r="H30" s="697" t="s">
        <v>349</v>
      </c>
      <c r="I30" s="697">
        <f>I22+I29</f>
        <v>6989.4500000000007</v>
      </c>
      <c r="J30" s="697">
        <f>J22+J29</f>
        <v>1271</v>
      </c>
      <c r="K30" s="697">
        <f>K22+K29</f>
        <v>3792.25</v>
      </c>
      <c r="L30" s="697">
        <f>L22+L29</f>
        <v>12052.7</v>
      </c>
    </row>
    <row r="31" spans="1:12" x14ac:dyDescent="0.25">
      <c r="A31" s="417">
        <v>29</v>
      </c>
      <c r="B31" s="421">
        <f t="shared" si="4"/>
        <v>23811.840000000004</v>
      </c>
      <c r="C31" s="421">
        <f t="shared" si="0"/>
        <v>1984.32</v>
      </c>
      <c r="D31" s="421">
        <f t="shared" si="1"/>
        <v>2.3811840000000002</v>
      </c>
      <c r="E31" s="421">
        <f t="shared" si="2"/>
        <v>1986.701184</v>
      </c>
      <c r="F31" s="421">
        <f t="shared" si="3"/>
        <v>21827.520000000004</v>
      </c>
      <c r="G31" s="423"/>
    </row>
    <row r="32" spans="1:12" x14ac:dyDescent="0.25">
      <c r="A32" s="417">
        <v>30</v>
      </c>
      <c r="B32" s="421">
        <f t="shared" si="4"/>
        <v>21827.520000000004</v>
      </c>
      <c r="C32" s="421">
        <f t="shared" si="0"/>
        <v>1984.32</v>
      </c>
      <c r="D32" s="421">
        <f t="shared" si="1"/>
        <v>2.1827520000000002</v>
      </c>
      <c r="E32" s="421">
        <f t="shared" si="2"/>
        <v>1986.5027519999999</v>
      </c>
      <c r="F32" s="421">
        <f t="shared" si="3"/>
        <v>19843.200000000004</v>
      </c>
      <c r="G32" s="423"/>
      <c r="H32" s="416" t="s">
        <v>351</v>
      </c>
      <c r="I32" s="417" t="s">
        <v>352</v>
      </c>
      <c r="J32" s="417"/>
      <c r="K32" s="417"/>
      <c r="L32" s="417"/>
    </row>
    <row r="33" spans="1:12" x14ac:dyDescent="0.25">
      <c r="A33" s="417">
        <v>31</v>
      </c>
      <c r="B33" s="421">
        <f t="shared" si="4"/>
        <v>19843.200000000004</v>
      </c>
      <c r="C33" s="421">
        <f t="shared" si="0"/>
        <v>1984.32</v>
      </c>
      <c r="D33" s="421">
        <f t="shared" si="1"/>
        <v>1.9843200000000005</v>
      </c>
      <c r="E33" s="421">
        <f t="shared" si="2"/>
        <v>1986.30432</v>
      </c>
      <c r="F33" s="421">
        <f t="shared" si="3"/>
        <v>17858.880000000005</v>
      </c>
      <c r="G33" s="422"/>
      <c r="H33" s="419"/>
      <c r="I33" s="420" t="s">
        <v>345</v>
      </c>
      <c r="J33" s="420" t="s">
        <v>16</v>
      </c>
      <c r="K33" s="420" t="s">
        <v>17</v>
      </c>
      <c r="L33" s="420" t="s">
        <v>11</v>
      </c>
    </row>
    <row r="34" spans="1:12" x14ac:dyDescent="0.25">
      <c r="A34" s="417">
        <v>32</v>
      </c>
      <c r="B34" s="421">
        <f t="shared" si="4"/>
        <v>17858.880000000005</v>
      </c>
      <c r="C34" s="421">
        <f t="shared" si="0"/>
        <v>1984.32</v>
      </c>
      <c r="D34" s="421">
        <f t="shared" si="1"/>
        <v>1.7858880000000006</v>
      </c>
      <c r="E34" s="421">
        <f t="shared" si="2"/>
        <v>1986.105888</v>
      </c>
      <c r="F34" s="421">
        <f t="shared" si="3"/>
        <v>15874.560000000005</v>
      </c>
      <c r="G34" s="422"/>
      <c r="H34" s="419" t="s">
        <v>346</v>
      </c>
      <c r="I34" s="420">
        <v>700</v>
      </c>
      <c r="J34" s="420">
        <v>800</v>
      </c>
      <c r="K34" s="420">
        <v>800</v>
      </c>
      <c r="L34" s="420">
        <f>SUM(I34:K34)</f>
        <v>2300</v>
      </c>
    </row>
    <row r="35" spans="1:12" x14ac:dyDescent="0.25">
      <c r="A35" s="417">
        <v>33</v>
      </c>
      <c r="B35" s="421">
        <f t="shared" si="4"/>
        <v>15874.560000000005</v>
      </c>
      <c r="C35" s="421">
        <f t="shared" si="0"/>
        <v>1984.32</v>
      </c>
      <c r="D35" s="421">
        <f t="shared" si="1"/>
        <v>1.5874560000000004</v>
      </c>
      <c r="E35" s="421">
        <f t="shared" si="2"/>
        <v>1985.9074559999999</v>
      </c>
      <c r="F35" s="421">
        <f t="shared" si="3"/>
        <v>13890.240000000005</v>
      </c>
      <c r="G35" s="422"/>
      <c r="H35" s="419" t="s">
        <v>347</v>
      </c>
      <c r="I35" s="420">
        <v>10300</v>
      </c>
      <c r="J35" s="420">
        <v>7400</v>
      </c>
      <c r="K35" s="420"/>
      <c r="L35" s="420">
        <f>SUM(I35:K35)</f>
        <v>17700</v>
      </c>
    </row>
    <row r="36" spans="1:12" x14ac:dyDescent="0.25">
      <c r="A36" s="417">
        <v>34</v>
      </c>
      <c r="B36" s="421">
        <f t="shared" si="4"/>
        <v>13890.240000000005</v>
      </c>
      <c r="C36" s="421">
        <f t="shared" si="0"/>
        <v>1984.32</v>
      </c>
      <c r="D36" s="421">
        <f t="shared" si="1"/>
        <v>1.3890240000000005</v>
      </c>
      <c r="E36" s="421">
        <f t="shared" si="2"/>
        <v>1985.709024</v>
      </c>
      <c r="F36" s="421">
        <f t="shared" si="3"/>
        <v>11905.920000000006</v>
      </c>
      <c r="G36" s="422"/>
      <c r="H36" s="419" t="s">
        <v>11</v>
      </c>
      <c r="I36" s="420">
        <f>SUM(I34:I35)</f>
        <v>11000</v>
      </c>
      <c r="J36" s="420">
        <f>SUM(J34:J35)</f>
        <v>8200</v>
      </c>
      <c r="K36" s="420">
        <f>SUM(K34:K35)</f>
        <v>800</v>
      </c>
      <c r="L36" s="420">
        <f>SUM(L34:L35)</f>
        <v>20000</v>
      </c>
    </row>
    <row r="37" spans="1:12" x14ac:dyDescent="0.25">
      <c r="A37" s="417">
        <v>35</v>
      </c>
      <c r="B37" s="421">
        <f t="shared" si="4"/>
        <v>11905.920000000006</v>
      </c>
      <c r="C37" s="421">
        <f t="shared" si="0"/>
        <v>1984.32</v>
      </c>
      <c r="D37" s="421">
        <f t="shared" si="1"/>
        <v>1.1905920000000005</v>
      </c>
      <c r="E37" s="421">
        <f t="shared" si="2"/>
        <v>1985.5105919999999</v>
      </c>
      <c r="F37" s="421">
        <f t="shared" si="3"/>
        <v>9921.6000000000058</v>
      </c>
      <c r="G37" s="422"/>
    </row>
    <row r="38" spans="1:12" x14ac:dyDescent="0.25">
      <c r="A38" s="417">
        <v>36</v>
      </c>
      <c r="B38" s="421">
        <f t="shared" si="4"/>
        <v>9921.6000000000058</v>
      </c>
      <c r="C38" s="421">
        <f t="shared" si="0"/>
        <v>1984.32</v>
      </c>
      <c r="D38" s="421">
        <f t="shared" si="1"/>
        <v>0.9921600000000006</v>
      </c>
      <c r="E38" s="421">
        <f t="shared" si="2"/>
        <v>1985.3121599999999</v>
      </c>
      <c r="F38" s="421">
        <f t="shared" si="3"/>
        <v>7937.2800000000061</v>
      </c>
      <c r="G38" s="423"/>
      <c r="H38" s="416"/>
      <c r="I38" s="417" t="s">
        <v>353</v>
      </c>
      <c r="J38" s="417"/>
      <c r="K38" s="417"/>
      <c r="L38" s="417"/>
    </row>
    <row r="39" spans="1:12" x14ac:dyDescent="0.25">
      <c r="A39" s="417">
        <v>37</v>
      </c>
      <c r="B39" s="421">
        <f t="shared" si="4"/>
        <v>7937.2800000000061</v>
      </c>
      <c r="C39" s="421">
        <f t="shared" si="0"/>
        <v>1984.32</v>
      </c>
      <c r="D39" s="421">
        <f t="shared" si="1"/>
        <v>0.79372800000000066</v>
      </c>
      <c r="E39" s="421">
        <f t="shared" si="2"/>
        <v>1985.113728</v>
      </c>
      <c r="F39" s="421">
        <f t="shared" si="3"/>
        <v>5952.9600000000064</v>
      </c>
      <c r="G39" s="422"/>
      <c r="H39" s="419"/>
      <c r="I39" s="420" t="s">
        <v>345</v>
      </c>
      <c r="J39" s="420" t="s">
        <v>16</v>
      </c>
      <c r="K39" s="420" t="s">
        <v>17</v>
      </c>
      <c r="L39" s="420" t="s">
        <v>11</v>
      </c>
    </row>
    <row r="40" spans="1:12" x14ac:dyDescent="0.25">
      <c r="A40" s="417">
        <v>38</v>
      </c>
      <c r="B40" s="421">
        <f t="shared" si="4"/>
        <v>5952.9600000000064</v>
      </c>
      <c r="C40" s="421">
        <f t="shared" si="0"/>
        <v>1984.32</v>
      </c>
      <c r="D40" s="421">
        <f t="shared" si="1"/>
        <v>0.59529600000000071</v>
      </c>
      <c r="E40" s="421">
        <f t="shared" si="2"/>
        <v>1984.9152959999999</v>
      </c>
      <c r="F40" s="421">
        <f t="shared" si="3"/>
        <v>3968.6400000000067</v>
      </c>
      <c r="G40" s="422"/>
      <c r="H40" s="419" t="s">
        <v>346</v>
      </c>
      <c r="I40" s="420">
        <f t="shared" ref="I40:K41" si="5">I34-I13-I19</f>
        <v>-166.51</v>
      </c>
      <c r="J40" s="420">
        <f t="shared" si="5"/>
        <v>790.78</v>
      </c>
      <c r="K40" s="420">
        <f t="shared" si="5"/>
        <v>-1899.1</v>
      </c>
      <c r="L40" s="420">
        <f>SUM(I40:K40)</f>
        <v>-1274.83</v>
      </c>
    </row>
    <row r="41" spans="1:12" x14ac:dyDescent="0.25">
      <c r="A41" s="417">
        <v>39</v>
      </c>
      <c r="B41" s="421">
        <f t="shared" si="4"/>
        <v>3968.6400000000067</v>
      </c>
      <c r="C41" s="421">
        <f t="shared" si="0"/>
        <v>1984.32</v>
      </c>
      <c r="D41" s="421">
        <f t="shared" si="1"/>
        <v>0.39686400000000072</v>
      </c>
      <c r="E41" s="421">
        <f t="shared" si="2"/>
        <v>1984.716864</v>
      </c>
      <c r="F41" s="421">
        <f t="shared" si="3"/>
        <v>1984.3200000000068</v>
      </c>
      <c r="G41" s="422"/>
      <c r="H41" s="419" t="s">
        <v>347</v>
      </c>
      <c r="I41" s="420">
        <f t="shared" si="5"/>
        <v>9735.6099999999988</v>
      </c>
      <c r="J41" s="420">
        <f t="shared" si="5"/>
        <v>7400</v>
      </c>
      <c r="K41" s="420">
        <f t="shared" si="5"/>
        <v>0</v>
      </c>
      <c r="L41" s="420">
        <f>SUM(I41:K41)</f>
        <v>17135.61</v>
      </c>
    </row>
    <row r="42" spans="1:12" x14ac:dyDescent="0.25">
      <c r="A42" s="417">
        <v>40</v>
      </c>
      <c r="B42" s="421">
        <f t="shared" si="4"/>
        <v>1984.3200000000068</v>
      </c>
      <c r="C42" s="421">
        <f t="shared" si="0"/>
        <v>1984.32</v>
      </c>
      <c r="D42" s="421">
        <f t="shared" si="1"/>
        <v>0.19843200000000066</v>
      </c>
      <c r="E42" s="421">
        <f t="shared" si="2"/>
        <v>1984.5184319999998</v>
      </c>
      <c r="F42" s="421">
        <f t="shared" si="3"/>
        <v>6.8212102632969618E-12</v>
      </c>
      <c r="G42" s="422"/>
      <c r="H42" s="419" t="s">
        <v>11</v>
      </c>
      <c r="I42" s="420">
        <f>SUM(I40:I41)</f>
        <v>9569.0999999999985</v>
      </c>
      <c r="J42" s="420">
        <f>SUM(J40:J41)</f>
        <v>8190.78</v>
      </c>
      <c r="K42" s="420">
        <f>SUM(K40:K41)</f>
        <v>-1899.1</v>
      </c>
      <c r="L42" s="420">
        <f>SUM(L40:L41)</f>
        <v>15860.78</v>
      </c>
    </row>
    <row r="43" spans="1:12" x14ac:dyDescent="0.25">
      <c r="A43" s="805" t="s">
        <v>11</v>
      </c>
      <c r="B43" s="703"/>
      <c r="C43" s="424">
        <f>SUM(C13:C42)</f>
        <v>59529.599999999999</v>
      </c>
      <c r="D43" s="424">
        <f>SUM(D13:D42)</f>
        <v>92.270880000000005</v>
      </c>
      <c r="E43" s="424">
        <f t="shared" si="2"/>
        <v>59621.870879999995</v>
      </c>
      <c r="F43" s="421"/>
      <c r="G43" s="422"/>
    </row>
    <row r="44" spans="1:12" x14ac:dyDescent="0.25">
      <c r="H44" s="416"/>
      <c r="I44" s="417" t="s">
        <v>354</v>
      </c>
      <c r="J44" s="417"/>
      <c r="K44" s="417"/>
      <c r="L44" s="417"/>
    </row>
    <row r="45" spans="1:12" x14ac:dyDescent="0.25">
      <c r="H45" s="419"/>
      <c r="I45" s="420" t="s">
        <v>345</v>
      </c>
      <c r="J45" s="420" t="s">
        <v>16</v>
      </c>
      <c r="K45" s="420" t="s">
        <v>17</v>
      </c>
      <c r="L45" s="420" t="s">
        <v>11</v>
      </c>
    </row>
    <row r="46" spans="1:12" x14ac:dyDescent="0.25">
      <c r="H46" s="419" t="s">
        <v>346</v>
      </c>
      <c r="I46" s="420">
        <f t="shared" ref="I46:K47" si="6">I27-I40</f>
        <v>870.46</v>
      </c>
      <c r="J46" s="420">
        <f t="shared" si="6"/>
        <v>-389.19</v>
      </c>
      <c r="K46" s="420">
        <f t="shared" si="6"/>
        <v>2992.25</v>
      </c>
      <c r="L46" s="420">
        <f>SUM(I46:K46)</f>
        <v>3473.52</v>
      </c>
    </row>
    <row r="47" spans="1:12" x14ac:dyDescent="0.25">
      <c r="H47" s="419" t="s">
        <v>347</v>
      </c>
      <c r="I47" s="420">
        <f t="shared" si="6"/>
        <v>-4881.0099999999984</v>
      </c>
      <c r="J47" s="420">
        <f t="shared" si="6"/>
        <v>-6539.8099999999995</v>
      </c>
      <c r="K47" s="420">
        <f t="shared" si="6"/>
        <v>0</v>
      </c>
      <c r="L47" s="420">
        <f>SUM(I47:K47)</f>
        <v>-11420.819999999998</v>
      </c>
    </row>
    <row r="48" spans="1:12" x14ac:dyDescent="0.25">
      <c r="H48" s="419" t="s">
        <v>11</v>
      </c>
      <c r="I48" s="420">
        <f>SUM(I46:I47)</f>
        <v>-4010.5499999999984</v>
      </c>
      <c r="J48" s="420">
        <f>SUM(J46:J47)</f>
        <v>-6928.9999999999991</v>
      </c>
      <c r="K48" s="420">
        <f>SUM(K46:K47)</f>
        <v>2992.25</v>
      </c>
      <c r="L48" s="420">
        <f>SUM(L46:L47)</f>
        <v>-7947.2999999999975</v>
      </c>
    </row>
  </sheetData>
  <mergeCells count="13">
    <mergeCell ref="A1:F1"/>
    <mergeCell ref="A3:F3"/>
    <mergeCell ref="A5:B5"/>
    <mergeCell ref="C5:F5"/>
    <mergeCell ref="A6:B6"/>
    <mergeCell ref="C6:F6"/>
    <mergeCell ref="A43:B43"/>
    <mergeCell ref="A7:B7"/>
    <mergeCell ref="C7:F7"/>
    <mergeCell ref="A8:B8"/>
    <mergeCell ref="C8:F8"/>
    <mergeCell ref="A9:B9"/>
    <mergeCell ref="C9:F9"/>
  </mergeCells>
  <pageMargins left="0.7" right="0.3" top="0.59" bottom="0.75" header="0.3" footer="0.3"/>
  <pageSetup paperSize="9" orientation="portrait"/>
  <headerFooter>
    <oddFooter>&amp;C&amp;12 P - 44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view="pageBreakPreview" topLeftCell="A31" zoomScaleNormal="100" zoomScaleSheetLayoutView="100" workbookViewId="0">
      <selection activeCell="L40" sqref="L40"/>
    </sheetView>
  </sheetViews>
  <sheetFormatPr defaultColWidth="8.7109375" defaultRowHeight="15" x14ac:dyDescent="0.25"/>
  <cols>
    <col min="1" max="1" width="12" style="695" customWidth="1"/>
    <col min="2" max="2" width="9.85546875" style="695" bestFit="1" customWidth="1"/>
    <col min="3" max="3" width="9.28515625" style="695" bestFit="1" customWidth="1"/>
    <col min="4" max="4" width="11" style="695" customWidth="1"/>
    <col min="5" max="5" width="10.42578125" style="695" customWidth="1"/>
    <col min="6" max="7" width="11" style="695" customWidth="1"/>
    <col min="8" max="8" width="11.7109375" style="695" customWidth="1"/>
    <col min="9" max="9" width="8.7109375" style="695" customWidth="1"/>
    <col min="10" max="10" width="11.28515625" style="695" customWidth="1"/>
    <col min="11" max="76" width="8.7109375" style="695" customWidth="1"/>
    <col min="77" max="16384" width="8.7109375" style="695"/>
  </cols>
  <sheetData>
    <row r="2" spans="1:8" ht="15.75" customHeight="1" x14ac:dyDescent="0.25">
      <c r="F2" s="799"/>
      <c r="G2" s="800"/>
      <c r="H2" s="800"/>
    </row>
    <row r="4" spans="1:8" ht="18.75" customHeight="1" x14ac:dyDescent="0.3">
      <c r="A4" s="801" t="s">
        <v>306</v>
      </c>
      <c r="B4" s="800"/>
      <c r="C4" s="800"/>
      <c r="D4" s="800"/>
      <c r="E4" s="800"/>
      <c r="F4" s="800"/>
      <c r="G4" s="800"/>
      <c r="H4" s="800"/>
    </row>
    <row r="5" spans="1:8" ht="18.75" customHeight="1" x14ac:dyDescent="0.3">
      <c r="A5" s="801" t="s">
        <v>307</v>
      </c>
      <c r="B5" s="800"/>
      <c r="C5" s="800"/>
      <c r="D5" s="800"/>
      <c r="E5" s="800"/>
      <c r="F5" s="800"/>
      <c r="G5" s="800"/>
      <c r="H5" s="800"/>
    </row>
    <row r="6" spans="1:8" ht="15.75" customHeight="1" thickBot="1" x14ac:dyDescent="0.3">
      <c r="G6" s="802" t="s">
        <v>308</v>
      </c>
      <c r="H6" s="803"/>
    </row>
    <row r="7" spans="1:8" ht="46.5" customHeight="1" thickTop="1" thickBot="1" x14ac:dyDescent="0.3">
      <c r="A7" s="390" t="s">
        <v>309</v>
      </c>
      <c r="B7" s="391" t="s">
        <v>310</v>
      </c>
      <c r="C7" s="391" t="s">
        <v>311</v>
      </c>
      <c r="D7" s="392" t="s">
        <v>312</v>
      </c>
      <c r="E7" s="391" t="s">
        <v>313</v>
      </c>
      <c r="F7" s="391" t="s">
        <v>314</v>
      </c>
      <c r="G7" s="391" t="s">
        <v>315</v>
      </c>
      <c r="H7" s="393" t="s">
        <v>316</v>
      </c>
    </row>
    <row r="8" spans="1:8" ht="15.75" customHeight="1" thickTop="1" x14ac:dyDescent="0.25">
      <c r="A8" s="394">
        <v>1</v>
      </c>
      <c r="B8" s="395">
        <v>1456.29</v>
      </c>
      <c r="C8" s="395">
        <v>0</v>
      </c>
      <c r="D8" s="395">
        <f t="shared" ref="D8:D37" si="0">SUM(B8:C8)</f>
        <v>1456.29</v>
      </c>
      <c r="E8" s="396">
        <v>0</v>
      </c>
      <c r="F8" s="395">
        <v>0</v>
      </c>
      <c r="G8" s="395">
        <f t="shared" ref="G8:G37" si="1">+E8+F8</f>
        <v>0</v>
      </c>
      <c r="H8" s="397">
        <f t="shared" ref="H8:H37" si="2">+G8-D8</f>
        <v>-1456.29</v>
      </c>
    </row>
    <row r="9" spans="1:8" x14ac:dyDescent="0.25">
      <c r="A9" s="398">
        <f t="shared" ref="A9:A37" si="3">+A8+1</f>
        <v>2</v>
      </c>
      <c r="B9" s="396">
        <v>2652.93</v>
      </c>
      <c r="C9" s="396">
        <v>0</v>
      </c>
      <c r="D9" s="395">
        <f t="shared" si="0"/>
        <v>2652.93</v>
      </c>
      <c r="E9" s="396">
        <v>0</v>
      </c>
      <c r="F9" s="395">
        <v>0</v>
      </c>
      <c r="G9" s="395">
        <f t="shared" si="1"/>
        <v>0</v>
      </c>
      <c r="H9" s="397">
        <f t="shared" si="2"/>
        <v>-2652.93</v>
      </c>
    </row>
    <row r="10" spans="1:8" x14ac:dyDescent="0.25">
      <c r="A10" s="398">
        <f t="shared" si="3"/>
        <v>3</v>
      </c>
      <c r="B10" s="396">
        <v>7942.6659999999993</v>
      </c>
      <c r="C10" s="396">
        <v>0</v>
      </c>
      <c r="D10" s="395">
        <f t="shared" si="0"/>
        <v>7942.6659999999993</v>
      </c>
      <c r="E10" s="396">
        <v>0</v>
      </c>
      <c r="F10" s="395">
        <v>0</v>
      </c>
      <c r="G10" s="395">
        <f t="shared" si="1"/>
        <v>0</v>
      </c>
      <c r="H10" s="397">
        <f t="shared" si="2"/>
        <v>-7942.6659999999993</v>
      </c>
    </row>
    <row r="11" spans="1:8" ht="14.45" customHeight="1" x14ac:dyDescent="0.25">
      <c r="A11" s="398">
        <f t="shared" si="3"/>
        <v>4</v>
      </c>
      <c r="B11" s="399">
        <v>15866.4</v>
      </c>
      <c r="C11" s="396">
        <v>0</v>
      </c>
      <c r="D11" s="395">
        <f t="shared" si="0"/>
        <v>15866.4</v>
      </c>
      <c r="E11" s="396">
        <v>0</v>
      </c>
      <c r="F11" s="395">
        <v>0</v>
      </c>
      <c r="G11" s="395">
        <f t="shared" si="1"/>
        <v>0</v>
      </c>
      <c r="H11" s="397">
        <f t="shared" si="2"/>
        <v>-15866.4</v>
      </c>
    </row>
    <row r="12" spans="1:8" ht="14.45" customHeight="1" x14ac:dyDescent="0.25">
      <c r="A12" s="398">
        <f t="shared" si="3"/>
        <v>5</v>
      </c>
      <c r="B12" s="399">
        <v>17642.414000000001</v>
      </c>
      <c r="C12" s="396">
        <v>0</v>
      </c>
      <c r="D12" s="395">
        <f t="shared" si="0"/>
        <v>17642.414000000001</v>
      </c>
      <c r="E12" s="396">
        <v>0</v>
      </c>
      <c r="F12" s="396">
        <v>0</v>
      </c>
      <c r="G12" s="395">
        <f t="shared" si="1"/>
        <v>0</v>
      </c>
      <c r="H12" s="397">
        <f t="shared" si="2"/>
        <v>-17642.414000000001</v>
      </c>
    </row>
    <row r="13" spans="1:8" ht="14.45" customHeight="1" x14ac:dyDescent="0.25">
      <c r="A13" s="398">
        <f t="shared" si="3"/>
        <v>6</v>
      </c>
      <c r="B13" s="399">
        <v>24717.06</v>
      </c>
      <c r="C13" s="396">
        <v>0</v>
      </c>
      <c r="D13" s="395">
        <f t="shared" si="0"/>
        <v>24717.06</v>
      </c>
      <c r="E13" s="396">
        <f>E17*0.5</f>
        <v>21832.158289999996</v>
      </c>
      <c r="F13" s="396">
        <v>0</v>
      </c>
      <c r="G13" s="395">
        <f t="shared" si="1"/>
        <v>21832.158289999996</v>
      </c>
      <c r="H13" s="397">
        <f t="shared" si="2"/>
        <v>-2884.9017100000056</v>
      </c>
    </row>
    <row r="14" spans="1:8" ht="14.45" customHeight="1" x14ac:dyDescent="0.25">
      <c r="A14" s="398">
        <f t="shared" si="3"/>
        <v>7</v>
      </c>
      <c r="B14" s="399">
        <v>18586.344700000001</v>
      </c>
      <c r="C14" s="396">
        <v>0</v>
      </c>
      <c r="D14" s="395">
        <f t="shared" si="0"/>
        <v>18586.344700000001</v>
      </c>
      <c r="E14" s="396">
        <f>E17*0.6</f>
        <v>26198.589947999993</v>
      </c>
      <c r="F14" s="396">
        <v>0</v>
      </c>
      <c r="G14" s="395">
        <f t="shared" si="1"/>
        <v>26198.589947999993</v>
      </c>
      <c r="H14" s="397">
        <f t="shared" si="2"/>
        <v>7612.245247999992</v>
      </c>
    </row>
    <row r="15" spans="1:8" ht="14.45" customHeight="1" x14ac:dyDescent="0.25">
      <c r="A15" s="398">
        <f t="shared" si="3"/>
        <v>8</v>
      </c>
      <c r="B15" s="399">
        <v>12971.685299999999</v>
      </c>
      <c r="C15" s="396">
        <v>0</v>
      </c>
      <c r="D15" s="395">
        <f t="shared" si="0"/>
        <v>12971.685299999999</v>
      </c>
      <c r="E15" s="396">
        <f>E17*0.7</f>
        <v>30565.021605999991</v>
      </c>
      <c r="F15" s="396">
        <v>0</v>
      </c>
      <c r="G15" s="395">
        <f t="shared" si="1"/>
        <v>30565.021605999991</v>
      </c>
      <c r="H15" s="397">
        <f t="shared" si="2"/>
        <v>17593.33630599999</v>
      </c>
    </row>
    <row r="16" spans="1:8" ht="14.45" customHeight="1" x14ac:dyDescent="0.25">
      <c r="A16" s="398">
        <f t="shared" si="3"/>
        <v>9</v>
      </c>
      <c r="B16" s="399"/>
      <c r="C16" s="396">
        <v>670</v>
      </c>
      <c r="D16" s="395">
        <f t="shared" si="0"/>
        <v>670</v>
      </c>
      <c r="E16" s="396">
        <f>E17*0.8</f>
        <v>34931.453263999996</v>
      </c>
      <c r="F16" s="396">
        <v>0</v>
      </c>
      <c r="G16" s="395">
        <f t="shared" si="1"/>
        <v>34931.453263999996</v>
      </c>
      <c r="H16" s="397">
        <f t="shared" si="2"/>
        <v>34261.453263999996</v>
      </c>
    </row>
    <row r="17" spans="1:10" ht="14.45" customHeight="1" x14ac:dyDescent="0.25">
      <c r="A17" s="398">
        <f t="shared" si="3"/>
        <v>10</v>
      </c>
      <c r="B17" s="399"/>
      <c r="C17" s="396">
        <f>670</f>
        <v>670</v>
      </c>
      <c r="D17" s="395">
        <f t="shared" si="0"/>
        <v>670</v>
      </c>
      <c r="E17" s="396">
        <v>43664.316579999992</v>
      </c>
      <c r="F17" s="396">
        <v>0</v>
      </c>
      <c r="G17" s="395">
        <f t="shared" si="1"/>
        <v>43664.316579999992</v>
      </c>
      <c r="H17" s="397">
        <f t="shared" si="2"/>
        <v>42994.316579999992</v>
      </c>
      <c r="J17" s="400"/>
    </row>
    <row r="18" spans="1:10" ht="14.45" customHeight="1" x14ac:dyDescent="0.25">
      <c r="A18" s="398">
        <f t="shared" si="3"/>
        <v>11</v>
      </c>
      <c r="B18" s="399"/>
      <c r="C18" s="396">
        <f t="shared" ref="C18:C37" si="4">C17</f>
        <v>670</v>
      </c>
      <c r="D18" s="395">
        <f t="shared" si="0"/>
        <v>670</v>
      </c>
      <c r="E18" s="396">
        <f t="shared" ref="E18:E37" si="5">E17</f>
        <v>43664.316579999992</v>
      </c>
      <c r="F18" s="396">
        <v>0</v>
      </c>
      <c r="G18" s="395">
        <f t="shared" si="1"/>
        <v>43664.316579999992</v>
      </c>
      <c r="H18" s="397">
        <f t="shared" si="2"/>
        <v>42994.316579999992</v>
      </c>
    </row>
    <row r="19" spans="1:10" ht="14.45" customHeight="1" x14ac:dyDescent="0.25">
      <c r="A19" s="398">
        <f t="shared" si="3"/>
        <v>12</v>
      </c>
      <c r="B19" s="399"/>
      <c r="C19" s="396">
        <f t="shared" si="4"/>
        <v>670</v>
      </c>
      <c r="D19" s="395">
        <f t="shared" si="0"/>
        <v>670</v>
      </c>
      <c r="E19" s="396">
        <f t="shared" si="5"/>
        <v>43664.316579999992</v>
      </c>
      <c r="F19" s="396">
        <v>0</v>
      </c>
      <c r="G19" s="395">
        <f t="shared" si="1"/>
        <v>43664.316579999992</v>
      </c>
      <c r="H19" s="397">
        <f t="shared" si="2"/>
        <v>42994.316579999992</v>
      </c>
    </row>
    <row r="20" spans="1:10" ht="14.45" customHeight="1" x14ac:dyDescent="0.25">
      <c r="A20" s="398">
        <f t="shared" si="3"/>
        <v>13</v>
      </c>
      <c r="B20" s="399"/>
      <c r="C20" s="396">
        <f t="shared" si="4"/>
        <v>670</v>
      </c>
      <c r="D20" s="395">
        <f t="shared" si="0"/>
        <v>670</v>
      </c>
      <c r="E20" s="396">
        <f t="shared" si="5"/>
        <v>43664.316579999992</v>
      </c>
      <c r="F20" s="396">
        <v>0</v>
      </c>
      <c r="G20" s="395">
        <f t="shared" si="1"/>
        <v>43664.316579999992</v>
      </c>
      <c r="H20" s="397">
        <f t="shared" si="2"/>
        <v>42994.316579999992</v>
      </c>
    </row>
    <row r="21" spans="1:10" ht="14.45" customHeight="1" x14ac:dyDescent="0.25">
      <c r="A21" s="398">
        <f t="shared" si="3"/>
        <v>14</v>
      </c>
      <c r="B21" s="399"/>
      <c r="C21" s="396">
        <f t="shared" si="4"/>
        <v>670</v>
      </c>
      <c r="D21" s="395">
        <f t="shared" si="0"/>
        <v>670</v>
      </c>
      <c r="E21" s="396">
        <f t="shared" si="5"/>
        <v>43664.316579999992</v>
      </c>
      <c r="F21" s="396">
        <v>0</v>
      </c>
      <c r="G21" s="395">
        <f t="shared" si="1"/>
        <v>43664.316579999992</v>
      </c>
      <c r="H21" s="397">
        <f t="shared" si="2"/>
        <v>42994.316579999992</v>
      </c>
    </row>
    <row r="22" spans="1:10" ht="14.45" customHeight="1" x14ac:dyDescent="0.25">
      <c r="A22" s="398">
        <f t="shared" si="3"/>
        <v>15</v>
      </c>
      <c r="B22" s="399"/>
      <c r="C22" s="396">
        <f t="shared" si="4"/>
        <v>670</v>
      </c>
      <c r="D22" s="395">
        <f t="shared" si="0"/>
        <v>670</v>
      </c>
      <c r="E22" s="396">
        <f t="shared" si="5"/>
        <v>43664.316579999992</v>
      </c>
      <c r="F22" s="396">
        <v>0</v>
      </c>
      <c r="G22" s="395">
        <f t="shared" si="1"/>
        <v>43664.316579999992</v>
      </c>
      <c r="H22" s="397">
        <f t="shared" si="2"/>
        <v>42994.316579999992</v>
      </c>
    </row>
    <row r="23" spans="1:10" ht="14.45" customHeight="1" x14ac:dyDescent="0.25">
      <c r="A23" s="398">
        <f t="shared" si="3"/>
        <v>16</v>
      </c>
      <c r="B23" s="399"/>
      <c r="C23" s="396">
        <f t="shared" si="4"/>
        <v>670</v>
      </c>
      <c r="D23" s="395">
        <f t="shared" si="0"/>
        <v>670</v>
      </c>
      <c r="E23" s="396">
        <f t="shared" si="5"/>
        <v>43664.316579999992</v>
      </c>
      <c r="F23" s="396">
        <v>0</v>
      </c>
      <c r="G23" s="395">
        <f t="shared" si="1"/>
        <v>43664.316579999992</v>
      </c>
      <c r="H23" s="397">
        <f t="shared" si="2"/>
        <v>42994.316579999992</v>
      </c>
    </row>
    <row r="24" spans="1:10" ht="14.45" customHeight="1" x14ac:dyDescent="0.25">
      <c r="A24" s="398">
        <f t="shared" si="3"/>
        <v>17</v>
      </c>
      <c r="B24" s="399"/>
      <c r="C24" s="396">
        <f t="shared" si="4"/>
        <v>670</v>
      </c>
      <c r="D24" s="395">
        <f t="shared" si="0"/>
        <v>670</v>
      </c>
      <c r="E24" s="396">
        <f t="shared" si="5"/>
        <v>43664.316579999992</v>
      </c>
      <c r="F24" s="396">
        <v>0</v>
      </c>
      <c r="G24" s="395">
        <f t="shared" si="1"/>
        <v>43664.316579999992</v>
      </c>
      <c r="H24" s="397">
        <f t="shared" si="2"/>
        <v>42994.316579999992</v>
      </c>
    </row>
    <row r="25" spans="1:10" ht="14.45" customHeight="1" x14ac:dyDescent="0.25">
      <c r="A25" s="398">
        <f t="shared" si="3"/>
        <v>18</v>
      </c>
      <c r="B25" s="399"/>
      <c r="C25" s="396">
        <f t="shared" si="4"/>
        <v>670</v>
      </c>
      <c r="D25" s="395">
        <f t="shared" si="0"/>
        <v>670</v>
      </c>
      <c r="E25" s="396">
        <f t="shared" si="5"/>
        <v>43664.316579999992</v>
      </c>
      <c r="F25" s="396">
        <v>0</v>
      </c>
      <c r="G25" s="395">
        <f t="shared" si="1"/>
        <v>43664.316579999992</v>
      </c>
      <c r="H25" s="397">
        <f t="shared" si="2"/>
        <v>42994.316579999992</v>
      </c>
    </row>
    <row r="26" spans="1:10" ht="14.45" customHeight="1" x14ac:dyDescent="0.25">
      <c r="A26" s="398">
        <f t="shared" si="3"/>
        <v>19</v>
      </c>
      <c r="B26" s="399"/>
      <c r="C26" s="396">
        <f t="shared" si="4"/>
        <v>670</v>
      </c>
      <c r="D26" s="395">
        <f t="shared" si="0"/>
        <v>670</v>
      </c>
      <c r="E26" s="396">
        <f t="shared" si="5"/>
        <v>43664.316579999992</v>
      </c>
      <c r="F26" s="396">
        <v>0</v>
      </c>
      <c r="G26" s="395">
        <f t="shared" si="1"/>
        <v>43664.316579999992</v>
      </c>
      <c r="H26" s="397">
        <f t="shared" si="2"/>
        <v>42994.316579999992</v>
      </c>
    </row>
    <row r="27" spans="1:10" ht="14.45" customHeight="1" x14ac:dyDescent="0.25">
      <c r="A27" s="398">
        <f t="shared" si="3"/>
        <v>20</v>
      </c>
      <c r="B27" s="399"/>
      <c r="C27" s="396">
        <f t="shared" si="4"/>
        <v>670</v>
      </c>
      <c r="D27" s="395">
        <f t="shared" si="0"/>
        <v>670</v>
      </c>
      <c r="E27" s="396">
        <f t="shared" si="5"/>
        <v>43664.316579999992</v>
      </c>
      <c r="F27" s="396">
        <v>0</v>
      </c>
      <c r="G27" s="395">
        <f t="shared" si="1"/>
        <v>43664.316579999992</v>
      </c>
      <c r="H27" s="397">
        <f t="shared" si="2"/>
        <v>42994.316579999992</v>
      </c>
    </row>
    <row r="28" spans="1:10" ht="14.45" customHeight="1" x14ac:dyDescent="0.25">
      <c r="A28" s="398">
        <f t="shared" si="3"/>
        <v>21</v>
      </c>
      <c r="B28" s="399"/>
      <c r="C28" s="396">
        <f t="shared" si="4"/>
        <v>670</v>
      </c>
      <c r="D28" s="395">
        <f t="shared" si="0"/>
        <v>670</v>
      </c>
      <c r="E28" s="396">
        <f t="shared" si="5"/>
        <v>43664.316579999992</v>
      </c>
      <c r="F28" s="396">
        <v>0</v>
      </c>
      <c r="G28" s="395">
        <f t="shared" si="1"/>
        <v>43664.316579999992</v>
      </c>
      <c r="H28" s="397">
        <f t="shared" si="2"/>
        <v>42994.316579999992</v>
      </c>
    </row>
    <row r="29" spans="1:10" ht="14.45" customHeight="1" x14ac:dyDescent="0.25">
      <c r="A29" s="398">
        <f t="shared" si="3"/>
        <v>22</v>
      </c>
      <c r="B29" s="399"/>
      <c r="C29" s="396">
        <f t="shared" si="4"/>
        <v>670</v>
      </c>
      <c r="D29" s="395">
        <f t="shared" si="0"/>
        <v>670</v>
      </c>
      <c r="E29" s="396">
        <f t="shared" si="5"/>
        <v>43664.316579999992</v>
      </c>
      <c r="F29" s="396">
        <v>0</v>
      </c>
      <c r="G29" s="395">
        <f t="shared" si="1"/>
        <v>43664.316579999992</v>
      </c>
      <c r="H29" s="397">
        <f t="shared" si="2"/>
        <v>42994.316579999992</v>
      </c>
    </row>
    <row r="30" spans="1:10" ht="14.45" customHeight="1" x14ac:dyDescent="0.25">
      <c r="A30" s="398">
        <f t="shared" si="3"/>
        <v>23</v>
      </c>
      <c r="B30" s="399"/>
      <c r="C30" s="396">
        <f t="shared" si="4"/>
        <v>670</v>
      </c>
      <c r="D30" s="395">
        <f t="shared" si="0"/>
        <v>670</v>
      </c>
      <c r="E30" s="396">
        <f t="shared" si="5"/>
        <v>43664.316579999992</v>
      </c>
      <c r="F30" s="396">
        <v>0</v>
      </c>
      <c r="G30" s="395">
        <f t="shared" si="1"/>
        <v>43664.316579999992</v>
      </c>
      <c r="H30" s="397">
        <f t="shared" si="2"/>
        <v>42994.316579999992</v>
      </c>
    </row>
    <row r="31" spans="1:10" ht="14.45" customHeight="1" x14ac:dyDescent="0.25">
      <c r="A31" s="398">
        <f t="shared" si="3"/>
        <v>24</v>
      </c>
      <c r="B31" s="399"/>
      <c r="C31" s="396">
        <f t="shared" si="4"/>
        <v>670</v>
      </c>
      <c r="D31" s="395">
        <f t="shared" si="0"/>
        <v>670</v>
      </c>
      <c r="E31" s="396">
        <f t="shared" si="5"/>
        <v>43664.316579999992</v>
      </c>
      <c r="F31" s="396">
        <v>0</v>
      </c>
      <c r="G31" s="395">
        <f t="shared" si="1"/>
        <v>43664.316579999992</v>
      </c>
      <c r="H31" s="397">
        <f t="shared" si="2"/>
        <v>42994.316579999992</v>
      </c>
    </row>
    <row r="32" spans="1:10" ht="14.45" customHeight="1" x14ac:dyDescent="0.25">
      <c r="A32" s="398">
        <f t="shared" si="3"/>
        <v>25</v>
      </c>
      <c r="B32" s="399"/>
      <c r="C32" s="396">
        <f t="shared" si="4"/>
        <v>670</v>
      </c>
      <c r="D32" s="395">
        <f t="shared" si="0"/>
        <v>670</v>
      </c>
      <c r="E32" s="396">
        <f t="shared" si="5"/>
        <v>43664.316579999992</v>
      </c>
      <c r="F32" s="396">
        <v>0</v>
      </c>
      <c r="G32" s="395">
        <f t="shared" si="1"/>
        <v>43664.316579999992</v>
      </c>
      <c r="H32" s="397">
        <f t="shared" si="2"/>
        <v>42994.316579999992</v>
      </c>
    </row>
    <row r="33" spans="1:12" ht="14.45" customHeight="1" x14ac:dyDescent="0.25">
      <c r="A33" s="398">
        <f t="shared" si="3"/>
        <v>26</v>
      </c>
      <c r="B33" s="399"/>
      <c r="C33" s="396">
        <f t="shared" si="4"/>
        <v>670</v>
      </c>
      <c r="D33" s="395">
        <f t="shared" si="0"/>
        <v>670</v>
      </c>
      <c r="E33" s="396">
        <f t="shared" si="5"/>
        <v>43664.316579999992</v>
      </c>
      <c r="F33" s="396">
        <v>0</v>
      </c>
      <c r="G33" s="395">
        <f t="shared" si="1"/>
        <v>43664.316579999992</v>
      </c>
      <c r="H33" s="397">
        <f t="shared" si="2"/>
        <v>42994.316579999992</v>
      </c>
    </row>
    <row r="34" spans="1:12" ht="14.45" customHeight="1" x14ac:dyDescent="0.25">
      <c r="A34" s="398">
        <f t="shared" si="3"/>
        <v>27</v>
      </c>
      <c r="B34" s="399"/>
      <c r="C34" s="396">
        <f t="shared" si="4"/>
        <v>670</v>
      </c>
      <c r="D34" s="395">
        <f t="shared" si="0"/>
        <v>670</v>
      </c>
      <c r="E34" s="396">
        <f t="shared" si="5"/>
        <v>43664.316579999992</v>
      </c>
      <c r="F34" s="396">
        <v>0</v>
      </c>
      <c r="G34" s="395">
        <f t="shared" si="1"/>
        <v>43664.316579999992</v>
      </c>
      <c r="H34" s="397">
        <f t="shared" si="2"/>
        <v>42994.316579999992</v>
      </c>
    </row>
    <row r="35" spans="1:12" ht="14.45" customHeight="1" x14ac:dyDescent="0.25">
      <c r="A35" s="398">
        <f t="shared" si="3"/>
        <v>28</v>
      </c>
      <c r="B35" s="399"/>
      <c r="C35" s="396">
        <f t="shared" si="4"/>
        <v>670</v>
      </c>
      <c r="D35" s="395">
        <f t="shared" si="0"/>
        <v>670</v>
      </c>
      <c r="E35" s="396">
        <f t="shared" si="5"/>
        <v>43664.316579999992</v>
      </c>
      <c r="F35" s="396">
        <v>0</v>
      </c>
      <c r="G35" s="395">
        <f t="shared" si="1"/>
        <v>43664.316579999992</v>
      </c>
      <c r="H35" s="397">
        <f t="shared" si="2"/>
        <v>42994.316579999992</v>
      </c>
    </row>
    <row r="36" spans="1:12" ht="14.45" customHeight="1" x14ac:dyDescent="0.25">
      <c r="A36" s="398">
        <f t="shared" si="3"/>
        <v>29</v>
      </c>
      <c r="B36" s="399"/>
      <c r="C36" s="396">
        <f t="shared" si="4"/>
        <v>670</v>
      </c>
      <c r="D36" s="395">
        <f t="shared" si="0"/>
        <v>670</v>
      </c>
      <c r="E36" s="396">
        <f t="shared" si="5"/>
        <v>43664.316579999992</v>
      </c>
      <c r="F36" s="396">
        <v>0</v>
      </c>
      <c r="G36" s="395">
        <f t="shared" si="1"/>
        <v>43664.316579999992</v>
      </c>
      <c r="H36" s="397">
        <f t="shared" si="2"/>
        <v>42994.316579999992</v>
      </c>
    </row>
    <row r="37" spans="1:12" x14ac:dyDescent="0.25">
      <c r="A37" s="398">
        <f t="shared" si="3"/>
        <v>30</v>
      </c>
      <c r="B37" s="396"/>
      <c r="C37" s="396">
        <f t="shared" si="4"/>
        <v>670</v>
      </c>
      <c r="D37" s="395">
        <f t="shared" si="0"/>
        <v>670</v>
      </c>
      <c r="E37" s="396">
        <f t="shared" si="5"/>
        <v>43664.316579999992</v>
      </c>
      <c r="F37" s="396">
        <v>0</v>
      </c>
      <c r="G37" s="395">
        <f t="shared" si="1"/>
        <v>43664.316579999992</v>
      </c>
      <c r="H37" s="397">
        <f t="shared" si="2"/>
        <v>42994.316579999992</v>
      </c>
    </row>
    <row r="38" spans="1:12" ht="17.25" customHeight="1" thickBot="1" x14ac:dyDescent="0.3">
      <c r="A38" s="401" t="s">
        <v>317</v>
      </c>
      <c r="B38" s="402">
        <f t="shared" ref="B38:H38" si="6">NPV(0.12,B8:B37)</f>
        <v>55331.751190759882</v>
      </c>
      <c r="C38" s="402">
        <f t="shared" si="6"/>
        <v>2068.6546145552747</v>
      </c>
      <c r="D38" s="402">
        <f t="shared" si="6"/>
        <v>57400.405805315168</v>
      </c>
      <c r="E38" s="402">
        <f t="shared" si="6"/>
        <v>166922.81140877161</v>
      </c>
      <c r="F38" s="402">
        <f t="shared" si="6"/>
        <v>0</v>
      </c>
      <c r="G38" s="402">
        <f t="shared" si="6"/>
        <v>166922.81140877161</v>
      </c>
      <c r="H38" s="403">
        <f t="shared" si="6"/>
        <v>109522.40560345644</v>
      </c>
      <c r="L38" s="400"/>
    </row>
    <row r="39" spans="1:12" ht="16.5" customHeight="1" thickTop="1" thickBot="1" x14ac:dyDescent="0.3">
      <c r="A39" s="404" t="s">
        <v>318</v>
      </c>
      <c r="B39" s="404"/>
      <c r="C39" s="404"/>
      <c r="D39" s="404"/>
      <c r="E39" s="404"/>
      <c r="F39" s="405"/>
      <c r="G39" s="405"/>
      <c r="H39" s="405"/>
    </row>
    <row r="40" spans="1:12" ht="16.5" customHeight="1" thickTop="1" thickBot="1" x14ac:dyDescent="0.3">
      <c r="A40" s="406" t="s">
        <v>319</v>
      </c>
      <c r="B40" s="406"/>
      <c r="C40" s="406"/>
      <c r="D40" s="406">
        <f>IRR(H8:H37,0.12)</f>
        <v>0.3259839821105035</v>
      </c>
      <c r="E40" s="406"/>
      <c r="F40" s="407"/>
      <c r="G40" s="438"/>
      <c r="H40" s="408"/>
    </row>
    <row r="41" spans="1:12" ht="16.5" customHeight="1" thickTop="1" thickBot="1" x14ac:dyDescent="0.3">
      <c r="A41" s="409" t="s">
        <v>320</v>
      </c>
      <c r="B41" s="409"/>
      <c r="C41" s="409"/>
      <c r="D41" s="409">
        <f>NPV(0.12,G8:G37)/NPV(0.12,D8:D37)</f>
        <v>2.9080423573123046</v>
      </c>
      <c r="E41" s="409"/>
      <c r="F41" s="400"/>
      <c r="G41" s="400"/>
      <c r="H41" s="408"/>
    </row>
    <row r="42" spans="1:12" ht="16.5" customHeight="1" thickTop="1" thickBot="1" x14ac:dyDescent="0.3">
      <c r="A42" s="410" t="s">
        <v>317</v>
      </c>
      <c r="B42" s="410"/>
      <c r="C42" s="410"/>
      <c r="D42" s="409">
        <f>H38</f>
        <v>109522.40560345644</v>
      </c>
      <c r="E42" s="410"/>
    </row>
    <row r="43" spans="1:12" ht="15.75" customHeight="1" thickTop="1" x14ac:dyDescent="0.25"/>
  </sheetData>
  <mergeCells count="4">
    <mergeCell ref="F2:H2"/>
    <mergeCell ref="A4:H4"/>
    <mergeCell ref="A5:H5"/>
    <mergeCell ref="G6:H6"/>
  </mergeCells>
  <pageMargins left="1" right="0.75" top="1" bottom="1" header="0.5" footer="0.5"/>
  <pageSetup paperSize="9" scale="96" orientation="portrait" r:id="rId1"/>
  <headerFooter alignWithMargins="0">
    <oddFooter>&amp;C&amp;12 P - 53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7"/>
  <sheetViews>
    <sheetView view="pageBreakPreview" topLeftCell="A20" zoomScale="115" zoomScaleNormal="85" zoomScaleSheetLayoutView="115" workbookViewId="0">
      <selection activeCell="A33" sqref="A33"/>
    </sheetView>
  </sheetViews>
  <sheetFormatPr defaultRowHeight="15" x14ac:dyDescent="0.25"/>
  <cols>
    <col min="1" max="1" width="29.28515625" style="469" customWidth="1"/>
    <col min="2" max="2" width="13.28515625" style="469" customWidth="1"/>
    <col min="3" max="3" width="11.7109375" style="469" customWidth="1"/>
    <col min="4" max="4" width="9.5703125" style="469" customWidth="1"/>
    <col min="5" max="5" width="11.5703125" style="469" customWidth="1"/>
    <col min="6" max="6" width="10.85546875" style="469" customWidth="1"/>
    <col min="7" max="7" width="12.42578125" style="469" customWidth="1"/>
    <col min="8" max="8" width="9.5703125" style="469" customWidth="1"/>
    <col min="9" max="9" width="11.42578125" style="469" customWidth="1"/>
    <col min="10" max="10" width="12.42578125" style="469" customWidth="1"/>
    <col min="11" max="12" width="9.5703125" style="469" customWidth="1"/>
    <col min="13" max="13" width="13.42578125" style="469" customWidth="1"/>
    <col min="14" max="20" width="9.5703125" style="469" customWidth="1"/>
    <col min="21" max="21" width="9.28515625" style="469" customWidth="1"/>
  </cols>
  <sheetData>
    <row r="1" spans="1:21" s="443" customFormat="1" ht="55.5" customHeight="1" x14ac:dyDescent="0.3">
      <c r="A1" s="442" t="s">
        <v>355</v>
      </c>
      <c r="B1" s="442" t="s">
        <v>356</v>
      </c>
      <c r="C1" s="442" t="s">
        <v>357</v>
      </c>
      <c r="D1" s="442" t="s">
        <v>358</v>
      </c>
      <c r="E1" s="442" t="s">
        <v>359</v>
      </c>
      <c r="F1" s="442" t="s">
        <v>360</v>
      </c>
      <c r="G1" s="442" t="s">
        <v>361</v>
      </c>
      <c r="H1" s="442" t="s">
        <v>362</v>
      </c>
      <c r="I1" s="442" t="s">
        <v>363</v>
      </c>
      <c r="J1" s="442" t="s">
        <v>364</v>
      </c>
      <c r="K1" s="442" t="s">
        <v>365</v>
      </c>
      <c r="L1" s="442" t="s">
        <v>366</v>
      </c>
      <c r="M1" s="442" t="s">
        <v>367</v>
      </c>
      <c r="N1" s="442" t="s">
        <v>368</v>
      </c>
      <c r="O1" s="442" t="s">
        <v>369</v>
      </c>
      <c r="P1" s="442" t="s">
        <v>370</v>
      </c>
      <c r="Q1" s="442" t="s">
        <v>371</v>
      </c>
      <c r="R1" s="442" t="s">
        <v>372</v>
      </c>
      <c r="S1" s="442" t="s">
        <v>117</v>
      </c>
      <c r="T1" s="442" t="s">
        <v>11</v>
      </c>
      <c r="U1" s="442" t="s">
        <v>373</v>
      </c>
    </row>
    <row r="2" spans="1:21" ht="18.75" customHeight="1" x14ac:dyDescent="0.3">
      <c r="A2" s="444" t="s">
        <v>374</v>
      </c>
      <c r="B2" s="444"/>
      <c r="C2" s="444">
        <v>0</v>
      </c>
      <c r="D2" s="444">
        <v>0</v>
      </c>
      <c r="E2" s="444">
        <v>0</v>
      </c>
      <c r="F2" s="444">
        <v>0</v>
      </c>
      <c r="G2" s="444">
        <v>0</v>
      </c>
      <c r="H2" s="444">
        <v>0</v>
      </c>
      <c r="I2" s="444">
        <v>0</v>
      </c>
      <c r="J2" s="444">
        <v>11.551</v>
      </c>
      <c r="K2" s="444">
        <v>0</v>
      </c>
      <c r="L2" s="444">
        <v>0</v>
      </c>
      <c r="M2" s="444">
        <v>0</v>
      </c>
      <c r="N2" s="444">
        <v>0</v>
      </c>
      <c r="O2" s="444">
        <v>0</v>
      </c>
      <c r="P2" s="444">
        <v>0</v>
      </c>
      <c r="Q2" s="444">
        <v>0</v>
      </c>
      <c r="R2" s="444">
        <v>13</v>
      </c>
      <c r="S2" s="444">
        <v>0</v>
      </c>
      <c r="T2" s="444"/>
      <c r="U2" s="444">
        <v>2</v>
      </c>
    </row>
    <row r="3" spans="1:21" ht="18.75" customHeight="1" x14ac:dyDescent="0.3">
      <c r="A3" s="444" t="s">
        <v>375</v>
      </c>
      <c r="B3" s="444"/>
      <c r="C3" s="444">
        <v>0</v>
      </c>
      <c r="D3" s="444">
        <v>0</v>
      </c>
      <c r="E3" s="444">
        <v>1</v>
      </c>
      <c r="F3" s="444">
        <v>0</v>
      </c>
      <c r="G3" s="444">
        <v>0</v>
      </c>
      <c r="H3" s="444">
        <v>0</v>
      </c>
      <c r="I3" s="444">
        <v>11.095000000000001</v>
      </c>
      <c r="J3" s="444">
        <v>0</v>
      </c>
      <c r="K3" s="444">
        <v>0</v>
      </c>
      <c r="L3" s="444">
        <v>0</v>
      </c>
      <c r="M3" s="444">
        <v>0.315</v>
      </c>
      <c r="N3" s="444">
        <v>0</v>
      </c>
      <c r="O3" s="444">
        <v>0</v>
      </c>
      <c r="P3" s="444">
        <v>0</v>
      </c>
      <c r="Q3" s="444">
        <v>0</v>
      </c>
      <c r="R3" s="444">
        <v>0</v>
      </c>
      <c r="S3" s="444">
        <v>0</v>
      </c>
      <c r="T3" s="444"/>
      <c r="U3" s="444">
        <v>3</v>
      </c>
    </row>
    <row r="4" spans="1:21" ht="18.75" customHeight="1" x14ac:dyDescent="0.3">
      <c r="A4" s="444" t="s">
        <v>376</v>
      </c>
      <c r="B4" s="444"/>
      <c r="C4" s="444">
        <v>0</v>
      </c>
      <c r="D4" s="444">
        <v>0</v>
      </c>
      <c r="E4" s="444">
        <v>1</v>
      </c>
      <c r="F4" s="444">
        <v>0</v>
      </c>
      <c r="G4" s="444">
        <v>0</v>
      </c>
      <c r="H4" s="444">
        <v>0</v>
      </c>
      <c r="I4" s="444">
        <v>0</v>
      </c>
      <c r="J4" s="444">
        <v>0</v>
      </c>
      <c r="K4" s="444">
        <v>0</v>
      </c>
      <c r="L4" s="444">
        <v>0</v>
      </c>
      <c r="M4" s="444">
        <v>10.382999999999999</v>
      </c>
      <c r="N4" s="444">
        <v>0</v>
      </c>
      <c r="O4" s="444">
        <v>0</v>
      </c>
      <c r="P4" s="444">
        <v>0</v>
      </c>
      <c r="Q4" s="444">
        <v>0</v>
      </c>
      <c r="R4" s="444">
        <v>0</v>
      </c>
      <c r="S4" s="444">
        <v>0</v>
      </c>
      <c r="T4" s="444"/>
      <c r="U4" s="444">
        <v>4</v>
      </c>
    </row>
    <row r="5" spans="1:21" ht="18.75" customHeight="1" x14ac:dyDescent="0.3">
      <c r="A5" s="444" t="s">
        <v>377</v>
      </c>
      <c r="B5" s="444"/>
      <c r="C5" s="444">
        <v>0</v>
      </c>
      <c r="D5" s="444">
        <v>0</v>
      </c>
      <c r="E5" s="444">
        <v>3</v>
      </c>
      <c r="F5" s="444">
        <v>0</v>
      </c>
      <c r="G5" s="444">
        <v>0</v>
      </c>
      <c r="H5" s="444">
        <v>0</v>
      </c>
      <c r="I5" s="444">
        <v>0</v>
      </c>
      <c r="J5" s="444">
        <v>0</v>
      </c>
      <c r="K5" s="444">
        <v>0</v>
      </c>
      <c r="L5" s="444">
        <v>0</v>
      </c>
      <c r="M5" s="444">
        <v>6.4710000000000001</v>
      </c>
      <c r="N5" s="444">
        <v>0</v>
      </c>
      <c r="O5" s="444">
        <v>0</v>
      </c>
      <c r="P5" s="444">
        <v>0</v>
      </c>
      <c r="Q5" s="444">
        <v>0</v>
      </c>
      <c r="R5" s="444">
        <v>0</v>
      </c>
      <c r="S5" s="444">
        <v>0</v>
      </c>
      <c r="T5" s="444"/>
      <c r="U5" s="444">
        <v>5</v>
      </c>
    </row>
    <row r="6" spans="1:21" ht="18.75" customHeight="1" x14ac:dyDescent="0.3">
      <c r="A6" s="444" t="s">
        <v>378</v>
      </c>
      <c r="B6" s="444"/>
      <c r="C6" s="444">
        <v>0</v>
      </c>
      <c r="D6" s="444">
        <v>0</v>
      </c>
      <c r="E6" s="444">
        <v>1</v>
      </c>
      <c r="F6" s="444">
        <v>0</v>
      </c>
      <c r="G6" s="444">
        <v>0</v>
      </c>
      <c r="H6" s="444">
        <v>0</v>
      </c>
      <c r="I6" s="444">
        <v>0</v>
      </c>
      <c r="J6" s="444">
        <v>0</v>
      </c>
      <c r="K6" s="444">
        <v>0</v>
      </c>
      <c r="L6" s="444">
        <v>0</v>
      </c>
      <c r="M6" s="444">
        <v>12.214</v>
      </c>
      <c r="N6" s="444">
        <v>0</v>
      </c>
      <c r="O6" s="444">
        <v>0</v>
      </c>
      <c r="P6" s="444">
        <v>0</v>
      </c>
      <c r="Q6" s="444">
        <v>0</v>
      </c>
      <c r="R6" s="444">
        <v>0</v>
      </c>
      <c r="S6" s="444">
        <v>0</v>
      </c>
      <c r="T6" s="444"/>
      <c r="U6" s="444">
        <v>6</v>
      </c>
    </row>
    <row r="7" spans="1:21" ht="18.75" customHeight="1" x14ac:dyDescent="0.3">
      <c r="A7" s="444" t="s">
        <v>379</v>
      </c>
      <c r="B7" s="444"/>
      <c r="C7" s="444">
        <v>0</v>
      </c>
      <c r="D7" s="444">
        <v>0</v>
      </c>
      <c r="E7" s="444">
        <v>1</v>
      </c>
      <c r="F7" s="444">
        <v>0</v>
      </c>
      <c r="G7" s="444">
        <v>0</v>
      </c>
      <c r="H7" s="444">
        <v>0</v>
      </c>
      <c r="I7" s="444">
        <v>20</v>
      </c>
      <c r="J7" s="444">
        <v>0</v>
      </c>
      <c r="K7" s="444">
        <v>0</v>
      </c>
      <c r="L7" s="444">
        <v>0</v>
      </c>
      <c r="M7" s="444">
        <v>0</v>
      </c>
      <c r="N7" s="444">
        <v>0</v>
      </c>
      <c r="O7" s="444">
        <v>0</v>
      </c>
      <c r="P7" s="444">
        <v>0</v>
      </c>
      <c r="Q7" s="444">
        <v>0</v>
      </c>
      <c r="R7" s="444">
        <v>0</v>
      </c>
      <c r="S7" s="444">
        <v>0</v>
      </c>
      <c r="T7" s="444"/>
      <c r="U7" s="444">
        <v>7</v>
      </c>
    </row>
    <row r="8" spans="1:21" ht="18.75" customHeight="1" x14ac:dyDescent="0.3">
      <c r="A8" s="444" t="s">
        <v>380</v>
      </c>
      <c r="B8" s="444"/>
      <c r="C8" s="444">
        <v>0</v>
      </c>
      <c r="D8" s="444">
        <v>0</v>
      </c>
      <c r="E8" s="444">
        <v>0</v>
      </c>
      <c r="F8" s="444">
        <v>0</v>
      </c>
      <c r="G8" s="444">
        <v>0</v>
      </c>
      <c r="H8" s="444">
        <v>0</v>
      </c>
      <c r="I8" s="444">
        <v>25.7</v>
      </c>
      <c r="J8" s="444">
        <v>0</v>
      </c>
      <c r="K8" s="444">
        <v>0</v>
      </c>
      <c r="L8" s="444">
        <v>0</v>
      </c>
      <c r="M8" s="444">
        <v>0.8</v>
      </c>
      <c r="N8" s="444">
        <v>0</v>
      </c>
      <c r="O8" s="444">
        <v>0</v>
      </c>
      <c r="P8" s="444">
        <v>0</v>
      </c>
      <c r="Q8" s="444">
        <v>0</v>
      </c>
      <c r="R8" s="444">
        <v>0</v>
      </c>
      <c r="S8" s="444">
        <v>0</v>
      </c>
      <c r="T8" s="444"/>
      <c r="U8" s="444">
        <v>8</v>
      </c>
    </row>
    <row r="9" spans="1:21" ht="18.75" customHeight="1" x14ac:dyDescent="0.3">
      <c r="A9" s="444" t="s">
        <v>381</v>
      </c>
      <c r="B9" s="444"/>
      <c r="C9" s="444">
        <v>0</v>
      </c>
      <c r="D9" s="444">
        <v>0</v>
      </c>
      <c r="E9" s="444">
        <v>0</v>
      </c>
      <c r="F9" s="444">
        <v>1</v>
      </c>
      <c r="G9" s="444">
        <v>3</v>
      </c>
      <c r="H9" s="444">
        <v>0</v>
      </c>
      <c r="I9" s="444">
        <v>0</v>
      </c>
      <c r="J9" s="444">
        <v>0</v>
      </c>
      <c r="K9" s="444">
        <v>0</v>
      </c>
      <c r="L9" s="444">
        <v>0</v>
      </c>
      <c r="M9" s="444">
        <v>0</v>
      </c>
      <c r="N9" s="444">
        <v>0</v>
      </c>
      <c r="O9" s="444">
        <v>0</v>
      </c>
      <c r="P9" s="444">
        <v>0</v>
      </c>
      <c r="Q9" s="444">
        <v>0</v>
      </c>
      <c r="R9" s="444">
        <v>0</v>
      </c>
      <c r="S9" s="444">
        <v>0</v>
      </c>
      <c r="T9" s="444"/>
      <c r="U9" s="444">
        <v>9</v>
      </c>
    </row>
    <row r="10" spans="1:21" ht="18.75" customHeight="1" x14ac:dyDescent="0.3">
      <c r="A10" s="444" t="s">
        <v>382</v>
      </c>
      <c r="B10" s="444"/>
      <c r="C10" s="444">
        <v>0</v>
      </c>
      <c r="D10" s="444">
        <v>0</v>
      </c>
      <c r="E10" s="444">
        <v>1</v>
      </c>
      <c r="F10" s="444">
        <v>0</v>
      </c>
      <c r="G10" s="444">
        <v>1</v>
      </c>
      <c r="H10" s="444">
        <v>0</v>
      </c>
      <c r="I10" s="444">
        <v>0</v>
      </c>
      <c r="J10" s="444">
        <v>0</v>
      </c>
      <c r="K10" s="444">
        <v>0</v>
      </c>
      <c r="L10" s="444">
        <v>0</v>
      </c>
      <c r="M10" s="444">
        <v>11.98</v>
      </c>
      <c r="N10" s="444">
        <v>0</v>
      </c>
      <c r="O10" s="444">
        <v>0</v>
      </c>
      <c r="P10" s="444">
        <v>0</v>
      </c>
      <c r="Q10" s="444">
        <v>0</v>
      </c>
      <c r="R10" s="444">
        <v>0</v>
      </c>
      <c r="S10" s="444">
        <v>0</v>
      </c>
      <c r="T10" s="444"/>
      <c r="U10" s="444">
        <v>10</v>
      </c>
    </row>
    <row r="11" spans="1:21" ht="18.75" customHeight="1" x14ac:dyDescent="0.3">
      <c r="A11" s="444" t="s">
        <v>383</v>
      </c>
      <c r="B11" s="444"/>
      <c r="C11" s="444">
        <v>0</v>
      </c>
      <c r="D11" s="444">
        <v>0</v>
      </c>
      <c r="E11" s="444">
        <v>1</v>
      </c>
      <c r="F11" s="444">
        <v>0</v>
      </c>
      <c r="G11" s="444">
        <v>0</v>
      </c>
      <c r="H11" s="444">
        <v>0</v>
      </c>
      <c r="I11" s="444">
        <v>0</v>
      </c>
      <c r="J11" s="444">
        <v>0</v>
      </c>
      <c r="K11" s="444">
        <v>0</v>
      </c>
      <c r="L11" s="444">
        <v>0</v>
      </c>
      <c r="M11" s="444">
        <v>10.86</v>
      </c>
      <c r="N11" s="444">
        <v>0</v>
      </c>
      <c r="O11" s="444">
        <v>0</v>
      </c>
      <c r="P11" s="444">
        <v>0</v>
      </c>
      <c r="Q11" s="444">
        <v>0</v>
      </c>
      <c r="R11" s="444">
        <v>0</v>
      </c>
      <c r="S11" s="444">
        <v>0</v>
      </c>
      <c r="T11" s="444"/>
      <c r="U11" s="444">
        <v>11</v>
      </c>
    </row>
    <row r="12" spans="1:21" ht="18.75" customHeight="1" x14ac:dyDescent="0.3">
      <c r="A12" s="444" t="s">
        <v>384</v>
      </c>
      <c r="B12" s="444"/>
      <c r="C12" s="444">
        <v>0</v>
      </c>
      <c r="D12" s="444">
        <v>0</v>
      </c>
      <c r="E12" s="444">
        <v>2</v>
      </c>
      <c r="F12" s="444">
        <v>0</v>
      </c>
      <c r="G12" s="444">
        <v>0</v>
      </c>
      <c r="H12" s="444">
        <v>0</v>
      </c>
      <c r="I12" s="444">
        <v>10.757</v>
      </c>
      <c r="J12" s="444">
        <v>0</v>
      </c>
      <c r="K12" s="444">
        <v>0</v>
      </c>
      <c r="L12" s="444">
        <v>0</v>
      </c>
      <c r="M12" s="444">
        <v>0</v>
      </c>
      <c r="N12" s="444">
        <v>0</v>
      </c>
      <c r="O12" s="444">
        <v>0</v>
      </c>
      <c r="P12" s="444">
        <v>0</v>
      </c>
      <c r="Q12" s="444">
        <v>0</v>
      </c>
      <c r="R12" s="444">
        <v>0</v>
      </c>
      <c r="S12" s="444">
        <v>0</v>
      </c>
      <c r="T12" s="444"/>
      <c r="U12" s="444">
        <v>12</v>
      </c>
    </row>
    <row r="13" spans="1:21" ht="18.75" customHeight="1" x14ac:dyDescent="0.3">
      <c r="A13" s="444" t="s">
        <v>385</v>
      </c>
      <c r="B13" s="444"/>
      <c r="C13" s="444">
        <v>0</v>
      </c>
      <c r="D13" s="444">
        <v>0</v>
      </c>
      <c r="E13" s="444">
        <v>2</v>
      </c>
      <c r="F13" s="444">
        <v>0</v>
      </c>
      <c r="G13" s="444">
        <v>0</v>
      </c>
      <c r="H13" s="444">
        <v>0</v>
      </c>
      <c r="I13" s="444">
        <v>0</v>
      </c>
      <c r="J13" s="444">
        <v>0</v>
      </c>
      <c r="K13" s="444">
        <v>0</v>
      </c>
      <c r="L13" s="444">
        <v>0</v>
      </c>
      <c r="M13" s="444">
        <v>10</v>
      </c>
      <c r="N13" s="444">
        <v>0</v>
      </c>
      <c r="O13" s="444">
        <v>0</v>
      </c>
      <c r="P13" s="444">
        <v>0</v>
      </c>
      <c r="Q13" s="444">
        <v>0</v>
      </c>
      <c r="R13" s="444">
        <v>0</v>
      </c>
      <c r="S13" s="444">
        <v>0</v>
      </c>
      <c r="T13" s="444"/>
      <c r="U13" s="444">
        <v>13</v>
      </c>
    </row>
    <row r="14" spans="1:21" ht="18.75" customHeight="1" x14ac:dyDescent="0.3">
      <c r="A14" s="444" t="s">
        <v>386</v>
      </c>
      <c r="B14" s="444"/>
      <c r="C14" s="444">
        <v>0</v>
      </c>
      <c r="D14" s="444">
        <v>0</v>
      </c>
      <c r="E14" s="444">
        <v>1</v>
      </c>
      <c r="F14" s="444">
        <v>0</v>
      </c>
      <c r="G14" s="444">
        <v>0</v>
      </c>
      <c r="H14" s="444">
        <v>0</v>
      </c>
      <c r="I14" s="444">
        <v>0</v>
      </c>
      <c r="J14" s="444">
        <v>0</v>
      </c>
      <c r="K14" s="444">
        <v>0</v>
      </c>
      <c r="L14" s="444">
        <v>0</v>
      </c>
      <c r="M14" s="444">
        <v>16.899999999999999</v>
      </c>
      <c r="N14" s="444">
        <v>0</v>
      </c>
      <c r="O14" s="444">
        <v>0</v>
      </c>
      <c r="P14" s="444">
        <v>0</v>
      </c>
      <c r="Q14" s="444">
        <v>0</v>
      </c>
      <c r="R14" s="444">
        <v>0</v>
      </c>
      <c r="S14" s="444">
        <v>0</v>
      </c>
      <c r="T14" s="444"/>
      <c r="U14" s="444">
        <v>14</v>
      </c>
    </row>
    <row r="15" spans="1:21" ht="18.75" customHeight="1" x14ac:dyDescent="0.3">
      <c r="A15" s="444" t="s">
        <v>387</v>
      </c>
      <c r="B15" s="444"/>
      <c r="C15" s="444">
        <v>0</v>
      </c>
      <c r="D15" s="444">
        <v>0</v>
      </c>
      <c r="E15" s="444">
        <v>0</v>
      </c>
      <c r="F15" s="444">
        <v>0</v>
      </c>
      <c r="G15" s="444">
        <v>1</v>
      </c>
      <c r="H15" s="444">
        <v>0</v>
      </c>
      <c r="I15" s="444">
        <v>0</v>
      </c>
      <c r="J15" s="444">
        <v>0</v>
      </c>
      <c r="K15" s="444">
        <v>0</v>
      </c>
      <c r="L15" s="444">
        <v>0</v>
      </c>
      <c r="M15" s="444">
        <v>9</v>
      </c>
      <c r="N15" s="444">
        <v>0</v>
      </c>
      <c r="O15" s="444">
        <v>0</v>
      </c>
      <c r="P15" s="444">
        <v>0</v>
      </c>
      <c r="Q15" s="444">
        <v>0</v>
      </c>
      <c r="R15" s="444">
        <v>0</v>
      </c>
      <c r="S15" s="444">
        <v>0</v>
      </c>
      <c r="T15" s="444"/>
      <c r="U15" s="444">
        <v>15</v>
      </c>
    </row>
    <row r="16" spans="1:21" ht="18.75" customHeight="1" x14ac:dyDescent="0.3">
      <c r="A16" s="444" t="s">
        <v>388</v>
      </c>
      <c r="B16" s="444"/>
      <c r="C16" s="444">
        <v>0</v>
      </c>
      <c r="D16" s="444">
        <v>0</v>
      </c>
      <c r="E16" s="444">
        <v>1</v>
      </c>
      <c r="F16" s="444">
        <v>0</v>
      </c>
      <c r="G16" s="444">
        <v>0</v>
      </c>
      <c r="H16" s="444">
        <v>0</v>
      </c>
      <c r="I16" s="444">
        <v>0</v>
      </c>
      <c r="J16" s="444">
        <v>0</v>
      </c>
      <c r="K16" s="444">
        <v>0</v>
      </c>
      <c r="L16" s="444">
        <v>0</v>
      </c>
      <c r="M16" s="444">
        <v>14.12</v>
      </c>
      <c r="N16" s="444">
        <v>0</v>
      </c>
      <c r="O16" s="444">
        <v>0</v>
      </c>
      <c r="P16" s="444">
        <v>0</v>
      </c>
      <c r="Q16" s="444">
        <v>0</v>
      </c>
      <c r="R16" s="444">
        <v>0</v>
      </c>
      <c r="S16" s="444">
        <v>0</v>
      </c>
      <c r="T16" s="444"/>
      <c r="U16" s="444">
        <v>16</v>
      </c>
    </row>
    <row r="17" spans="1:21" ht="18.75" customHeight="1" x14ac:dyDescent="0.3">
      <c r="A17" s="444" t="s">
        <v>389</v>
      </c>
      <c r="B17" s="444"/>
      <c r="C17" s="444">
        <v>25</v>
      </c>
      <c r="D17" s="444">
        <v>0</v>
      </c>
      <c r="E17" s="444">
        <v>2</v>
      </c>
      <c r="F17" s="444">
        <v>5</v>
      </c>
      <c r="G17" s="444">
        <v>0</v>
      </c>
      <c r="H17" s="444">
        <v>0</v>
      </c>
      <c r="I17" s="444">
        <v>0</v>
      </c>
      <c r="J17" s="444">
        <v>0</v>
      </c>
      <c r="K17" s="444">
        <v>0</v>
      </c>
      <c r="L17" s="444">
        <v>0</v>
      </c>
      <c r="M17" s="444">
        <v>13.17</v>
      </c>
      <c r="N17" s="444">
        <v>0</v>
      </c>
      <c r="O17" s="444">
        <v>0</v>
      </c>
      <c r="P17" s="444">
        <v>0</v>
      </c>
      <c r="Q17" s="444">
        <v>0</v>
      </c>
      <c r="R17" s="444">
        <v>0</v>
      </c>
      <c r="S17" s="444">
        <v>0</v>
      </c>
      <c r="T17" s="444"/>
      <c r="U17" s="444">
        <v>17</v>
      </c>
    </row>
    <row r="18" spans="1:21" ht="18.75" customHeight="1" x14ac:dyDescent="0.3">
      <c r="A18" s="444" t="s">
        <v>390</v>
      </c>
      <c r="B18" s="444"/>
      <c r="C18" s="444">
        <v>0</v>
      </c>
      <c r="D18" s="444">
        <v>0</v>
      </c>
      <c r="E18" s="444">
        <v>0</v>
      </c>
      <c r="F18" s="444">
        <v>0</v>
      </c>
      <c r="G18" s="444">
        <v>2</v>
      </c>
      <c r="H18" s="444">
        <v>0</v>
      </c>
      <c r="I18" s="444">
        <v>26.035</v>
      </c>
      <c r="J18" s="444">
        <v>0</v>
      </c>
      <c r="K18" s="444">
        <v>0</v>
      </c>
      <c r="L18" s="444">
        <v>0</v>
      </c>
      <c r="M18" s="444">
        <v>0</v>
      </c>
      <c r="N18" s="444">
        <v>0</v>
      </c>
      <c r="O18" s="444">
        <v>0</v>
      </c>
      <c r="P18" s="444">
        <v>0</v>
      </c>
      <c r="Q18" s="444">
        <v>0</v>
      </c>
      <c r="R18" s="444">
        <v>0</v>
      </c>
      <c r="S18" s="444">
        <v>0</v>
      </c>
      <c r="T18" s="444"/>
      <c r="U18" s="444">
        <v>18</v>
      </c>
    </row>
    <row r="19" spans="1:21" ht="18.75" customHeight="1" x14ac:dyDescent="0.3">
      <c r="A19" s="444" t="s">
        <v>391</v>
      </c>
      <c r="B19" s="444"/>
      <c r="C19" s="444">
        <v>0</v>
      </c>
      <c r="D19" s="444">
        <v>0</v>
      </c>
      <c r="E19" s="444">
        <v>0</v>
      </c>
      <c r="F19" s="444">
        <v>0</v>
      </c>
      <c r="G19" s="444">
        <v>0</v>
      </c>
      <c r="H19" s="444">
        <v>0</v>
      </c>
      <c r="I19" s="444">
        <v>22.933</v>
      </c>
      <c r="J19" s="444">
        <v>0</v>
      </c>
      <c r="K19" s="444">
        <v>0</v>
      </c>
      <c r="L19" s="444">
        <v>0</v>
      </c>
      <c r="M19" s="444">
        <v>0</v>
      </c>
      <c r="N19" s="444">
        <v>0</v>
      </c>
      <c r="O19" s="444">
        <v>0</v>
      </c>
      <c r="P19" s="444">
        <v>0</v>
      </c>
      <c r="Q19" s="444">
        <v>0</v>
      </c>
      <c r="R19" s="444">
        <v>0</v>
      </c>
      <c r="S19" s="444">
        <v>0</v>
      </c>
      <c r="T19" s="444"/>
      <c r="U19" s="444">
        <v>19</v>
      </c>
    </row>
    <row r="20" spans="1:21" ht="18.75" customHeight="1" x14ac:dyDescent="0.3">
      <c r="A20" s="444" t="s">
        <v>392</v>
      </c>
      <c r="B20" s="444"/>
      <c r="C20" s="444">
        <v>36</v>
      </c>
      <c r="D20" s="444">
        <v>0</v>
      </c>
      <c r="E20" s="444">
        <v>0</v>
      </c>
      <c r="F20" s="444">
        <v>4</v>
      </c>
      <c r="G20" s="444">
        <v>4</v>
      </c>
      <c r="H20" s="444">
        <v>0</v>
      </c>
      <c r="I20" s="444">
        <v>0</v>
      </c>
      <c r="J20" s="444">
        <v>0</v>
      </c>
      <c r="K20" s="444">
        <v>0</v>
      </c>
      <c r="L20" s="444">
        <v>0</v>
      </c>
      <c r="M20" s="444">
        <v>0</v>
      </c>
      <c r="N20" s="444">
        <v>0</v>
      </c>
      <c r="O20" s="444">
        <v>0</v>
      </c>
      <c r="P20" s="444">
        <v>0</v>
      </c>
      <c r="Q20" s="444">
        <v>0</v>
      </c>
      <c r="R20" s="444">
        <v>0</v>
      </c>
      <c r="S20" s="444">
        <v>0</v>
      </c>
      <c r="T20" s="444"/>
      <c r="U20" s="444">
        <v>20</v>
      </c>
    </row>
    <row r="21" spans="1:21" ht="18.75" customHeight="1" x14ac:dyDescent="0.3">
      <c r="A21" s="444" t="s">
        <v>393</v>
      </c>
      <c r="B21" s="444"/>
      <c r="C21" s="444">
        <v>0</v>
      </c>
      <c r="D21" s="444">
        <v>0</v>
      </c>
      <c r="E21" s="444">
        <v>2</v>
      </c>
      <c r="F21" s="444">
        <v>0</v>
      </c>
      <c r="G21" s="444">
        <v>0</v>
      </c>
      <c r="H21" s="444">
        <v>0</v>
      </c>
      <c r="I21" s="444">
        <v>0</v>
      </c>
      <c r="J21" s="444">
        <v>0</v>
      </c>
      <c r="K21" s="444">
        <v>0</v>
      </c>
      <c r="L21" s="444">
        <v>0</v>
      </c>
      <c r="M21" s="444">
        <v>10</v>
      </c>
      <c r="N21" s="444">
        <v>5</v>
      </c>
      <c r="O21" s="444">
        <v>0</v>
      </c>
      <c r="P21" s="444">
        <v>0</v>
      </c>
      <c r="Q21" s="444">
        <v>0</v>
      </c>
      <c r="R21" s="444">
        <v>0</v>
      </c>
      <c r="S21" s="444">
        <v>0</v>
      </c>
      <c r="T21" s="444"/>
      <c r="U21" s="444">
        <v>21</v>
      </c>
    </row>
    <row r="22" spans="1:21" ht="18.75" customHeight="1" x14ac:dyDescent="0.3">
      <c r="A22" s="444" t="s">
        <v>394</v>
      </c>
      <c r="B22" s="444"/>
      <c r="C22" s="444">
        <v>6</v>
      </c>
      <c r="D22" s="444">
        <v>0</v>
      </c>
      <c r="E22" s="444">
        <v>0</v>
      </c>
      <c r="F22" s="444">
        <v>3</v>
      </c>
      <c r="G22" s="444">
        <v>1</v>
      </c>
      <c r="H22" s="444">
        <v>0</v>
      </c>
      <c r="I22" s="444">
        <v>9.92</v>
      </c>
      <c r="J22" s="444">
        <v>0</v>
      </c>
      <c r="K22" s="444">
        <v>0</v>
      </c>
      <c r="L22" s="444">
        <v>0</v>
      </c>
      <c r="M22" s="444">
        <v>11</v>
      </c>
      <c r="N22" s="444">
        <v>0</v>
      </c>
      <c r="O22" s="444">
        <v>0</v>
      </c>
      <c r="P22" s="444">
        <v>0</v>
      </c>
      <c r="Q22" s="444">
        <v>0</v>
      </c>
      <c r="R22" s="444">
        <v>0</v>
      </c>
      <c r="S22" s="444">
        <v>0</v>
      </c>
      <c r="T22" s="444"/>
      <c r="U22" s="444">
        <v>22</v>
      </c>
    </row>
    <row r="23" spans="1:21" ht="18.75" customHeight="1" x14ac:dyDescent="0.3">
      <c r="A23" s="444" t="s">
        <v>395</v>
      </c>
      <c r="B23" s="444"/>
      <c r="C23" s="444">
        <v>4</v>
      </c>
      <c r="D23" s="444">
        <v>0</v>
      </c>
      <c r="E23" s="444">
        <v>2</v>
      </c>
      <c r="F23" s="444">
        <v>1</v>
      </c>
      <c r="G23" s="444">
        <v>0</v>
      </c>
      <c r="H23" s="444">
        <v>0</v>
      </c>
      <c r="I23" s="444">
        <v>1.925</v>
      </c>
      <c r="J23" s="444">
        <v>0</v>
      </c>
      <c r="K23" s="444">
        <v>0</v>
      </c>
      <c r="L23" s="444">
        <v>0</v>
      </c>
      <c r="M23" s="444">
        <v>4.51</v>
      </c>
      <c r="N23" s="444">
        <v>0</v>
      </c>
      <c r="O23" s="444">
        <v>0</v>
      </c>
      <c r="P23" s="444">
        <v>0</v>
      </c>
      <c r="Q23" s="444">
        <v>0</v>
      </c>
      <c r="R23" s="444">
        <v>0</v>
      </c>
      <c r="S23" s="444">
        <v>0</v>
      </c>
      <c r="T23" s="444"/>
      <c r="U23" s="444">
        <v>23</v>
      </c>
    </row>
    <row r="24" spans="1:21" ht="18.75" customHeight="1" x14ac:dyDescent="0.3">
      <c r="A24" s="444" t="s">
        <v>396</v>
      </c>
      <c r="B24" s="444"/>
      <c r="C24" s="444">
        <v>0</v>
      </c>
      <c r="D24" s="444">
        <v>0</v>
      </c>
      <c r="E24" s="444">
        <v>0</v>
      </c>
      <c r="F24" s="444">
        <v>0</v>
      </c>
      <c r="G24" s="444">
        <v>0</v>
      </c>
      <c r="H24" s="444">
        <v>0</v>
      </c>
      <c r="I24" s="444">
        <v>0</v>
      </c>
      <c r="J24" s="444">
        <v>0</v>
      </c>
      <c r="K24" s="444">
        <v>0</v>
      </c>
      <c r="L24" s="444">
        <v>0</v>
      </c>
      <c r="M24" s="444">
        <v>19.843</v>
      </c>
      <c r="N24" s="444">
        <v>0</v>
      </c>
      <c r="O24" s="444">
        <v>0</v>
      </c>
      <c r="P24" s="444">
        <v>0</v>
      </c>
      <c r="Q24" s="444">
        <v>0</v>
      </c>
      <c r="R24" s="444">
        <v>0</v>
      </c>
      <c r="S24" s="444">
        <v>0</v>
      </c>
      <c r="T24" s="444"/>
      <c r="U24" s="444">
        <v>24</v>
      </c>
    </row>
    <row r="25" spans="1:21" ht="18.75" customHeight="1" x14ac:dyDescent="0.3">
      <c r="A25" s="444" t="s">
        <v>397</v>
      </c>
      <c r="B25" s="444"/>
      <c r="C25" s="444">
        <v>15</v>
      </c>
      <c r="D25" s="444">
        <v>0</v>
      </c>
      <c r="E25" s="444">
        <v>1</v>
      </c>
      <c r="F25" s="444">
        <v>1</v>
      </c>
      <c r="G25" s="444">
        <v>3</v>
      </c>
      <c r="H25" s="444">
        <v>0</v>
      </c>
      <c r="I25" s="444">
        <v>11</v>
      </c>
      <c r="J25" s="444">
        <v>0</v>
      </c>
      <c r="K25" s="444">
        <v>0</v>
      </c>
      <c r="L25" s="444">
        <v>0</v>
      </c>
      <c r="M25" s="444">
        <v>0</v>
      </c>
      <c r="N25" s="444">
        <v>0</v>
      </c>
      <c r="O25" s="444">
        <v>0</v>
      </c>
      <c r="P25" s="444">
        <v>0</v>
      </c>
      <c r="Q25" s="444">
        <v>0</v>
      </c>
      <c r="R25" s="444">
        <v>0</v>
      </c>
      <c r="S25" s="444">
        <v>0</v>
      </c>
      <c r="T25" s="444"/>
      <c r="U25" s="444">
        <v>25</v>
      </c>
    </row>
    <row r="26" spans="1:21" ht="18.75" customHeight="1" x14ac:dyDescent="0.3">
      <c r="A26" s="444" t="s">
        <v>398</v>
      </c>
      <c r="B26" s="444"/>
      <c r="C26" s="444">
        <v>0</v>
      </c>
      <c r="D26" s="444">
        <v>0</v>
      </c>
      <c r="E26" s="444">
        <v>0</v>
      </c>
      <c r="F26" s="444">
        <v>0</v>
      </c>
      <c r="G26" s="444">
        <v>0</v>
      </c>
      <c r="H26" s="444">
        <v>0</v>
      </c>
      <c r="I26" s="444">
        <v>22.7</v>
      </c>
      <c r="J26" s="444">
        <v>0</v>
      </c>
      <c r="K26" s="444">
        <v>0</v>
      </c>
      <c r="L26" s="444">
        <v>0</v>
      </c>
      <c r="M26" s="444">
        <v>0.54</v>
      </c>
      <c r="N26" s="444">
        <v>0</v>
      </c>
      <c r="O26" s="444">
        <v>0</v>
      </c>
      <c r="P26" s="444">
        <v>0</v>
      </c>
      <c r="Q26" s="444">
        <v>0</v>
      </c>
      <c r="R26" s="444">
        <v>0</v>
      </c>
      <c r="S26" s="444">
        <v>0</v>
      </c>
      <c r="T26" s="444"/>
      <c r="U26" s="444">
        <v>26</v>
      </c>
    </row>
    <row r="27" spans="1:21" ht="18.75" customHeight="1" x14ac:dyDescent="0.3">
      <c r="A27" s="444" t="s">
        <v>399</v>
      </c>
      <c r="B27" s="444"/>
      <c r="C27" s="444">
        <v>0</v>
      </c>
      <c r="D27" s="444">
        <v>0</v>
      </c>
      <c r="E27" s="444">
        <v>2</v>
      </c>
      <c r="F27" s="444">
        <v>4</v>
      </c>
      <c r="G27" s="444">
        <v>2</v>
      </c>
      <c r="H27" s="444">
        <v>0</v>
      </c>
      <c r="I27" s="444">
        <v>0</v>
      </c>
      <c r="J27" s="444">
        <v>0</v>
      </c>
      <c r="K27" s="444">
        <v>0</v>
      </c>
      <c r="L27" s="444">
        <v>0</v>
      </c>
      <c r="M27" s="444">
        <v>0</v>
      </c>
      <c r="N27" s="444">
        <v>0</v>
      </c>
      <c r="O27" s="444">
        <v>0</v>
      </c>
      <c r="P27" s="444">
        <v>0</v>
      </c>
      <c r="Q27" s="444">
        <v>0</v>
      </c>
      <c r="R27" s="444">
        <v>0</v>
      </c>
      <c r="S27" s="444">
        <v>0</v>
      </c>
      <c r="T27" s="444"/>
      <c r="U27" s="444">
        <v>27</v>
      </c>
    </row>
    <row r="28" spans="1:21" ht="18.75" customHeight="1" x14ac:dyDescent="0.3">
      <c r="A28" s="444" t="s">
        <v>400</v>
      </c>
      <c r="B28" s="444"/>
      <c r="C28" s="444">
        <v>0</v>
      </c>
      <c r="D28" s="444">
        <v>0</v>
      </c>
      <c r="E28" s="444">
        <v>0</v>
      </c>
      <c r="F28" s="444">
        <v>0</v>
      </c>
      <c r="G28" s="444">
        <v>0</v>
      </c>
      <c r="H28" s="444">
        <v>0</v>
      </c>
      <c r="I28" s="444">
        <v>0</v>
      </c>
      <c r="J28" s="444">
        <v>0</v>
      </c>
      <c r="K28" s="444">
        <v>0</v>
      </c>
      <c r="L28" s="444">
        <v>0</v>
      </c>
      <c r="M28" s="444">
        <v>0</v>
      </c>
      <c r="N28" s="444">
        <v>0</v>
      </c>
      <c r="O28" s="444">
        <v>0</v>
      </c>
      <c r="P28" s="444">
        <v>0</v>
      </c>
      <c r="Q28" s="444">
        <v>60</v>
      </c>
      <c r="R28" s="444">
        <v>0</v>
      </c>
      <c r="S28" s="444">
        <v>0</v>
      </c>
      <c r="T28" s="444"/>
      <c r="U28" s="444">
        <v>28</v>
      </c>
    </row>
    <row r="29" spans="1:21" ht="18.75" customHeight="1" x14ac:dyDescent="0.3">
      <c r="A29" s="444" t="s">
        <v>401</v>
      </c>
      <c r="B29" s="444"/>
      <c r="C29" s="444">
        <v>0</v>
      </c>
      <c r="D29" s="444">
        <v>0</v>
      </c>
      <c r="E29" s="444">
        <v>0</v>
      </c>
      <c r="F29" s="444">
        <v>0</v>
      </c>
      <c r="G29" s="444">
        <v>0</v>
      </c>
      <c r="H29" s="444">
        <v>0</v>
      </c>
      <c r="I29" s="444">
        <v>0</v>
      </c>
      <c r="J29" s="444">
        <v>0</v>
      </c>
      <c r="K29" s="444">
        <v>0</v>
      </c>
      <c r="L29" s="444">
        <v>0</v>
      </c>
      <c r="M29" s="444">
        <v>0</v>
      </c>
      <c r="N29" s="444">
        <v>0</v>
      </c>
      <c r="O29" s="444">
        <v>0</v>
      </c>
      <c r="P29" s="444">
        <v>0</v>
      </c>
      <c r="Q29" s="444">
        <v>0</v>
      </c>
      <c r="R29" s="444">
        <v>0</v>
      </c>
      <c r="S29" s="444">
        <v>1</v>
      </c>
      <c r="T29" s="444"/>
      <c r="U29" s="444">
        <v>29</v>
      </c>
    </row>
    <row r="30" spans="1:21" ht="18.75" customHeight="1" x14ac:dyDescent="0.3">
      <c r="A30" s="444" t="s">
        <v>402</v>
      </c>
      <c r="B30" s="444"/>
      <c r="C30" s="444">
        <v>0</v>
      </c>
      <c r="D30" s="444">
        <v>0</v>
      </c>
      <c r="E30" s="444">
        <v>0</v>
      </c>
      <c r="F30" s="444">
        <v>0</v>
      </c>
      <c r="G30" s="444">
        <v>0</v>
      </c>
      <c r="H30" s="444">
        <v>0</v>
      </c>
      <c r="I30" s="444">
        <v>0</v>
      </c>
      <c r="J30" s="444">
        <v>0</v>
      </c>
      <c r="K30" s="444">
        <v>0</v>
      </c>
      <c r="L30" s="444">
        <v>0</v>
      </c>
      <c r="M30" s="444">
        <v>4.3049999999999997</v>
      </c>
      <c r="N30" s="444">
        <v>0</v>
      </c>
      <c r="O30" s="444">
        <v>0</v>
      </c>
      <c r="P30" s="444">
        <v>0</v>
      </c>
      <c r="Q30" s="444">
        <v>0</v>
      </c>
      <c r="R30" s="444">
        <v>0</v>
      </c>
      <c r="S30" s="444">
        <v>0</v>
      </c>
      <c r="T30" s="444"/>
      <c r="U30" s="444">
        <v>30</v>
      </c>
    </row>
    <row r="31" spans="1:21" ht="18.75" customHeight="1" x14ac:dyDescent="0.3">
      <c r="A31" s="444" t="s">
        <v>403</v>
      </c>
      <c r="B31" s="444"/>
      <c r="C31" s="444">
        <v>0</v>
      </c>
      <c r="D31" s="444">
        <v>0</v>
      </c>
      <c r="E31" s="444">
        <v>0</v>
      </c>
      <c r="F31" s="444">
        <v>0</v>
      </c>
      <c r="G31" s="444">
        <v>0</v>
      </c>
      <c r="H31" s="444">
        <v>0</v>
      </c>
      <c r="I31" s="444">
        <v>0</v>
      </c>
      <c r="J31" s="444">
        <v>0</v>
      </c>
      <c r="K31" s="444">
        <v>0</v>
      </c>
      <c r="L31" s="444">
        <v>0</v>
      </c>
      <c r="M31" s="444">
        <v>2.84</v>
      </c>
      <c r="N31" s="444">
        <v>0</v>
      </c>
      <c r="O31" s="444">
        <v>0</v>
      </c>
      <c r="P31" s="444">
        <v>0</v>
      </c>
      <c r="Q31" s="444">
        <v>0</v>
      </c>
      <c r="R31" s="444">
        <v>0</v>
      </c>
      <c r="S31" s="444">
        <v>0</v>
      </c>
      <c r="T31" s="444"/>
      <c r="U31" s="444">
        <v>31</v>
      </c>
    </row>
    <row r="32" spans="1:21" ht="18.75" customHeight="1" x14ac:dyDescent="0.3">
      <c r="A32" s="444" t="s">
        <v>404</v>
      </c>
      <c r="B32" s="444"/>
      <c r="C32" s="444">
        <v>0</v>
      </c>
      <c r="D32" s="444">
        <v>0</v>
      </c>
      <c r="E32" s="444">
        <v>0</v>
      </c>
      <c r="F32" s="444">
        <v>0</v>
      </c>
      <c r="G32" s="444">
        <v>0</v>
      </c>
      <c r="H32" s="444">
        <v>0</v>
      </c>
      <c r="I32" s="444">
        <v>0</v>
      </c>
      <c r="J32" s="444">
        <v>0</v>
      </c>
      <c r="K32" s="444">
        <v>0</v>
      </c>
      <c r="L32" s="444">
        <v>0</v>
      </c>
      <c r="M32" s="444">
        <v>3.0649999999999999</v>
      </c>
      <c r="N32" s="444">
        <v>0</v>
      </c>
      <c r="O32" s="444">
        <v>0</v>
      </c>
      <c r="P32" s="444">
        <v>0</v>
      </c>
      <c r="Q32" s="444">
        <v>0</v>
      </c>
      <c r="R32" s="444">
        <v>0</v>
      </c>
      <c r="S32" s="444">
        <v>0</v>
      </c>
      <c r="T32" s="444"/>
      <c r="U32" s="444">
        <v>32</v>
      </c>
    </row>
    <row r="33" spans="1:21" ht="18.75" customHeight="1" x14ac:dyDescent="0.3">
      <c r="A33" s="444" t="s">
        <v>405</v>
      </c>
      <c r="B33" s="444"/>
      <c r="C33" s="444">
        <v>0</v>
      </c>
      <c r="D33" s="444">
        <v>0</v>
      </c>
      <c r="E33" s="444">
        <v>0</v>
      </c>
      <c r="F33" s="444">
        <v>0</v>
      </c>
      <c r="G33" s="444">
        <v>0</v>
      </c>
      <c r="H33" s="444">
        <v>0</v>
      </c>
      <c r="I33" s="444">
        <v>0</v>
      </c>
      <c r="J33" s="444">
        <v>0</v>
      </c>
      <c r="K33" s="444">
        <v>0</v>
      </c>
      <c r="L33" s="444">
        <v>0</v>
      </c>
      <c r="M33" s="444">
        <v>0</v>
      </c>
      <c r="N33" s="444">
        <v>0</v>
      </c>
      <c r="O33" s="444">
        <v>0</v>
      </c>
      <c r="P33" s="444">
        <v>20</v>
      </c>
      <c r="Q33" s="444">
        <v>0</v>
      </c>
      <c r="R33" s="444">
        <v>0</v>
      </c>
      <c r="S33" s="444">
        <v>0</v>
      </c>
      <c r="T33" s="444"/>
      <c r="U33" s="444">
        <v>33</v>
      </c>
    </row>
    <row r="34" spans="1:21" ht="18.75" customHeight="1" x14ac:dyDescent="0.3">
      <c r="A34" s="444" t="s">
        <v>406</v>
      </c>
      <c r="B34" s="444"/>
      <c r="C34" s="444">
        <v>0</v>
      </c>
      <c r="D34" s="444">
        <v>2</v>
      </c>
      <c r="E34" s="444">
        <v>0</v>
      </c>
      <c r="F34" s="444">
        <v>0</v>
      </c>
      <c r="G34" s="444">
        <v>0</v>
      </c>
      <c r="H34" s="444">
        <v>0</v>
      </c>
      <c r="I34" s="444">
        <v>0</v>
      </c>
      <c r="J34" s="444">
        <v>19.695</v>
      </c>
      <c r="K34" s="444">
        <v>0</v>
      </c>
      <c r="L34" s="444">
        <v>16.760000000000002</v>
      </c>
      <c r="M34" s="444">
        <v>0</v>
      </c>
      <c r="N34" s="444">
        <v>0</v>
      </c>
      <c r="O34" s="444">
        <v>0</v>
      </c>
      <c r="P34" s="444">
        <v>0</v>
      </c>
      <c r="Q34" s="444">
        <v>0</v>
      </c>
      <c r="R34" s="444">
        <v>0</v>
      </c>
      <c r="S34" s="444">
        <v>0</v>
      </c>
      <c r="T34" s="444"/>
      <c r="U34" s="444">
        <v>34</v>
      </c>
    </row>
    <row r="35" spans="1:21" ht="18.75" customHeight="1" x14ac:dyDescent="0.3">
      <c r="A35" s="444" t="s">
        <v>407</v>
      </c>
      <c r="B35" s="444"/>
      <c r="C35" s="444">
        <v>0</v>
      </c>
      <c r="D35" s="444">
        <v>2</v>
      </c>
      <c r="E35" s="444">
        <v>0</v>
      </c>
      <c r="F35" s="444">
        <v>0</v>
      </c>
      <c r="G35" s="444">
        <v>0</v>
      </c>
      <c r="H35" s="444">
        <v>0</v>
      </c>
      <c r="I35" s="444">
        <v>0</v>
      </c>
      <c r="J35" s="444">
        <v>3.3119999999999998</v>
      </c>
      <c r="K35" s="444">
        <v>0</v>
      </c>
      <c r="L35" s="444">
        <v>32.591999999999999</v>
      </c>
      <c r="M35" s="444">
        <v>0</v>
      </c>
      <c r="N35" s="444">
        <v>0</v>
      </c>
      <c r="O35" s="444">
        <v>0</v>
      </c>
      <c r="P35" s="444">
        <v>0</v>
      </c>
      <c r="Q35" s="444">
        <v>0</v>
      </c>
      <c r="R35" s="444">
        <v>13</v>
      </c>
      <c r="S35" s="444">
        <v>0</v>
      </c>
      <c r="T35" s="444"/>
      <c r="U35" s="444">
        <v>35</v>
      </c>
    </row>
    <row r="36" spans="1:21" ht="18.75" customHeight="1" x14ac:dyDescent="0.3">
      <c r="A36" s="444" t="s">
        <v>408</v>
      </c>
      <c r="B36" s="444"/>
      <c r="C36" s="444">
        <v>0</v>
      </c>
      <c r="D36" s="444">
        <v>0</v>
      </c>
      <c r="E36" s="444">
        <v>0</v>
      </c>
      <c r="F36" s="444">
        <v>0</v>
      </c>
      <c r="G36" s="444">
        <v>0</v>
      </c>
      <c r="H36" s="444">
        <v>0</v>
      </c>
      <c r="I36" s="444">
        <v>0</v>
      </c>
      <c r="J36" s="444">
        <v>0</v>
      </c>
      <c r="K36" s="444">
        <v>0</v>
      </c>
      <c r="L36" s="444">
        <v>0</v>
      </c>
      <c r="M36" s="444">
        <v>23.815000000000001</v>
      </c>
      <c r="N36" s="444">
        <v>0</v>
      </c>
      <c r="O36" s="444">
        <v>0</v>
      </c>
      <c r="P36" s="444">
        <v>0</v>
      </c>
      <c r="Q36" s="444">
        <v>0</v>
      </c>
      <c r="R36" s="444">
        <v>0</v>
      </c>
      <c r="S36" s="444">
        <v>0</v>
      </c>
      <c r="T36" s="444"/>
      <c r="U36" s="444">
        <v>36</v>
      </c>
    </row>
    <row r="37" spans="1:21" ht="18.75" customHeight="1" x14ac:dyDescent="0.3">
      <c r="A37" s="444" t="s">
        <v>409</v>
      </c>
      <c r="B37" s="444"/>
      <c r="C37" s="444">
        <v>0</v>
      </c>
      <c r="D37" s="444">
        <v>0</v>
      </c>
      <c r="E37" s="444">
        <v>6</v>
      </c>
      <c r="F37" s="444">
        <v>0</v>
      </c>
      <c r="G37" s="444">
        <v>1</v>
      </c>
      <c r="H37" s="444">
        <v>0</v>
      </c>
      <c r="I37" s="444">
        <v>0</v>
      </c>
      <c r="J37" s="444">
        <v>0</v>
      </c>
      <c r="K37" s="444">
        <v>0</v>
      </c>
      <c r="L37" s="444">
        <v>0</v>
      </c>
      <c r="M37" s="444">
        <v>0</v>
      </c>
      <c r="N37" s="444">
        <v>0</v>
      </c>
      <c r="O37" s="444">
        <v>0</v>
      </c>
      <c r="P37" s="444">
        <v>0</v>
      </c>
      <c r="Q37" s="444">
        <v>0</v>
      </c>
      <c r="R37" s="444">
        <v>0</v>
      </c>
      <c r="S37" s="444">
        <v>0</v>
      </c>
      <c r="T37" s="444"/>
      <c r="U37" s="444">
        <v>37</v>
      </c>
    </row>
    <row r="38" spans="1:21" ht="18.75" customHeight="1" x14ac:dyDescent="0.3">
      <c r="A38" s="444" t="s">
        <v>410</v>
      </c>
      <c r="B38" s="444"/>
      <c r="C38" s="444">
        <v>15</v>
      </c>
      <c r="D38" s="444">
        <v>0</v>
      </c>
      <c r="E38" s="444">
        <v>0</v>
      </c>
      <c r="F38" s="444">
        <v>9</v>
      </c>
      <c r="G38" s="444">
        <v>4</v>
      </c>
      <c r="H38" s="444">
        <v>0</v>
      </c>
      <c r="I38" s="444">
        <v>0</v>
      </c>
      <c r="J38" s="444">
        <v>0</v>
      </c>
      <c r="K38" s="444">
        <v>0</v>
      </c>
      <c r="L38" s="444">
        <v>0</v>
      </c>
      <c r="M38" s="444">
        <v>0</v>
      </c>
      <c r="N38" s="444">
        <v>0</v>
      </c>
      <c r="O38" s="444">
        <v>0</v>
      </c>
      <c r="P38" s="444">
        <v>0</v>
      </c>
      <c r="Q38" s="444">
        <v>0</v>
      </c>
      <c r="R38" s="444">
        <v>0</v>
      </c>
      <c r="S38" s="444">
        <v>0</v>
      </c>
      <c r="T38" s="444"/>
      <c r="U38" s="444">
        <v>38</v>
      </c>
    </row>
    <row r="39" spans="1:21" ht="18.75" customHeight="1" x14ac:dyDescent="0.3">
      <c r="A39" s="444" t="s">
        <v>411</v>
      </c>
      <c r="B39" s="444"/>
      <c r="C39" s="444">
        <v>0</v>
      </c>
      <c r="D39" s="444">
        <v>0</v>
      </c>
      <c r="E39" s="444">
        <v>0</v>
      </c>
      <c r="F39" s="444">
        <v>0</v>
      </c>
      <c r="G39" s="444">
        <v>0</v>
      </c>
      <c r="H39" s="444">
        <v>0</v>
      </c>
      <c r="I39" s="444">
        <v>30.058</v>
      </c>
      <c r="J39" s="444">
        <v>0</v>
      </c>
      <c r="K39" s="444">
        <v>0</v>
      </c>
      <c r="L39" s="444">
        <v>0</v>
      </c>
      <c r="M39" s="444">
        <v>0</v>
      </c>
      <c r="N39" s="444">
        <v>1</v>
      </c>
      <c r="O39" s="444">
        <v>0</v>
      </c>
      <c r="P39" s="444">
        <v>0</v>
      </c>
      <c r="Q39" s="444">
        <v>0</v>
      </c>
      <c r="R39" s="444">
        <v>0</v>
      </c>
      <c r="S39" s="444">
        <v>0</v>
      </c>
      <c r="T39" s="444"/>
      <c r="U39" s="444">
        <v>39</v>
      </c>
    </row>
    <row r="40" spans="1:21" ht="18.75" customHeight="1" x14ac:dyDescent="0.3">
      <c r="A40" s="444" t="s">
        <v>412</v>
      </c>
      <c r="B40" s="444"/>
      <c r="C40" s="444">
        <v>0</v>
      </c>
      <c r="D40" s="444">
        <v>0</v>
      </c>
      <c r="E40" s="444">
        <v>0</v>
      </c>
      <c r="F40" s="444">
        <v>0</v>
      </c>
      <c r="G40" s="444">
        <v>0</v>
      </c>
      <c r="H40" s="444">
        <v>0</v>
      </c>
      <c r="I40" s="444">
        <v>0</v>
      </c>
      <c r="J40" s="444">
        <v>0</v>
      </c>
      <c r="K40" s="444">
        <v>0</v>
      </c>
      <c r="L40" s="444">
        <v>0</v>
      </c>
      <c r="M40" s="444">
        <v>0</v>
      </c>
      <c r="N40" s="444">
        <v>0</v>
      </c>
      <c r="O40" s="444">
        <v>0</v>
      </c>
      <c r="P40" s="444">
        <v>0</v>
      </c>
      <c r="Q40" s="444">
        <v>0</v>
      </c>
      <c r="R40" s="444">
        <v>0</v>
      </c>
      <c r="S40" s="444">
        <v>1</v>
      </c>
      <c r="T40" s="444"/>
      <c r="U40" s="444">
        <v>40</v>
      </c>
    </row>
    <row r="41" spans="1:21" ht="18.75" customHeight="1" x14ac:dyDescent="0.3">
      <c r="A41" s="444" t="s">
        <v>413</v>
      </c>
      <c r="B41" s="444"/>
      <c r="C41" s="444">
        <v>0</v>
      </c>
      <c r="D41" s="444">
        <v>0</v>
      </c>
      <c r="E41" s="444">
        <v>0</v>
      </c>
      <c r="F41" s="444">
        <v>0</v>
      </c>
      <c r="G41" s="444">
        <v>0</v>
      </c>
      <c r="H41" s="444">
        <v>0</v>
      </c>
      <c r="I41" s="444">
        <v>0</v>
      </c>
      <c r="J41" s="444">
        <v>0</v>
      </c>
      <c r="K41" s="444">
        <v>46.21</v>
      </c>
      <c r="L41" s="444">
        <v>0</v>
      </c>
      <c r="M41" s="444">
        <v>0</v>
      </c>
      <c r="N41" s="444">
        <v>0</v>
      </c>
      <c r="O41" s="444">
        <v>0</v>
      </c>
      <c r="P41" s="444">
        <v>0</v>
      </c>
      <c r="Q41" s="444">
        <v>0</v>
      </c>
      <c r="R41" s="444">
        <v>0</v>
      </c>
      <c r="S41" s="444">
        <v>0</v>
      </c>
      <c r="T41" s="444"/>
      <c r="U41" s="444">
        <v>41</v>
      </c>
    </row>
    <row r="42" spans="1:21" ht="18.75" customHeight="1" x14ac:dyDescent="0.3">
      <c r="A42" s="444" t="s">
        <v>414</v>
      </c>
      <c r="B42" s="444"/>
      <c r="C42" s="444">
        <v>0</v>
      </c>
      <c r="D42" s="444">
        <v>0</v>
      </c>
      <c r="E42" s="444">
        <v>0</v>
      </c>
      <c r="F42" s="444">
        <v>0</v>
      </c>
      <c r="G42" s="444">
        <v>0</v>
      </c>
      <c r="H42" s="444">
        <v>0</v>
      </c>
      <c r="I42" s="444">
        <v>0</v>
      </c>
      <c r="J42" s="444">
        <v>50.383000000000003</v>
      </c>
      <c r="K42" s="444">
        <v>0</v>
      </c>
      <c r="L42" s="444">
        <v>0</v>
      </c>
      <c r="M42" s="444">
        <v>0</v>
      </c>
      <c r="N42" s="444">
        <v>0</v>
      </c>
      <c r="O42" s="444">
        <v>0</v>
      </c>
      <c r="P42" s="444">
        <v>0</v>
      </c>
      <c r="Q42" s="444">
        <v>0</v>
      </c>
      <c r="R42" s="444">
        <v>0</v>
      </c>
      <c r="S42" s="444">
        <v>0</v>
      </c>
      <c r="T42" s="444"/>
      <c r="U42" s="444">
        <v>42</v>
      </c>
    </row>
    <row r="43" spans="1:21" ht="18.75" customHeight="1" x14ac:dyDescent="0.3">
      <c r="A43" s="444" t="s">
        <v>415</v>
      </c>
      <c r="B43" s="444"/>
      <c r="C43" s="444">
        <v>0</v>
      </c>
      <c r="D43" s="444">
        <v>1</v>
      </c>
      <c r="E43" s="444">
        <v>0</v>
      </c>
      <c r="F43" s="444">
        <v>0</v>
      </c>
      <c r="G43" s="444">
        <v>0</v>
      </c>
      <c r="H43" s="444">
        <v>0</v>
      </c>
      <c r="I43" s="444">
        <v>0</v>
      </c>
      <c r="J43" s="444">
        <v>0</v>
      </c>
      <c r="K43" s="444">
        <v>20.9</v>
      </c>
      <c r="L43" s="444">
        <v>3.56</v>
      </c>
      <c r="M43" s="444">
        <v>0</v>
      </c>
      <c r="N43" s="444">
        <v>0</v>
      </c>
      <c r="O43" s="444">
        <v>0</v>
      </c>
      <c r="P43" s="444">
        <v>0</v>
      </c>
      <c r="Q43" s="444">
        <v>0</v>
      </c>
      <c r="R43" s="444">
        <v>32</v>
      </c>
      <c r="S43" s="444">
        <v>0</v>
      </c>
      <c r="T43" s="444"/>
      <c r="U43" s="444">
        <v>43</v>
      </c>
    </row>
    <row r="44" spans="1:21" ht="18.75" customHeight="1" x14ac:dyDescent="0.3">
      <c r="A44" s="444" t="s">
        <v>416</v>
      </c>
      <c r="B44" s="444"/>
      <c r="C44" s="444">
        <v>0</v>
      </c>
      <c r="D44" s="444">
        <v>0</v>
      </c>
      <c r="E44" s="444">
        <v>0</v>
      </c>
      <c r="F44" s="444">
        <v>0</v>
      </c>
      <c r="G44" s="444">
        <v>0</v>
      </c>
      <c r="H44" s="444">
        <v>0</v>
      </c>
      <c r="I44" s="444">
        <v>0</v>
      </c>
      <c r="J44" s="444">
        <v>24.033000000000001</v>
      </c>
      <c r="K44" s="444">
        <v>0</v>
      </c>
      <c r="L44" s="444">
        <v>5</v>
      </c>
      <c r="M44" s="444">
        <v>0</v>
      </c>
      <c r="N44" s="444">
        <v>0</v>
      </c>
      <c r="O44" s="444">
        <v>0</v>
      </c>
      <c r="P44" s="444">
        <v>0</v>
      </c>
      <c r="Q44" s="444">
        <v>0</v>
      </c>
      <c r="R44" s="444">
        <v>24</v>
      </c>
      <c r="S44" s="444">
        <v>0</v>
      </c>
      <c r="T44" s="444"/>
      <c r="U44" s="444">
        <v>44</v>
      </c>
    </row>
    <row r="45" spans="1:21" ht="18.75" customHeight="1" x14ac:dyDescent="0.3">
      <c r="A45" s="444" t="s">
        <v>417</v>
      </c>
      <c r="B45" s="444"/>
      <c r="C45" s="444">
        <v>0</v>
      </c>
      <c r="D45" s="444">
        <v>0</v>
      </c>
      <c r="E45" s="444">
        <v>3</v>
      </c>
      <c r="F45" s="444">
        <v>0</v>
      </c>
      <c r="G45" s="444">
        <v>0</v>
      </c>
      <c r="H45" s="444">
        <v>0</v>
      </c>
      <c r="I45" s="444">
        <v>0</v>
      </c>
      <c r="J45" s="444">
        <v>0</v>
      </c>
      <c r="K45" s="444">
        <v>0</v>
      </c>
      <c r="L45" s="444">
        <v>0</v>
      </c>
      <c r="M45" s="444">
        <v>3.0710000000000002</v>
      </c>
      <c r="N45" s="444">
        <v>0</v>
      </c>
      <c r="O45" s="444">
        <v>0</v>
      </c>
      <c r="P45" s="444">
        <v>0</v>
      </c>
      <c r="Q45" s="444">
        <v>0</v>
      </c>
      <c r="R45" s="444">
        <v>0</v>
      </c>
      <c r="S45" s="444">
        <v>0</v>
      </c>
      <c r="T45" s="444"/>
      <c r="U45" s="444">
        <v>45</v>
      </c>
    </row>
    <row r="46" spans="1:21" ht="18.75" customHeight="1" x14ac:dyDescent="0.3">
      <c r="A46" s="444" t="s">
        <v>418</v>
      </c>
      <c r="B46" s="444"/>
      <c r="C46" s="444">
        <v>2</v>
      </c>
      <c r="D46" s="444">
        <v>0</v>
      </c>
      <c r="E46" s="444">
        <v>0</v>
      </c>
      <c r="F46" s="444">
        <v>2</v>
      </c>
      <c r="G46" s="444">
        <v>0</v>
      </c>
      <c r="H46" s="444">
        <v>0</v>
      </c>
      <c r="I46" s="444">
        <v>11.97</v>
      </c>
      <c r="J46" s="444">
        <v>0</v>
      </c>
      <c r="K46" s="444">
        <v>0</v>
      </c>
      <c r="L46" s="444">
        <v>0</v>
      </c>
      <c r="M46" s="444">
        <v>0</v>
      </c>
      <c r="N46" s="444">
        <v>1</v>
      </c>
      <c r="O46" s="444">
        <v>0</v>
      </c>
      <c r="P46" s="444">
        <v>0</v>
      </c>
      <c r="Q46" s="444">
        <v>0</v>
      </c>
      <c r="R46" s="444">
        <v>0</v>
      </c>
      <c r="S46" s="444">
        <v>0</v>
      </c>
      <c r="T46" s="444"/>
      <c r="U46" s="444">
        <v>46</v>
      </c>
    </row>
    <row r="47" spans="1:21" ht="18.75" customHeight="1" x14ac:dyDescent="0.3">
      <c r="A47" s="444" t="s">
        <v>419</v>
      </c>
      <c r="B47" s="444"/>
      <c r="C47" s="444">
        <v>0</v>
      </c>
      <c r="D47" s="444">
        <v>0</v>
      </c>
      <c r="E47" s="444">
        <v>0</v>
      </c>
      <c r="F47" s="444">
        <v>0</v>
      </c>
      <c r="G47" s="444">
        <v>0</v>
      </c>
      <c r="H47" s="444">
        <v>0</v>
      </c>
      <c r="I47" s="444">
        <v>21.94</v>
      </c>
      <c r="J47" s="444">
        <v>0</v>
      </c>
      <c r="K47" s="444">
        <v>0</v>
      </c>
      <c r="L47" s="444">
        <v>0</v>
      </c>
      <c r="M47" s="444">
        <v>0</v>
      </c>
      <c r="N47" s="444">
        <v>0</v>
      </c>
      <c r="O47" s="444">
        <v>0</v>
      </c>
      <c r="P47" s="444">
        <v>0</v>
      </c>
      <c r="Q47" s="444">
        <v>0</v>
      </c>
      <c r="R47" s="444">
        <v>0</v>
      </c>
      <c r="S47" s="444">
        <v>0</v>
      </c>
      <c r="T47" s="444"/>
      <c r="U47" s="444">
        <v>47</v>
      </c>
    </row>
    <row r="48" spans="1:21" ht="18.75" customHeight="1" x14ac:dyDescent="0.3">
      <c r="A48" s="444" t="s">
        <v>420</v>
      </c>
      <c r="B48" s="444"/>
      <c r="C48" s="444">
        <v>3</v>
      </c>
      <c r="D48" s="444">
        <v>0</v>
      </c>
      <c r="E48" s="444">
        <v>2</v>
      </c>
      <c r="F48" s="444">
        <v>5</v>
      </c>
      <c r="G48" s="444">
        <v>0</v>
      </c>
      <c r="H48" s="444">
        <v>0</v>
      </c>
      <c r="I48" s="444">
        <v>0</v>
      </c>
      <c r="J48" s="444">
        <v>0</v>
      </c>
      <c r="K48" s="444">
        <v>0</v>
      </c>
      <c r="L48" s="444">
        <v>0</v>
      </c>
      <c r="M48" s="444">
        <v>0</v>
      </c>
      <c r="N48" s="444">
        <v>0</v>
      </c>
      <c r="O48" s="444">
        <v>0</v>
      </c>
      <c r="P48" s="444">
        <v>0</v>
      </c>
      <c r="Q48" s="444">
        <v>0</v>
      </c>
      <c r="R48" s="444">
        <v>0</v>
      </c>
      <c r="S48" s="444">
        <v>0</v>
      </c>
      <c r="T48" s="444"/>
      <c r="U48" s="444">
        <v>48</v>
      </c>
    </row>
    <row r="49" spans="1:21" ht="18.75" customHeight="1" x14ac:dyDescent="0.3">
      <c r="A49" s="444" t="s">
        <v>421</v>
      </c>
      <c r="B49" s="444"/>
      <c r="C49" s="444">
        <v>9</v>
      </c>
      <c r="D49" s="444">
        <v>0</v>
      </c>
      <c r="E49" s="444">
        <v>0</v>
      </c>
      <c r="F49" s="444">
        <v>7</v>
      </c>
      <c r="G49" s="444">
        <v>0</v>
      </c>
      <c r="H49" s="444">
        <v>0</v>
      </c>
      <c r="I49" s="444">
        <v>13.928000000000001</v>
      </c>
      <c r="J49" s="444">
        <v>0</v>
      </c>
      <c r="K49" s="444">
        <v>0</v>
      </c>
      <c r="L49" s="444">
        <v>0</v>
      </c>
      <c r="M49" s="444">
        <v>16.54</v>
      </c>
      <c r="N49" s="444">
        <v>0</v>
      </c>
      <c r="O49" s="444">
        <v>0</v>
      </c>
      <c r="P49" s="444">
        <v>0</v>
      </c>
      <c r="Q49" s="444">
        <v>0</v>
      </c>
      <c r="R49" s="444">
        <v>0</v>
      </c>
      <c r="S49" s="444">
        <v>0</v>
      </c>
      <c r="T49" s="444"/>
      <c r="U49" s="444">
        <v>49</v>
      </c>
    </row>
    <row r="50" spans="1:21" ht="18.75" customHeight="1" x14ac:dyDescent="0.3">
      <c r="A50" s="444" t="s">
        <v>422</v>
      </c>
      <c r="B50" s="444"/>
      <c r="C50" s="444">
        <v>0</v>
      </c>
      <c r="D50" s="444">
        <v>0</v>
      </c>
      <c r="E50" s="444">
        <v>0</v>
      </c>
      <c r="F50" s="444">
        <v>0</v>
      </c>
      <c r="G50" s="444">
        <v>0</v>
      </c>
      <c r="H50" s="444">
        <v>0</v>
      </c>
      <c r="I50" s="444">
        <v>36.58</v>
      </c>
      <c r="J50" s="444">
        <v>0</v>
      </c>
      <c r="K50" s="444">
        <v>0</v>
      </c>
      <c r="L50" s="444">
        <v>0</v>
      </c>
      <c r="M50" s="444">
        <v>0</v>
      </c>
      <c r="N50" s="444">
        <v>0</v>
      </c>
      <c r="O50" s="444">
        <v>0</v>
      </c>
      <c r="P50" s="444">
        <v>0</v>
      </c>
      <c r="Q50" s="444">
        <v>0</v>
      </c>
      <c r="R50" s="444">
        <v>0</v>
      </c>
      <c r="S50" s="444">
        <v>0</v>
      </c>
      <c r="T50" s="444"/>
      <c r="U50" s="444">
        <v>50</v>
      </c>
    </row>
    <row r="51" spans="1:21" ht="18.75" customHeight="1" x14ac:dyDescent="0.3">
      <c r="A51" s="444" t="s">
        <v>423</v>
      </c>
      <c r="B51" s="444"/>
      <c r="C51" s="444">
        <v>0</v>
      </c>
      <c r="D51" s="444">
        <v>0</v>
      </c>
      <c r="E51" s="444">
        <v>2</v>
      </c>
      <c r="F51" s="444">
        <v>0</v>
      </c>
      <c r="G51" s="444">
        <v>6</v>
      </c>
      <c r="H51" s="444">
        <v>0</v>
      </c>
      <c r="I51" s="444">
        <v>0</v>
      </c>
      <c r="J51" s="444">
        <v>0</v>
      </c>
      <c r="K51" s="444">
        <v>0</v>
      </c>
      <c r="L51" s="444">
        <v>0</v>
      </c>
      <c r="M51" s="444">
        <v>0</v>
      </c>
      <c r="N51" s="444">
        <v>0</v>
      </c>
      <c r="O51" s="444">
        <v>0</v>
      </c>
      <c r="P51" s="444">
        <v>0</v>
      </c>
      <c r="Q51" s="444">
        <v>0</v>
      </c>
      <c r="R51" s="444">
        <v>0</v>
      </c>
      <c r="S51" s="444">
        <v>0</v>
      </c>
      <c r="T51" s="444"/>
      <c r="U51" s="444">
        <v>51</v>
      </c>
    </row>
    <row r="52" spans="1:21" ht="18.75" customHeight="1" x14ac:dyDescent="0.3">
      <c r="A52" s="444" t="s">
        <v>424</v>
      </c>
      <c r="B52" s="444"/>
      <c r="C52" s="444">
        <v>0</v>
      </c>
      <c r="D52" s="444">
        <v>0</v>
      </c>
      <c r="E52" s="444">
        <v>0</v>
      </c>
      <c r="F52" s="444">
        <v>0</v>
      </c>
      <c r="G52" s="444">
        <v>0</v>
      </c>
      <c r="H52" s="444">
        <v>0</v>
      </c>
      <c r="I52" s="444">
        <v>0</v>
      </c>
      <c r="J52" s="444">
        <v>0</v>
      </c>
      <c r="K52" s="444">
        <v>0</v>
      </c>
      <c r="L52" s="444">
        <v>0</v>
      </c>
      <c r="M52" s="444">
        <v>34.94</v>
      </c>
      <c r="N52" s="444">
        <v>0</v>
      </c>
      <c r="O52" s="444">
        <v>0</v>
      </c>
      <c r="P52" s="444">
        <v>0</v>
      </c>
      <c r="Q52" s="444">
        <v>0</v>
      </c>
      <c r="R52" s="444">
        <v>0</v>
      </c>
      <c r="S52" s="444">
        <v>0</v>
      </c>
      <c r="T52" s="444"/>
      <c r="U52" s="444">
        <v>52</v>
      </c>
    </row>
    <row r="53" spans="1:21" ht="18.75" customHeight="1" x14ac:dyDescent="0.3">
      <c r="A53" s="444" t="s">
        <v>425</v>
      </c>
      <c r="B53" s="444"/>
      <c r="C53" s="444">
        <v>0</v>
      </c>
      <c r="D53" s="444">
        <v>0</v>
      </c>
      <c r="E53" s="444">
        <v>2</v>
      </c>
      <c r="F53" s="444">
        <v>0</v>
      </c>
      <c r="G53" s="444">
        <v>4</v>
      </c>
      <c r="H53" s="444">
        <v>0</v>
      </c>
      <c r="I53" s="444">
        <v>0</v>
      </c>
      <c r="J53" s="444">
        <v>0</v>
      </c>
      <c r="K53" s="444">
        <v>0</v>
      </c>
      <c r="L53" s="444">
        <v>0</v>
      </c>
      <c r="M53" s="444">
        <v>0</v>
      </c>
      <c r="N53" s="444">
        <v>0</v>
      </c>
      <c r="O53" s="444">
        <v>0</v>
      </c>
      <c r="P53" s="444">
        <v>0</v>
      </c>
      <c r="Q53" s="444">
        <v>0</v>
      </c>
      <c r="R53" s="444">
        <v>0</v>
      </c>
      <c r="S53" s="444">
        <v>0</v>
      </c>
      <c r="T53" s="444"/>
      <c r="U53" s="444">
        <v>53</v>
      </c>
    </row>
    <row r="54" spans="1:21" ht="18.75" customHeight="1" x14ac:dyDescent="0.3">
      <c r="A54" s="444" t="s">
        <v>426</v>
      </c>
      <c r="B54" s="444"/>
      <c r="C54" s="444">
        <v>12</v>
      </c>
      <c r="D54" s="444">
        <v>0</v>
      </c>
      <c r="E54" s="444">
        <v>0</v>
      </c>
      <c r="F54" s="444">
        <v>1</v>
      </c>
      <c r="G54" s="444">
        <v>0</v>
      </c>
      <c r="H54" s="444">
        <v>0</v>
      </c>
      <c r="I54" s="444">
        <v>66.043000000000006</v>
      </c>
      <c r="J54" s="444">
        <v>0</v>
      </c>
      <c r="K54" s="444">
        <v>0</v>
      </c>
      <c r="L54" s="444">
        <v>0</v>
      </c>
      <c r="M54" s="444">
        <v>0</v>
      </c>
      <c r="N54" s="444">
        <v>0</v>
      </c>
      <c r="O54" s="444">
        <v>0</v>
      </c>
      <c r="P54" s="444">
        <v>0</v>
      </c>
      <c r="Q54" s="444">
        <v>0</v>
      </c>
      <c r="R54" s="444">
        <v>0</v>
      </c>
      <c r="S54" s="444">
        <v>0</v>
      </c>
      <c r="T54" s="444"/>
      <c r="U54" s="444">
        <v>54</v>
      </c>
    </row>
    <row r="55" spans="1:21" ht="18.75" customHeight="1" x14ac:dyDescent="0.3">
      <c r="A55" s="444" t="s">
        <v>427</v>
      </c>
      <c r="B55" s="444"/>
      <c r="C55" s="444">
        <v>0</v>
      </c>
      <c r="D55" s="444">
        <v>0</v>
      </c>
      <c r="E55" s="444">
        <v>0</v>
      </c>
      <c r="F55" s="444">
        <v>0</v>
      </c>
      <c r="G55" s="444">
        <v>0</v>
      </c>
      <c r="H55" s="444">
        <v>0</v>
      </c>
      <c r="I55" s="444">
        <v>0</v>
      </c>
      <c r="J55" s="444">
        <v>0</v>
      </c>
      <c r="K55" s="444">
        <v>0</v>
      </c>
      <c r="L55" s="444">
        <v>0</v>
      </c>
      <c r="M55" s="444">
        <v>3.5249999999999999</v>
      </c>
      <c r="N55" s="444">
        <v>0</v>
      </c>
      <c r="O55" s="444">
        <v>0</v>
      </c>
      <c r="P55" s="444">
        <v>0</v>
      </c>
      <c r="Q55" s="444">
        <v>0</v>
      </c>
      <c r="R55" s="444">
        <v>0</v>
      </c>
      <c r="S55" s="444">
        <v>0</v>
      </c>
      <c r="T55" s="444"/>
      <c r="U55" s="444">
        <v>55</v>
      </c>
    </row>
    <row r="56" spans="1:21" ht="18.75" customHeight="1" x14ac:dyDescent="0.3">
      <c r="A56" s="444" t="s">
        <v>428</v>
      </c>
      <c r="B56" s="444"/>
      <c r="C56" s="444">
        <v>0</v>
      </c>
      <c r="D56" s="444">
        <v>0</v>
      </c>
      <c r="E56" s="444">
        <v>0</v>
      </c>
      <c r="F56" s="444">
        <v>0</v>
      </c>
      <c r="G56" s="444">
        <v>0</v>
      </c>
      <c r="H56" s="444">
        <v>0</v>
      </c>
      <c r="I56" s="444">
        <v>0</v>
      </c>
      <c r="J56" s="444">
        <v>0</v>
      </c>
      <c r="K56" s="444">
        <v>0</v>
      </c>
      <c r="L56" s="444">
        <v>0</v>
      </c>
      <c r="M56" s="444">
        <v>0</v>
      </c>
      <c r="N56" s="444">
        <v>0</v>
      </c>
      <c r="O56" s="444">
        <v>0</v>
      </c>
      <c r="P56" s="444">
        <v>0</v>
      </c>
      <c r="Q56" s="444">
        <v>0</v>
      </c>
      <c r="R56" s="444">
        <v>4</v>
      </c>
      <c r="S56" s="444">
        <v>0</v>
      </c>
      <c r="T56" s="444"/>
      <c r="U56" s="444">
        <v>56</v>
      </c>
    </row>
    <row r="57" spans="1:21" ht="18.75" customHeight="1" x14ac:dyDescent="0.3">
      <c r="A57" s="445" t="s">
        <v>11</v>
      </c>
      <c r="B57" s="445"/>
      <c r="C57" s="445">
        <f t="shared" ref="C57:T57" si="0">SUM(C2:C56)</f>
        <v>127</v>
      </c>
      <c r="D57" s="445">
        <f t="shared" si="0"/>
        <v>5</v>
      </c>
      <c r="E57" s="445">
        <f t="shared" si="0"/>
        <v>39</v>
      </c>
      <c r="F57" s="445">
        <f t="shared" si="0"/>
        <v>43</v>
      </c>
      <c r="G57" s="445">
        <f t="shared" si="0"/>
        <v>32</v>
      </c>
      <c r="H57" s="445">
        <f t="shared" si="0"/>
        <v>0</v>
      </c>
      <c r="I57" s="445">
        <f t="shared" si="0"/>
        <v>342.584</v>
      </c>
      <c r="J57" s="445">
        <f t="shared" si="0"/>
        <v>108.974</v>
      </c>
      <c r="K57" s="445">
        <f t="shared" si="0"/>
        <v>67.11</v>
      </c>
      <c r="L57" s="445">
        <f t="shared" si="0"/>
        <v>57.912000000000006</v>
      </c>
      <c r="M57" s="445">
        <f t="shared" si="0"/>
        <v>254.20699999999999</v>
      </c>
      <c r="N57" s="445">
        <f t="shared" si="0"/>
        <v>7</v>
      </c>
      <c r="O57" s="445">
        <f t="shared" si="0"/>
        <v>0</v>
      </c>
      <c r="P57" s="445">
        <f t="shared" si="0"/>
        <v>20</v>
      </c>
      <c r="Q57" s="445">
        <f t="shared" si="0"/>
        <v>60</v>
      </c>
      <c r="R57" s="445">
        <f t="shared" si="0"/>
        <v>86</v>
      </c>
      <c r="S57" s="445">
        <f t="shared" si="0"/>
        <v>2</v>
      </c>
      <c r="T57" s="445">
        <f t="shared" si="0"/>
        <v>0</v>
      </c>
    </row>
  </sheetData>
  <pageMargins left="0.7" right="0.7" top="0.75" bottom="0.75" header="0.3" footer="0.3"/>
  <pageSetup paperSize="9" scale="54" fitToHeight="3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57"/>
  <sheetViews>
    <sheetView view="pageBreakPreview" topLeftCell="A49" zoomScale="85" zoomScaleNormal="70" zoomScaleSheetLayoutView="85" workbookViewId="0">
      <selection activeCell="T57" sqref="T57"/>
    </sheetView>
  </sheetViews>
  <sheetFormatPr defaultColWidth="9.140625" defaultRowHeight="15" x14ac:dyDescent="0.25"/>
  <cols>
    <col min="1" max="1" width="40" style="469" customWidth="1"/>
    <col min="2" max="19" width="32.42578125" style="469" hidden="1" customWidth="1"/>
    <col min="20" max="20" width="26.85546875" style="469" customWidth="1"/>
    <col min="21" max="21" width="12.5703125" style="469" customWidth="1"/>
    <col min="22" max="151" width="9.140625" style="469" customWidth="1"/>
  </cols>
  <sheetData>
    <row r="1" spans="1:21" s="443" customFormat="1" ht="58.5" customHeight="1" x14ac:dyDescent="0.4">
      <c r="A1" s="446" t="s">
        <v>355</v>
      </c>
      <c r="B1" s="446" t="s">
        <v>356</v>
      </c>
      <c r="C1" s="446" t="s">
        <v>357</v>
      </c>
      <c r="D1" s="446" t="s">
        <v>358</v>
      </c>
      <c r="E1" s="446" t="s">
        <v>359</v>
      </c>
      <c r="F1" s="446" t="s">
        <v>360</v>
      </c>
      <c r="G1" s="446" t="s">
        <v>361</v>
      </c>
      <c r="H1" s="446" t="s">
        <v>362</v>
      </c>
      <c r="I1" s="446" t="s">
        <v>363</v>
      </c>
      <c r="J1" s="446" t="s">
        <v>364</v>
      </c>
      <c r="K1" s="446" t="s">
        <v>365</v>
      </c>
      <c r="L1" s="446" t="s">
        <v>366</v>
      </c>
      <c r="M1" s="446" t="s">
        <v>367</v>
      </c>
      <c r="N1" s="446" t="s">
        <v>368</v>
      </c>
      <c r="O1" s="446" t="s">
        <v>369</v>
      </c>
      <c r="P1" s="447" t="s">
        <v>370</v>
      </c>
      <c r="Q1" s="446" t="s">
        <v>371</v>
      </c>
      <c r="R1" s="446" t="s">
        <v>372</v>
      </c>
      <c r="S1" s="446" t="s">
        <v>117</v>
      </c>
      <c r="T1" s="446" t="s">
        <v>11</v>
      </c>
      <c r="U1" s="446" t="s">
        <v>373</v>
      </c>
    </row>
    <row r="2" spans="1:21" ht="33" customHeight="1" x14ac:dyDescent="0.25">
      <c r="A2" s="448" t="s">
        <v>374</v>
      </c>
      <c r="B2" s="448"/>
      <c r="C2" s="448">
        <v>0</v>
      </c>
      <c r="D2" s="448">
        <v>0</v>
      </c>
      <c r="E2" s="448">
        <v>0</v>
      </c>
      <c r="F2" s="448">
        <v>0</v>
      </c>
      <c r="G2" s="448">
        <v>0</v>
      </c>
      <c r="H2" s="448">
        <v>0</v>
      </c>
      <c r="I2" s="448">
        <v>0</v>
      </c>
      <c r="J2" s="448">
        <v>455</v>
      </c>
      <c r="K2" s="448">
        <v>0</v>
      </c>
      <c r="L2" s="448">
        <v>0</v>
      </c>
      <c r="M2" s="448">
        <v>0</v>
      </c>
      <c r="N2" s="448">
        <v>0</v>
      </c>
      <c r="O2" s="448">
        <v>0</v>
      </c>
      <c r="P2" s="448">
        <v>0</v>
      </c>
      <c r="Q2" s="448">
        <v>0</v>
      </c>
      <c r="R2" s="448">
        <v>69.34</v>
      </c>
      <c r="S2" s="449">
        <v>0</v>
      </c>
      <c r="T2" s="450">
        <f t="shared" ref="T2:T33" si="0">SUM(C2:S2)</f>
        <v>524.34</v>
      </c>
      <c r="U2" s="449">
        <v>2</v>
      </c>
    </row>
    <row r="3" spans="1:21" ht="33" customHeight="1" x14ac:dyDescent="0.25">
      <c r="A3" s="449" t="s">
        <v>375</v>
      </c>
      <c r="B3" s="449"/>
      <c r="C3" s="449">
        <v>0</v>
      </c>
      <c r="D3" s="449">
        <v>0</v>
      </c>
      <c r="E3" s="449">
        <v>123.45</v>
      </c>
      <c r="F3" s="449">
        <v>0</v>
      </c>
      <c r="G3" s="449">
        <v>0</v>
      </c>
      <c r="H3" s="449">
        <v>0</v>
      </c>
      <c r="I3" s="449">
        <v>211.74</v>
      </c>
      <c r="J3" s="449">
        <v>0</v>
      </c>
      <c r="K3" s="449">
        <v>0</v>
      </c>
      <c r="L3" s="449">
        <v>0</v>
      </c>
      <c r="M3" s="449">
        <v>14.81</v>
      </c>
      <c r="N3" s="449">
        <v>0</v>
      </c>
      <c r="O3" s="449">
        <v>0</v>
      </c>
      <c r="P3" s="449">
        <v>0</v>
      </c>
      <c r="Q3" s="449">
        <v>0</v>
      </c>
      <c r="R3" s="449">
        <v>0</v>
      </c>
      <c r="S3" s="449">
        <v>0</v>
      </c>
      <c r="T3" s="450">
        <f t="shared" si="0"/>
        <v>350</v>
      </c>
      <c r="U3" s="449">
        <v>3</v>
      </c>
    </row>
    <row r="4" spans="1:21" ht="33" customHeight="1" x14ac:dyDescent="0.25">
      <c r="A4" s="449" t="s">
        <v>376</v>
      </c>
      <c r="B4" s="449"/>
      <c r="C4" s="449">
        <v>0</v>
      </c>
      <c r="D4" s="449">
        <v>0</v>
      </c>
      <c r="E4" s="449">
        <v>155.51</v>
      </c>
      <c r="F4" s="449">
        <v>0</v>
      </c>
      <c r="G4" s="449">
        <v>0</v>
      </c>
      <c r="H4" s="449">
        <v>0</v>
      </c>
      <c r="I4" s="449">
        <v>0</v>
      </c>
      <c r="J4" s="449">
        <v>0</v>
      </c>
      <c r="K4" s="449">
        <v>0</v>
      </c>
      <c r="L4" s="449">
        <v>0</v>
      </c>
      <c r="M4" s="449">
        <v>554.48</v>
      </c>
      <c r="N4" s="449">
        <v>0</v>
      </c>
      <c r="O4" s="449">
        <v>0</v>
      </c>
      <c r="P4" s="449">
        <v>0</v>
      </c>
      <c r="Q4" s="449">
        <v>0</v>
      </c>
      <c r="R4" s="449">
        <v>0</v>
      </c>
      <c r="S4" s="449">
        <v>0</v>
      </c>
      <c r="T4" s="450">
        <f t="shared" si="0"/>
        <v>709.99</v>
      </c>
      <c r="U4" s="449">
        <v>4</v>
      </c>
    </row>
    <row r="5" spans="1:21" ht="33" customHeight="1" x14ac:dyDescent="0.25">
      <c r="A5" s="449" t="s">
        <v>377</v>
      </c>
      <c r="B5" s="449"/>
      <c r="C5" s="449">
        <v>0</v>
      </c>
      <c r="D5" s="449">
        <v>0</v>
      </c>
      <c r="E5" s="449">
        <v>453.65</v>
      </c>
      <c r="F5" s="449">
        <v>0</v>
      </c>
      <c r="G5" s="449">
        <v>0</v>
      </c>
      <c r="H5" s="449">
        <v>0</v>
      </c>
      <c r="I5" s="449">
        <v>0</v>
      </c>
      <c r="J5" s="449">
        <v>0</v>
      </c>
      <c r="K5" s="449">
        <v>0</v>
      </c>
      <c r="L5" s="449">
        <v>0</v>
      </c>
      <c r="M5" s="449">
        <v>288.35000000000002</v>
      </c>
      <c r="N5" s="449">
        <v>0</v>
      </c>
      <c r="O5" s="449">
        <v>0</v>
      </c>
      <c r="P5" s="449">
        <v>0</v>
      </c>
      <c r="Q5" s="449">
        <v>0</v>
      </c>
      <c r="R5" s="449">
        <v>0</v>
      </c>
      <c r="S5" s="449">
        <v>0</v>
      </c>
      <c r="T5" s="450">
        <f t="shared" si="0"/>
        <v>742</v>
      </c>
      <c r="U5" s="449">
        <v>5</v>
      </c>
    </row>
    <row r="6" spans="1:21" ht="33" customHeight="1" x14ac:dyDescent="0.25">
      <c r="A6" s="449" t="s">
        <v>378</v>
      </c>
      <c r="B6" s="449"/>
      <c r="C6" s="449">
        <v>0</v>
      </c>
      <c r="D6" s="449">
        <v>0</v>
      </c>
      <c r="E6" s="449">
        <v>193.49</v>
      </c>
      <c r="F6" s="449">
        <v>0</v>
      </c>
      <c r="G6" s="449">
        <v>0</v>
      </c>
      <c r="H6" s="449">
        <v>0</v>
      </c>
      <c r="I6" s="449">
        <v>0</v>
      </c>
      <c r="J6" s="449">
        <v>0</v>
      </c>
      <c r="K6" s="449">
        <v>0</v>
      </c>
      <c r="L6" s="449">
        <v>0</v>
      </c>
      <c r="M6" s="449">
        <v>621.51</v>
      </c>
      <c r="N6" s="449">
        <v>0</v>
      </c>
      <c r="O6" s="449">
        <v>0</v>
      </c>
      <c r="P6" s="449">
        <v>0</v>
      </c>
      <c r="Q6" s="449">
        <v>0</v>
      </c>
      <c r="R6" s="449">
        <v>0</v>
      </c>
      <c r="S6" s="449">
        <v>0</v>
      </c>
      <c r="T6" s="450">
        <f t="shared" si="0"/>
        <v>815</v>
      </c>
      <c r="U6" s="449">
        <v>6</v>
      </c>
    </row>
    <row r="7" spans="1:21" ht="33" customHeight="1" x14ac:dyDescent="0.25">
      <c r="A7" s="449" t="s">
        <v>379</v>
      </c>
      <c r="B7" s="449"/>
      <c r="C7" s="449">
        <v>0</v>
      </c>
      <c r="D7" s="449">
        <v>0</v>
      </c>
      <c r="E7" s="449">
        <v>242.57</v>
      </c>
      <c r="F7" s="449">
        <v>0</v>
      </c>
      <c r="G7" s="449">
        <v>0</v>
      </c>
      <c r="H7" s="449">
        <v>0</v>
      </c>
      <c r="I7" s="449">
        <v>547.42999999999995</v>
      </c>
      <c r="J7" s="449">
        <v>0</v>
      </c>
      <c r="K7" s="449">
        <v>0</v>
      </c>
      <c r="L7" s="449">
        <v>0</v>
      </c>
      <c r="M7" s="449">
        <v>0</v>
      </c>
      <c r="N7" s="449">
        <v>0</v>
      </c>
      <c r="O7" s="449">
        <v>0</v>
      </c>
      <c r="P7" s="449">
        <v>0</v>
      </c>
      <c r="Q7" s="449">
        <v>0</v>
      </c>
      <c r="R7" s="449">
        <v>0</v>
      </c>
      <c r="S7" s="449">
        <v>0</v>
      </c>
      <c r="T7" s="450">
        <f t="shared" si="0"/>
        <v>790</v>
      </c>
      <c r="U7" s="449">
        <v>7</v>
      </c>
    </row>
    <row r="8" spans="1:21" ht="33" customHeight="1" x14ac:dyDescent="0.25">
      <c r="A8" s="449" t="s">
        <v>380</v>
      </c>
      <c r="B8" s="449"/>
      <c r="C8" s="449">
        <v>0</v>
      </c>
      <c r="D8" s="449">
        <v>0</v>
      </c>
      <c r="E8" s="449">
        <v>0</v>
      </c>
      <c r="F8" s="449">
        <v>0</v>
      </c>
      <c r="G8" s="449">
        <v>0</v>
      </c>
      <c r="H8" s="449">
        <v>0</v>
      </c>
      <c r="I8" s="449">
        <v>700</v>
      </c>
      <c r="J8" s="449">
        <v>0</v>
      </c>
      <c r="K8" s="449">
        <v>0</v>
      </c>
      <c r="L8" s="449">
        <v>0</v>
      </c>
      <c r="M8" s="449">
        <v>23</v>
      </c>
      <c r="N8" s="449">
        <v>0</v>
      </c>
      <c r="O8" s="449">
        <v>0</v>
      </c>
      <c r="P8" s="449">
        <v>0</v>
      </c>
      <c r="Q8" s="449">
        <v>0</v>
      </c>
      <c r="R8" s="449">
        <v>0</v>
      </c>
      <c r="S8" s="449">
        <v>0</v>
      </c>
      <c r="T8" s="450">
        <f t="shared" si="0"/>
        <v>723</v>
      </c>
      <c r="U8" s="449">
        <v>8</v>
      </c>
    </row>
    <row r="9" spans="1:21" ht="33" customHeight="1" x14ac:dyDescent="0.25">
      <c r="A9" s="449" t="s">
        <v>381</v>
      </c>
      <c r="B9" s="449"/>
      <c r="C9" s="449">
        <v>0</v>
      </c>
      <c r="D9" s="449">
        <v>0</v>
      </c>
      <c r="E9" s="449">
        <v>0</v>
      </c>
      <c r="F9" s="449">
        <v>70</v>
      </c>
      <c r="G9" s="449">
        <v>595</v>
      </c>
      <c r="H9" s="449">
        <v>0</v>
      </c>
      <c r="I9" s="449">
        <v>0</v>
      </c>
      <c r="J9" s="449">
        <v>0</v>
      </c>
      <c r="K9" s="449">
        <v>0</v>
      </c>
      <c r="L9" s="449">
        <v>0</v>
      </c>
      <c r="M9" s="449">
        <v>0</v>
      </c>
      <c r="N9" s="449">
        <v>0</v>
      </c>
      <c r="O9" s="449">
        <v>0</v>
      </c>
      <c r="P9" s="449">
        <v>0</v>
      </c>
      <c r="Q9" s="449">
        <v>0</v>
      </c>
      <c r="R9" s="449">
        <v>0</v>
      </c>
      <c r="S9" s="449">
        <v>0</v>
      </c>
      <c r="T9" s="450">
        <f t="shared" si="0"/>
        <v>665</v>
      </c>
      <c r="U9" s="449">
        <v>9</v>
      </c>
    </row>
    <row r="10" spans="1:21" ht="33" customHeight="1" x14ac:dyDescent="0.25">
      <c r="A10" s="449" t="s">
        <v>382</v>
      </c>
      <c r="B10" s="449"/>
      <c r="C10" s="449">
        <v>0</v>
      </c>
      <c r="D10" s="449">
        <v>0</v>
      </c>
      <c r="E10" s="449">
        <v>150</v>
      </c>
      <c r="F10" s="449">
        <v>0</v>
      </c>
      <c r="G10" s="449">
        <v>200</v>
      </c>
      <c r="H10" s="449">
        <v>0</v>
      </c>
      <c r="I10" s="449">
        <v>0</v>
      </c>
      <c r="J10" s="449">
        <v>0</v>
      </c>
      <c r="K10" s="449">
        <v>0</v>
      </c>
      <c r="L10" s="449">
        <v>0</v>
      </c>
      <c r="M10" s="449">
        <v>580</v>
      </c>
      <c r="N10" s="449">
        <v>0</v>
      </c>
      <c r="O10" s="449">
        <v>0</v>
      </c>
      <c r="P10" s="449">
        <v>0</v>
      </c>
      <c r="Q10" s="449">
        <v>0</v>
      </c>
      <c r="R10" s="449">
        <v>0</v>
      </c>
      <c r="S10" s="449">
        <v>0</v>
      </c>
      <c r="T10" s="450">
        <f t="shared" si="0"/>
        <v>930</v>
      </c>
      <c r="U10" s="449">
        <v>10</v>
      </c>
    </row>
    <row r="11" spans="1:21" ht="33" customHeight="1" x14ac:dyDescent="0.25">
      <c r="A11" s="449" t="s">
        <v>383</v>
      </c>
      <c r="B11" s="449"/>
      <c r="C11" s="449">
        <v>0</v>
      </c>
      <c r="D11" s="449">
        <v>0</v>
      </c>
      <c r="E11" s="449">
        <v>295.37</v>
      </c>
      <c r="F11" s="449">
        <v>0</v>
      </c>
      <c r="G11" s="449">
        <v>0</v>
      </c>
      <c r="H11" s="449">
        <v>0</v>
      </c>
      <c r="I11" s="449">
        <v>0</v>
      </c>
      <c r="J11" s="449">
        <v>0</v>
      </c>
      <c r="K11" s="449">
        <v>0</v>
      </c>
      <c r="L11" s="449">
        <v>0</v>
      </c>
      <c r="M11" s="449">
        <v>540</v>
      </c>
      <c r="N11" s="449">
        <v>0</v>
      </c>
      <c r="O11" s="449">
        <v>0</v>
      </c>
      <c r="P11" s="449">
        <v>0</v>
      </c>
      <c r="Q11" s="449">
        <v>0</v>
      </c>
      <c r="R11" s="449">
        <v>0</v>
      </c>
      <c r="S11" s="449">
        <v>0</v>
      </c>
      <c r="T11" s="450">
        <f t="shared" si="0"/>
        <v>835.37</v>
      </c>
      <c r="U11" s="449">
        <v>11</v>
      </c>
    </row>
    <row r="12" spans="1:21" ht="33" customHeight="1" x14ac:dyDescent="0.25">
      <c r="A12" s="449" t="s">
        <v>384</v>
      </c>
      <c r="B12" s="449"/>
      <c r="C12" s="449">
        <v>0</v>
      </c>
      <c r="D12" s="449">
        <v>0</v>
      </c>
      <c r="E12" s="449">
        <v>530.81999999999994</v>
      </c>
      <c r="F12" s="449">
        <v>0</v>
      </c>
      <c r="G12" s="449">
        <v>0</v>
      </c>
      <c r="H12" s="449">
        <v>0</v>
      </c>
      <c r="I12" s="449">
        <v>422.65</v>
      </c>
      <c r="J12" s="449">
        <v>0</v>
      </c>
      <c r="K12" s="449">
        <v>0</v>
      </c>
      <c r="L12" s="449">
        <v>0</v>
      </c>
      <c r="M12" s="449">
        <v>0</v>
      </c>
      <c r="N12" s="449">
        <v>0</v>
      </c>
      <c r="O12" s="449">
        <v>0</v>
      </c>
      <c r="P12" s="449">
        <v>0</v>
      </c>
      <c r="Q12" s="449">
        <v>0</v>
      </c>
      <c r="R12" s="449">
        <v>0</v>
      </c>
      <c r="S12" s="449">
        <v>0</v>
      </c>
      <c r="T12" s="450">
        <f t="shared" si="0"/>
        <v>953.46999999999991</v>
      </c>
      <c r="U12" s="449">
        <v>12</v>
      </c>
    </row>
    <row r="13" spans="1:21" ht="33" customHeight="1" x14ac:dyDescent="0.25">
      <c r="A13" s="449" t="s">
        <v>385</v>
      </c>
      <c r="B13" s="449"/>
      <c r="C13" s="449">
        <v>0</v>
      </c>
      <c r="D13" s="449">
        <v>0</v>
      </c>
      <c r="E13" s="449">
        <v>408.33</v>
      </c>
      <c r="F13" s="449">
        <v>0</v>
      </c>
      <c r="G13" s="449">
        <v>0</v>
      </c>
      <c r="H13" s="449">
        <v>0</v>
      </c>
      <c r="I13" s="449">
        <v>0</v>
      </c>
      <c r="J13" s="449">
        <v>0</v>
      </c>
      <c r="K13" s="449">
        <v>0</v>
      </c>
      <c r="L13" s="449">
        <v>0</v>
      </c>
      <c r="M13" s="449">
        <v>576.66999999999996</v>
      </c>
      <c r="N13" s="449">
        <v>0</v>
      </c>
      <c r="O13" s="449">
        <v>0</v>
      </c>
      <c r="P13" s="449">
        <v>0</v>
      </c>
      <c r="Q13" s="449">
        <v>0</v>
      </c>
      <c r="R13" s="449">
        <v>0</v>
      </c>
      <c r="S13" s="449">
        <v>0</v>
      </c>
      <c r="T13" s="450">
        <f t="shared" si="0"/>
        <v>985</v>
      </c>
      <c r="U13" s="449">
        <v>13</v>
      </c>
    </row>
    <row r="14" spans="1:21" ht="33" customHeight="1" x14ac:dyDescent="0.25">
      <c r="A14" s="449" t="s">
        <v>386</v>
      </c>
      <c r="B14" s="449"/>
      <c r="C14" s="449">
        <v>0</v>
      </c>
      <c r="D14" s="449">
        <v>0</v>
      </c>
      <c r="E14" s="449">
        <v>219.6</v>
      </c>
      <c r="F14" s="449">
        <v>0</v>
      </c>
      <c r="G14" s="449">
        <v>0</v>
      </c>
      <c r="H14" s="449">
        <v>0</v>
      </c>
      <c r="I14" s="449">
        <v>0</v>
      </c>
      <c r="J14" s="449">
        <v>0</v>
      </c>
      <c r="K14" s="449">
        <v>0</v>
      </c>
      <c r="L14" s="449">
        <v>0</v>
      </c>
      <c r="M14" s="449">
        <v>680.42</v>
      </c>
      <c r="N14" s="449">
        <v>0</v>
      </c>
      <c r="O14" s="449">
        <v>0</v>
      </c>
      <c r="P14" s="449">
        <v>0</v>
      </c>
      <c r="Q14" s="449">
        <v>0</v>
      </c>
      <c r="R14" s="449">
        <v>0</v>
      </c>
      <c r="S14" s="449">
        <v>0</v>
      </c>
      <c r="T14" s="450">
        <f t="shared" si="0"/>
        <v>900.02</v>
      </c>
      <c r="U14" s="449">
        <v>14</v>
      </c>
    </row>
    <row r="15" spans="1:21" ht="33" customHeight="1" x14ac:dyDescent="0.25">
      <c r="A15" s="449" t="s">
        <v>387</v>
      </c>
      <c r="B15" s="449"/>
      <c r="C15" s="449">
        <v>0</v>
      </c>
      <c r="D15" s="449">
        <v>0</v>
      </c>
      <c r="E15" s="449">
        <v>0</v>
      </c>
      <c r="F15" s="449">
        <v>0</v>
      </c>
      <c r="G15" s="449">
        <v>166.9</v>
      </c>
      <c r="H15" s="449">
        <v>0</v>
      </c>
      <c r="I15" s="449">
        <v>0</v>
      </c>
      <c r="J15" s="449">
        <v>0</v>
      </c>
      <c r="K15" s="449">
        <v>0</v>
      </c>
      <c r="L15" s="449">
        <v>0</v>
      </c>
      <c r="M15" s="449">
        <v>616.91999999999996</v>
      </c>
      <c r="N15" s="449">
        <v>0</v>
      </c>
      <c r="O15" s="449">
        <v>0</v>
      </c>
      <c r="P15" s="449">
        <v>0</v>
      </c>
      <c r="Q15" s="449">
        <v>0</v>
      </c>
      <c r="R15" s="449">
        <v>0</v>
      </c>
      <c r="S15" s="449">
        <v>0</v>
      </c>
      <c r="T15" s="450">
        <f t="shared" si="0"/>
        <v>783.81999999999994</v>
      </c>
      <c r="U15" s="449">
        <v>15</v>
      </c>
    </row>
    <row r="16" spans="1:21" ht="33" customHeight="1" x14ac:dyDescent="0.25">
      <c r="A16" s="449" t="s">
        <v>388</v>
      </c>
      <c r="B16" s="449"/>
      <c r="C16" s="449">
        <v>0</v>
      </c>
      <c r="D16" s="449">
        <v>0</v>
      </c>
      <c r="E16" s="449">
        <v>404.5</v>
      </c>
      <c r="F16" s="449">
        <v>0</v>
      </c>
      <c r="G16" s="449">
        <v>0</v>
      </c>
      <c r="H16" s="449">
        <v>0</v>
      </c>
      <c r="I16" s="449">
        <v>0</v>
      </c>
      <c r="J16" s="449">
        <v>0</v>
      </c>
      <c r="K16" s="449">
        <v>0</v>
      </c>
      <c r="L16" s="449">
        <v>0</v>
      </c>
      <c r="M16" s="449">
        <v>511.3</v>
      </c>
      <c r="N16" s="449">
        <v>0</v>
      </c>
      <c r="O16" s="449">
        <v>0</v>
      </c>
      <c r="P16" s="449">
        <v>0</v>
      </c>
      <c r="Q16" s="449">
        <v>0</v>
      </c>
      <c r="R16" s="449">
        <v>0</v>
      </c>
      <c r="S16" s="449">
        <v>0</v>
      </c>
      <c r="T16" s="450">
        <f t="shared" si="0"/>
        <v>915.8</v>
      </c>
      <c r="U16" s="449">
        <v>16</v>
      </c>
    </row>
    <row r="17" spans="1:21" ht="33" customHeight="1" x14ac:dyDescent="0.25">
      <c r="A17" s="449" t="s">
        <v>389</v>
      </c>
      <c r="B17" s="449"/>
      <c r="C17" s="449">
        <v>274.45999999999998</v>
      </c>
      <c r="D17" s="449">
        <v>0</v>
      </c>
      <c r="E17" s="449">
        <v>715.24</v>
      </c>
      <c r="F17" s="449">
        <v>177.44</v>
      </c>
      <c r="G17" s="449">
        <v>0</v>
      </c>
      <c r="H17" s="449">
        <v>0</v>
      </c>
      <c r="I17" s="449">
        <v>0</v>
      </c>
      <c r="J17" s="449">
        <v>0</v>
      </c>
      <c r="K17" s="449">
        <v>0</v>
      </c>
      <c r="L17" s="449">
        <v>0</v>
      </c>
      <c r="M17" s="449">
        <v>550.04</v>
      </c>
      <c r="N17" s="449">
        <v>0</v>
      </c>
      <c r="O17" s="449">
        <v>0</v>
      </c>
      <c r="P17" s="449">
        <v>0</v>
      </c>
      <c r="Q17" s="449">
        <v>0</v>
      </c>
      <c r="R17" s="449">
        <v>0</v>
      </c>
      <c r="S17" s="449">
        <v>0</v>
      </c>
      <c r="T17" s="450">
        <f t="shared" si="0"/>
        <v>1717.18</v>
      </c>
      <c r="U17" s="449">
        <v>17</v>
      </c>
    </row>
    <row r="18" spans="1:21" ht="33" customHeight="1" x14ac:dyDescent="0.25">
      <c r="A18" s="449" t="s">
        <v>390</v>
      </c>
      <c r="B18" s="449"/>
      <c r="C18" s="449">
        <v>0</v>
      </c>
      <c r="D18" s="449">
        <v>0</v>
      </c>
      <c r="E18" s="449">
        <v>0</v>
      </c>
      <c r="F18" s="449">
        <v>0</v>
      </c>
      <c r="G18" s="449">
        <v>574.54</v>
      </c>
      <c r="H18" s="449">
        <v>0</v>
      </c>
      <c r="I18" s="449">
        <v>615.6</v>
      </c>
      <c r="J18" s="449">
        <v>0</v>
      </c>
      <c r="K18" s="449">
        <v>0</v>
      </c>
      <c r="L18" s="449">
        <v>0</v>
      </c>
      <c r="M18" s="449">
        <v>0</v>
      </c>
      <c r="N18" s="449">
        <v>0</v>
      </c>
      <c r="O18" s="449">
        <v>0</v>
      </c>
      <c r="P18" s="449">
        <v>0</v>
      </c>
      <c r="Q18" s="449">
        <v>0</v>
      </c>
      <c r="R18" s="449">
        <v>0</v>
      </c>
      <c r="S18" s="449">
        <v>0</v>
      </c>
      <c r="T18" s="450">
        <f t="shared" si="0"/>
        <v>1190.1399999999999</v>
      </c>
      <c r="U18" s="449">
        <v>18</v>
      </c>
    </row>
    <row r="19" spans="1:21" ht="33" customHeight="1" x14ac:dyDescent="0.25">
      <c r="A19" s="449" t="s">
        <v>391</v>
      </c>
      <c r="B19" s="449"/>
      <c r="C19" s="449">
        <v>0</v>
      </c>
      <c r="D19" s="449">
        <v>0</v>
      </c>
      <c r="E19" s="449">
        <v>0</v>
      </c>
      <c r="F19" s="449">
        <v>0</v>
      </c>
      <c r="G19" s="449">
        <v>0</v>
      </c>
      <c r="H19" s="449">
        <v>0</v>
      </c>
      <c r="I19" s="449">
        <v>1065</v>
      </c>
      <c r="J19" s="449">
        <v>0</v>
      </c>
      <c r="K19" s="449">
        <v>0</v>
      </c>
      <c r="L19" s="449">
        <v>0</v>
      </c>
      <c r="M19" s="449">
        <v>0</v>
      </c>
      <c r="N19" s="449">
        <v>0</v>
      </c>
      <c r="O19" s="449">
        <v>0</v>
      </c>
      <c r="P19" s="449">
        <v>0</v>
      </c>
      <c r="Q19" s="449">
        <v>0</v>
      </c>
      <c r="R19" s="449">
        <v>0</v>
      </c>
      <c r="S19" s="449">
        <v>0</v>
      </c>
      <c r="T19" s="450">
        <f t="shared" si="0"/>
        <v>1065</v>
      </c>
      <c r="U19" s="449">
        <v>19</v>
      </c>
    </row>
    <row r="20" spans="1:21" ht="33" customHeight="1" x14ac:dyDescent="0.25">
      <c r="A20" s="449" t="s">
        <v>392</v>
      </c>
      <c r="B20" s="449"/>
      <c r="C20" s="449">
        <v>284.55</v>
      </c>
      <c r="D20" s="449">
        <v>0</v>
      </c>
      <c r="E20" s="449">
        <v>0</v>
      </c>
      <c r="F20" s="449">
        <v>170.42</v>
      </c>
      <c r="G20" s="449">
        <v>712</v>
      </c>
      <c r="H20" s="449">
        <v>0</v>
      </c>
      <c r="I20" s="449">
        <v>0</v>
      </c>
      <c r="J20" s="449">
        <v>0</v>
      </c>
      <c r="K20" s="449">
        <v>0</v>
      </c>
      <c r="L20" s="449">
        <v>0</v>
      </c>
      <c r="M20" s="449">
        <v>0</v>
      </c>
      <c r="N20" s="449">
        <v>0</v>
      </c>
      <c r="O20" s="449">
        <v>0</v>
      </c>
      <c r="P20" s="449">
        <v>0</v>
      </c>
      <c r="Q20" s="449">
        <v>0</v>
      </c>
      <c r="R20" s="449">
        <v>0</v>
      </c>
      <c r="S20" s="449">
        <v>0</v>
      </c>
      <c r="T20" s="450">
        <f t="shared" si="0"/>
        <v>1166.97</v>
      </c>
      <c r="U20" s="449">
        <v>20</v>
      </c>
    </row>
    <row r="21" spans="1:21" ht="33" customHeight="1" x14ac:dyDescent="0.25">
      <c r="A21" s="449" t="s">
        <v>393</v>
      </c>
      <c r="B21" s="449"/>
      <c r="C21" s="449">
        <v>0</v>
      </c>
      <c r="D21" s="449">
        <v>0</v>
      </c>
      <c r="E21" s="449">
        <v>385</v>
      </c>
      <c r="F21" s="449">
        <v>0</v>
      </c>
      <c r="G21" s="449">
        <v>0</v>
      </c>
      <c r="H21" s="449">
        <v>0</v>
      </c>
      <c r="I21" s="449">
        <v>0</v>
      </c>
      <c r="J21" s="449">
        <v>0</v>
      </c>
      <c r="K21" s="449">
        <v>0</v>
      </c>
      <c r="L21" s="449">
        <v>0</v>
      </c>
      <c r="M21" s="449">
        <v>478.31</v>
      </c>
      <c r="N21" s="449">
        <v>125</v>
      </c>
      <c r="O21" s="449">
        <v>0</v>
      </c>
      <c r="P21" s="449">
        <v>0</v>
      </c>
      <c r="Q21" s="449">
        <v>0</v>
      </c>
      <c r="R21" s="449">
        <v>0</v>
      </c>
      <c r="S21" s="449">
        <v>0</v>
      </c>
      <c r="T21" s="450">
        <f t="shared" si="0"/>
        <v>988.31</v>
      </c>
      <c r="U21" s="449">
        <v>21</v>
      </c>
    </row>
    <row r="22" spans="1:21" ht="33" customHeight="1" x14ac:dyDescent="0.25">
      <c r="A22" s="449" t="s">
        <v>394</v>
      </c>
      <c r="B22" s="449"/>
      <c r="C22" s="449">
        <v>72.88</v>
      </c>
      <c r="D22" s="449">
        <v>0</v>
      </c>
      <c r="E22" s="449">
        <v>0</v>
      </c>
      <c r="F22" s="449">
        <v>116.03</v>
      </c>
      <c r="G22" s="449">
        <v>194.91</v>
      </c>
      <c r="H22" s="449">
        <v>0</v>
      </c>
      <c r="I22" s="449">
        <v>209.47</v>
      </c>
      <c r="J22" s="449">
        <v>0</v>
      </c>
      <c r="K22" s="449">
        <v>0</v>
      </c>
      <c r="L22" s="449">
        <v>0</v>
      </c>
      <c r="M22" s="449">
        <v>252.89</v>
      </c>
      <c r="N22" s="449">
        <v>0</v>
      </c>
      <c r="O22" s="449">
        <v>0</v>
      </c>
      <c r="P22" s="449">
        <v>0</v>
      </c>
      <c r="Q22" s="449">
        <v>0</v>
      </c>
      <c r="R22" s="449">
        <v>0</v>
      </c>
      <c r="S22" s="449">
        <v>0</v>
      </c>
      <c r="T22" s="450">
        <f t="shared" si="0"/>
        <v>846.18</v>
      </c>
      <c r="U22" s="449">
        <v>22</v>
      </c>
    </row>
    <row r="23" spans="1:21" ht="33" customHeight="1" x14ac:dyDescent="0.25">
      <c r="A23" s="449" t="s">
        <v>395</v>
      </c>
      <c r="B23" s="449"/>
      <c r="C23" s="449">
        <v>41.87</v>
      </c>
      <c r="D23" s="449">
        <v>0</v>
      </c>
      <c r="E23" s="449">
        <v>567.12</v>
      </c>
      <c r="F23" s="449">
        <v>39.54</v>
      </c>
      <c r="G23" s="449">
        <v>0</v>
      </c>
      <c r="H23" s="449">
        <v>0</v>
      </c>
      <c r="I23" s="449">
        <v>32.630000000000003</v>
      </c>
      <c r="J23" s="449">
        <v>0</v>
      </c>
      <c r="K23" s="449">
        <v>0</v>
      </c>
      <c r="L23" s="449">
        <v>0</v>
      </c>
      <c r="M23" s="449">
        <v>105.29</v>
      </c>
      <c r="N23" s="449">
        <v>0</v>
      </c>
      <c r="O23" s="449">
        <v>0</v>
      </c>
      <c r="P23" s="449">
        <v>0</v>
      </c>
      <c r="Q23" s="449">
        <v>0</v>
      </c>
      <c r="R23" s="449">
        <v>0</v>
      </c>
      <c r="S23" s="449">
        <v>0</v>
      </c>
      <c r="T23" s="450">
        <f t="shared" si="0"/>
        <v>786.44999999999993</v>
      </c>
      <c r="U23" s="449">
        <v>23</v>
      </c>
    </row>
    <row r="24" spans="1:21" ht="33" customHeight="1" x14ac:dyDescent="0.25">
      <c r="A24" s="449" t="s">
        <v>396</v>
      </c>
      <c r="B24" s="449"/>
      <c r="C24" s="449">
        <v>0</v>
      </c>
      <c r="D24" s="449">
        <v>0</v>
      </c>
      <c r="E24" s="449">
        <v>0</v>
      </c>
      <c r="F24" s="449">
        <v>0</v>
      </c>
      <c r="G24" s="449">
        <v>0</v>
      </c>
      <c r="H24" s="449">
        <v>0</v>
      </c>
      <c r="I24" s="449">
        <v>0</v>
      </c>
      <c r="J24" s="449">
        <v>0</v>
      </c>
      <c r="K24" s="449">
        <v>0</v>
      </c>
      <c r="L24" s="449">
        <v>0</v>
      </c>
      <c r="M24" s="449">
        <v>918.58</v>
      </c>
      <c r="N24" s="449">
        <v>0</v>
      </c>
      <c r="O24" s="449">
        <v>0</v>
      </c>
      <c r="P24" s="449">
        <v>0</v>
      </c>
      <c r="Q24" s="449">
        <v>0</v>
      </c>
      <c r="R24" s="449">
        <v>0</v>
      </c>
      <c r="S24" s="449">
        <v>0</v>
      </c>
      <c r="T24" s="450">
        <f t="shared" si="0"/>
        <v>918.58</v>
      </c>
      <c r="U24" s="449">
        <v>24</v>
      </c>
    </row>
    <row r="25" spans="1:21" ht="33" customHeight="1" x14ac:dyDescent="0.25">
      <c r="A25" s="449" t="s">
        <v>397</v>
      </c>
      <c r="B25" s="449"/>
      <c r="C25" s="449">
        <v>124.68</v>
      </c>
      <c r="D25" s="449">
        <v>0</v>
      </c>
      <c r="E25" s="449">
        <v>396.96</v>
      </c>
      <c r="F25" s="449">
        <v>43.25</v>
      </c>
      <c r="G25" s="449">
        <v>600.58000000000004</v>
      </c>
      <c r="H25" s="449">
        <v>0</v>
      </c>
      <c r="I25" s="449">
        <v>424.98</v>
      </c>
      <c r="J25" s="449">
        <v>0</v>
      </c>
      <c r="K25" s="449">
        <v>0</v>
      </c>
      <c r="L25" s="449">
        <v>0</v>
      </c>
      <c r="M25" s="449">
        <v>0</v>
      </c>
      <c r="N25" s="449">
        <v>0</v>
      </c>
      <c r="O25" s="449">
        <v>0</v>
      </c>
      <c r="P25" s="449">
        <v>0</v>
      </c>
      <c r="Q25" s="449">
        <v>0</v>
      </c>
      <c r="R25" s="449">
        <v>0</v>
      </c>
      <c r="S25" s="449">
        <v>0</v>
      </c>
      <c r="T25" s="450">
        <f t="shared" si="0"/>
        <v>1590.45</v>
      </c>
      <c r="U25" s="449">
        <v>25</v>
      </c>
    </row>
    <row r="26" spans="1:21" ht="33" customHeight="1" x14ac:dyDescent="0.25">
      <c r="A26" s="449" t="s">
        <v>398</v>
      </c>
      <c r="B26" s="449"/>
      <c r="C26" s="449">
        <v>0</v>
      </c>
      <c r="D26" s="449">
        <v>0</v>
      </c>
      <c r="E26" s="449">
        <v>0</v>
      </c>
      <c r="F26" s="449">
        <v>0</v>
      </c>
      <c r="G26" s="449">
        <v>0</v>
      </c>
      <c r="H26" s="449">
        <v>0</v>
      </c>
      <c r="I26" s="449">
        <v>486.56</v>
      </c>
      <c r="J26" s="449">
        <v>0</v>
      </c>
      <c r="K26" s="449">
        <v>0</v>
      </c>
      <c r="L26" s="449">
        <v>0</v>
      </c>
      <c r="M26" s="449">
        <v>10</v>
      </c>
      <c r="N26" s="449">
        <v>0</v>
      </c>
      <c r="O26" s="449">
        <v>0</v>
      </c>
      <c r="P26" s="449">
        <v>0</v>
      </c>
      <c r="Q26" s="449">
        <v>0</v>
      </c>
      <c r="R26" s="449">
        <v>0</v>
      </c>
      <c r="S26" s="449">
        <v>0</v>
      </c>
      <c r="T26" s="450">
        <f t="shared" si="0"/>
        <v>496.56</v>
      </c>
      <c r="U26" s="449">
        <v>26</v>
      </c>
    </row>
    <row r="27" spans="1:21" ht="33" customHeight="1" x14ac:dyDescent="0.25">
      <c r="A27" s="449" t="s">
        <v>399</v>
      </c>
      <c r="B27" s="449"/>
      <c r="C27" s="449">
        <v>0</v>
      </c>
      <c r="D27" s="449">
        <v>0</v>
      </c>
      <c r="E27" s="449">
        <v>314</v>
      </c>
      <c r="F27" s="449">
        <v>195</v>
      </c>
      <c r="G27" s="449">
        <v>454</v>
      </c>
      <c r="H27" s="449">
        <v>0</v>
      </c>
      <c r="I27" s="449">
        <v>0</v>
      </c>
      <c r="J27" s="449">
        <v>0</v>
      </c>
      <c r="K27" s="449">
        <v>0</v>
      </c>
      <c r="L27" s="449">
        <v>0</v>
      </c>
      <c r="M27" s="449">
        <v>0</v>
      </c>
      <c r="N27" s="449">
        <v>0</v>
      </c>
      <c r="O27" s="449">
        <v>0</v>
      </c>
      <c r="P27" s="449">
        <v>0</v>
      </c>
      <c r="Q27" s="449">
        <v>0</v>
      </c>
      <c r="R27" s="449">
        <v>0</v>
      </c>
      <c r="S27" s="449">
        <v>0</v>
      </c>
      <c r="T27" s="450">
        <f t="shared" si="0"/>
        <v>963</v>
      </c>
      <c r="U27" s="449">
        <v>27</v>
      </c>
    </row>
    <row r="28" spans="1:21" ht="33" customHeight="1" x14ac:dyDescent="0.25">
      <c r="A28" s="449" t="s">
        <v>400</v>
      </c>
      <c r="B28" s="449"/>
      <c r="C28" s="449">
        <v>0</v>
      </c>
      <c r="D28" s="449">
        <v>0</v>
      </c>
      <c r="E28" s="449">
        <v>0</v>
      </c>
      <c r="F28" s="449">
        <v>0</v>
      </c>
      <c r="G28" s="449">
        <v>0</v>
      </c>
      <c r="H28" s="449">
        <v>0</v>
      </c>
      <c r="I28" s="449">
        <v>0</v>
      </c>
      <c r="J28" s="449">
        <v>0</v>
      </c>
      <c r="K28" s="449">
        <v>0</v>
      </c>
      <c r="L28" s="449">
        <v>0</v>
      </c>
      <c r="M28" s="449">
        <v>0</v>
      </c>
      <c r="N28" s="449">
        <v>0</v>
      </c>
      <c r="O28" s="449">
        <v>0</v>
      </c>
      <c r="P28" s="449">
        <v>0</v>
      </c>
      <c r="Q28" s="449">
        <v>2100</v>
      </c>
      <c r="R28" s="449">
        <v>0</v>
      </c>
      <c r="S28" s="449">
        <v>0</v>
      </c>
      <c r="T28" s="450">
        <f t="shared" si="0"/>
        <v>2100</v>
      </c>
      <c r="U28" s="449">
        <v>28</v>
      </c>
    </row>
    <row r="29" spans="1:21" ht="33" customHeight="1" x14ac:dyDescent="0.25">
      <c r="A29" s="449" t="s">
        <v>401</v>
      </c>
      <c r="B29" s="449"/>
      <c r="C29" s="449">
        <v>0</v>
      </c>
      <c r="D29" s="449">
        <v>0</v>
      </c>
      <c r="E29" s="449">
        <v>0</v>
      </c>
      <c r="F29" s="449">
        <v>0</v>
      </c>
      <c r="G29" s="449">
        <v>0</v>
      </c>
      <c r="H29" s="449">
        <v>0</v>
      </c>
      <c r="I29" s="449">
        <v>0</v>
      </c>
      <c r="J29" s="449">
        <v>0</v>
      </c>
      <c r="K29" s="449">
        <v>0</v>
      </c>
      <c r="L29" s="449">
        <v>0</v>
      </c>
      <c r="M29" s="449">
        <v>0</v>
      </c>
      <c r="N29" s="449">
        <v>0</v>
      </c>
      <c r="O29" s="449">
        <v>0</v>
      </c>
      <c r="P29" s="449">
        <v>0</v>
      </c>
      <c r="Q29" s="449">
        <v>0</v>
      </c>
      <c r="R29" s="449">
        <v>0</v>
      </c>
      <c r="S29" s="449">
        <v>400</v>
      </c>
      <c r="T29" s="450">
        <f t="shared" si="0"/>
        <v>400</v>
      </c>
      <c r="U29" s="449">
        <v>29</v>
      </c>
    </row>
    <row r="30" spans="1:21" ht="33" customHeight="1" x14ac:dyDescent="0.25">
      <c r="A30" s="449" t="s">
        <v>402</v>
      </c>
      <c r="B30" s="449"/>
      <c r="C30" s="449">
        <v>0</v>
      </c>
      <c r="D30" s="449">
        <v>0</v>
      </c>
      <c r="E30" s="449">
        <v>0</v>
      </c>
      <c r="F30" s="449">
        <v>0</v>
      </c>
      <c r="G30" s="449">
        <v>0</v>
      </c>
      <c r="H30" s="449">
        <v>0</v>
      </c>
      <c r="I30" s="449">
        <v>0</v>
      </c>
      <c r="J30" s="449">
        <v>0</v>
      </c>
      <c r="K30" s="449">
        <v>0</v>
      </c>
      <c r="L30" s="449">
        <v>0</v>
      </c>
      <c r="M30" s="449">
        <v>1475.46</v>
      </c>
      <c r="N30" s="449">
        <v>0</v>
      </c>
      <c r="O30" s="449">
        <v>0</v>
      </c>
      <c r="P30" s="449">
        <v>0</v>
      </c>
      <c r="Q30" s="449">
        <v>0</v>
      </c>
      <c r="R30" s="449">
        <v>0</v>
      </c>
      <c r="S30" s="449">
        <v>0</v>
      </c>
      <c r="T30" s="450">
        <f t="shared" si="0"/>
        <v>1475.46</v>
      </c>
      <c r="U30" s="449">
        <v>30</v>
      </c>
    </row>
    <row r="31" spans="1:21" ht="33" customHeight="1" x14ac:dyDescent="0.25">
      <c r="A31" s="449" t="s">
        <v>403</v>
      </c>
      <c r="B31" s="449"/>
      <c r="C31" s="449">
        <v>0</v>
      </c>
      <c r="D31" s="449">
        <v>0</v>
      </c>
      <c r="E31" s="449">
        <v>0</v>
      </c>
      <c r="F31" s="449">
        <v>0</v>
      </c>
      <c r="G31" s="449">
        <v>0</v>
      </c>
      <c r="H31" s="449">
        <v>0</v>
      </c>
      <c r="I31" s="449">
        <v>0</v>
      </c>
      <c r="J31" s="449">
        <v>0</v>
      </c>
      <c r="K31" s="449">
        <v>0</v>
      </c>
      <c r="L31" s="449">
        <v>0</v>
      </c>
      <c r="M31" s="449">
        <v>1515.73</v>
      </c>
      <c r="N31" s="449">
        <v>0</v>
      </c>
      <c r="O31" s="449">
        <v>0</v>
      </c>
      <c r="P31" s="449">
        <v>0</v>
      </c>
      <c r="Q31" s="449">
        <v>0</v>
      </c>
      <c r="R31" s="449">
        <v>0</v>
      </c>
      <c r="S31" s="449">
        <v>0</v>
      </c>
      <c r="T31" s="450">
        <f t="shared" si="0"/>
        <v>1515.73</v>
      </c>
      <c r="U31" s="449">
        <v>31</v>
      </c>
    </row>
    <row r="32" spans="1:21" ht="33" customHeight="1" x14ac:dyDescent="0.25">
      <c r="A32" s="449" t="s">
        <v>404</v>
      </c>
      <c r="B32" s="449"/>
      <c r="C32" s="449">
        <v>0</v>
      </c>
      <c r="D32" s="449">
        <v>0</v>
      </c>
      <c r="E32" s="449">
        <v>0</v>
      </c>
      <c r="F32" s="449">
        <v>0</v>
      </c>
      <c r="G32" s="449">
        <v>0</v>
      </c>
      <c r="H32" s="449">
        <v>0</v>
      </c>
      <c r="I32" s="449">
        <v>0</v>
      </c>
      <c r="J32" s="449">
        <v>0</v>
      </c>
      <c r="K32" s="449">
        <v>0</v>
      </c>
      <c r="L32" s="449">
        <v>0</v>
      </c>
      <c r="M32" s="449">
        <v>1200.5</v>
      </c>
      <c r="N32" s="449">
        <v>0</v>
      </c>
      <c r="O32" s="449">
        <v>0</v>
      </c>
      <c r="P32" s="449">
        <v>0</v>
      </c>
      <c r="Q32" s="449">
        <v>0</v>
      </c>
      <c r="R32" s="449">
        <v>0</v>
      </c>
      <c r="S32" s="449">
        <v>0</v>
      </c>
      <c r="T32" s="450">
        <f t="shared" si="0"/>
        <v>1200.5</v>
      </c>
      <c r="U32" s="449">
        <v>32</v>
      </c>
    </row>
    <row r="33" spans="1:21" ht="33" customHeight="1" x14ac:dyDescent="0.25">
      <c r="A33" s="449" t="s">
        <v>405</v>
      </c>
      <c r="B33" s="449"/>
      <c r="C33" s="449">
        <v>0</v>
      </c>
      <c r="D33" s="449">
        <v>0</v>
      </c>
      <c r="E33" s="449">
        <v>0</v>
      </c>
      <c r="F33" s="449">
        <v>0</v>
      </c>
      <c r="G33" s="449">
        <v>0</v>
      </c>
      <c r="H33" s="449">
        <v>0</v>
      </c>
      <c r="I33" s="449">
        <v>0</v>
      </c>
      <c r="J33" s="449">
        <v>0</v>
      </c>
      <c r="K33" s="449">
        <v>0</v>
      </c>
      <c r="L33" s="449">
        <v>0</v>
      </c>
      <c r="M33" s="449">
        <v>0</v>
      </c>
      <c r="N33" s="449">
        <v>0</v>
      </c>
      <c r="O33" s="449">
        <v>0</v>
      </c>
      <c r="P33" s="449">
        <v>900</v>
      </c>
      <c r="Q33" s="449">
        <v>0</v>
      </c>
      <c r="R33" s="449">
        <v>0</v>
      </c>
      <c r="S33" s="449">
        <v>0</v>
      </c>
      <c r="T33" s="450">
        <f t="shared" si="0"/>
        <v>900</v>
      </c>
      <c r="U33" s="449">
        <v>33</v>
      </c>
    </row>
    <row r="34" spans="1:21" ht="33" customHeight="1" x14ac:dyDescent="0.25">
      <c r="A34" s="449" t="s">
        <v>406</v>
      </c>
      <c r="B34" s="449"/>
      <c r="C34" s="449">
        <v>0</v>
      </c>
      <c r="D34" s="449">
        <v>327.05</v>
      </c>
      <c r="E34" s="449">
        <v>0</v>
      </c>
      <c r="F34" s="449">
        <v>0</v>
      </c>
      <c r="G34" s="449">
        <v>0</v>
      </c>
      <c r="H34" s="449">
        <v>0</v>
      </c>
      <c r="I34" s="449">
        <v>0</v>
      </c>
      <c r="J34" s="449">
        <v>857.52</v>
      </c>
      <c r="K34" s="449">
        <v>0</v>
      </c>
      <c r="L34" s="449">
        <v>385.43</v>
      </c>
      <c r="M34" s="449">
        <v>0</v>
      </c>
      <c r="N34" s="449">
        <v>0</v>
      </c>
      <c r="O34" s="449">
        <v>0</v>
      </c>
      <c r="P34" s="449">
        <v>0</v>
      </c>
      <c r="Q34" s="449">
        <v>0</v>
      </c>
      <c r="R34" s="449">
        <v>0</v>
      </c>
      <c r="S34" s="449">
        <v>0</v>
      </c>
      <c r="T34" s="450">
        <f t="shared" ref="T34:T56" si="1">SUM(C34:S34)</f>
        <v>1570</v>
      </c>
      <c r="U34" s="449">
        <v>34</v>
      </c>
    </row>
    <row r="35" spans="1:21" ht="33" customHeight="1" x14ac:dyDescent="0.25">
      <c r="A35" s="449" t="s">
        <v>407</v>
      </c>
      <c r="B35" s="449"/>
      <c r="C35" s="449">
        <v>0</v>
      </c>
      <c r="D35" s="449">
        <v>560</v>
      </c>
      <c r="E35" s="449">
        <v>0</v>
      </c>
      <c r="F35" s="449">
        <v>0</v>
      </c>
      <c r="G35" s="449">
        <v>0</v>
      </c>
      <c r="H35" s="449">
        <v>0</v>
      </c>
      <c r="I35" s="449">
        <v>0</v>
      </c>
      <c r="J35" s="449">
        <v>54.82</v>
      </c>
      <c r="K35" s="449">
        <v>0</v>
      </c>
      <c r="L35" s="449">
        <v>894.6400000000001</v>
      </c>
      <c r="M35" s="449">
        <v>0</v>
      </c>
      <c r="N35" s="449">
        <v>0</v>
      </c>
      <c r="O35" s="449">
        <v>0</v>
      </c>
      <c r="P35" s="449">
        <v>0</v>
      </c>
      <c r="Q35" s="449">
        <v>0</v>
      </c>
      <c r="R35" s="449">
        <v>35</v>
      </c>
      <c r="S35" s="449">
        <v>0</v>
      </c>
      <c r="T35" s="450">
        <f t="shared" si="1"/>
        <v>1544.46</v>
      </c>
      <c r="U35" s="449">
        <v>35</v>
      </c>
    </row>
    <row r="36" spans="1:21" ht="33" customHeight="1" x14ac:dyDescent="0.25">
      <c r="A36" s="449" t="s">
        <v>408</v>
      </c>
      <c r="B36" s="449"/>
      <c r="C36" s="449">
        <v>0</v>
      </c>
      <c r="D36" s="449">
        <v>0</v>
      </c>
      <c r="E36" s="449">
        <v>0</v>
      </c>
      <c r="F36" s="449">
        <v>0</v>
      </c>
      <c r="G36" s="449">
        <v>0</v>
      </c>
      <c r="H36" s="449">
        <v>0</v>
      </c>
      <c r="I36" s="449">
        <v>0</v>
      </c>
      <c r="J36" s="449">
        <v>0</v>
      </c>
      <c r="K36" s="449">
        <v>0</v>
      </c>
      <c r="L36" s="449">
        <v>0</v>
      </c>
      <c r="M36" s="449">
        <v>1161.49</v>
      </c>
      <c r="N36" s="449">
        <v>0</v>
      </c>
      <c r="O36" s="449">
        <v>0</v>
      </c>
      <c r="P36" s="449">
        <v>0</v>
      </c>
      <c r="Q36" s="449">
        <v>0</v>
      </c>
      <c r="R36" s="449">
        <v>0</v>
      </c>
      <c r="S36" s="449">
        <v>0</v>
      </c>
      <c r="T36" s="450">
        <f t="shared" si="1"/>
        <v>1161.49</v>
      </c>
      <c r="U36" s="449">
        <v>36</v>
      </c>
    </row>
    <row r="37" spans="1:21" ht="33" customHeight="1" x14ac:dyDescent="0.25">
      <c r="A37" s="449" t="s">
        <v>409</v>
      </c>
      <c r="B37" s="449"/>
      <c r="C37" s="449">
        <v>0</v>
      </c>
      <c r="D37" s="449">
        <v>0</v>
      </c>
      <c r="E37" s="449">
        <v>1155.79</v>
      </c>
      <c r="F37" s="449">
        <v>0</v>
      </c>
      <c r="G37" s="449">
        <v>125</v>
      </c>
      <c r="H37" s="449">
        <v>0</v>
      </c>
      <c r="I37" s="449">
        <v>0</v>
      </c>
      <c r="J37" s="449">
        <v>0</v>
      </c>
      <c r="K37" s="449">
        <v>0</v>
      </c>
      <c r="L37" s="449">
        <v>0</v>
      </c>
      <c r="M37" s="449">
        <v>0</v>
      </c>
      <c r="N37" s="449">
        <v>0</v>
      </c>
      <c r="O37" s="449">
        <v>0</v>
      </c>
      <c r="P37" s="449">
        <v>0</v>
      </c>
      <c r="Q37" s="449">
        <v>0</v>
      </c>
      <c r="R37" s="449">
        <v>0</v>
      </c>
      <c r="S37" s="449">
        <v>0</v>
      </c>
      <c r="T37" s="450">
        <f t="shared" si="1"/>
        <v>1280.79</v>
      </c>
      <c r="U37" s="449">
        <v>37</v>
      </c>
    </row>
    <row r="38" spans="1:21" ht="33" customHeight="1" x14ac:dyDescent="0.25">
      <c r="A38" s="449" t="s">
        <v>410</v>
      </c>
      <c r="B38" s="449"/>
      <c r="C38" s="449">
        <v>134</v>
      </c>
      <c r="D38" s="449">
        <v>0</v>
      </c>
      <c r="E38" s="449">
        <v>0</v>
      </c>
      <c r="F38" s="449">
        <v>550</v>
      </c>
      <c r="G38" s="449">
        <v>916</v>
      </c>
      <c r="H38" s="449">
        <v>0</v>
      </c>
      <c r="I38" s="449">
        <v>0</v>
      </c>
      <c r="J38" s="449">
        <v>0</v>
      </c>
      <c r="K38" s="449">
        <v>0</v>
      </c>
      <c r="L38" s="449">
        <v>0</v>
      </c>
      <c r="M38" s="449">
        <v>0</v>
      </c>
      <c r="N38" s="449">
        <v>0</v>
      </c>
      <c r="O38" s="449">
        <v>0</v>
      </c>
      <c r="P38" s="449">
        <v>0</v>
      </c>
      <c r="Q38" s="449">
        <v>0</v>
      </c>
      <c r="R38" s="449">
        <v>0</v>
      </c>
      <c r="S38" s="449">
        <v>0</v>
      </c>
      <c r="T38" s="450">
        <f t="shared" si="1"/>
        <v>1600</v>
      </c>
      <c r="U38" s="449">
        <v>38</v>
      </c>
    </row>
    <row r="39" spans="1:21" ht="33" customHeight="1" x14ac:dyDescent="0.25">
      <c r="A39" s="449" t="s">
        <v>411</v>
      </c>
      <c r="B39" s="449"/>
      <c r="C39" s="449">
        <v>0</v>
      </c>
      <c r="D39" s="449">
        <v>0</v>
      </c>
      <c r="E39" s="449">
        <v>0</v>
      </c>
      <c r="F39" s="449">
        <v>0</v>
      </c>
      <c r="G39" s="449">
        <v>0</v>
      </c>
      <c r="H39" s="449">
        <v>0</v>
      </c>
      <c r="I39" s="449">
        <v>790.96</v>
      </c>
      <c r="J39" s="449">
        <v>0</v>
      </c>
      <c r="K39" s="449">
        <v>0</v>
      </c>
      <c r="L39" s="449">
        <v>0</v>
      </c>
      <c r="M39" s="449">
        <v>0</v>
      </c>
      <c r="N39" s="449">
        <v>9.69</v>
      </c>
      <c r="O39" s="449">
        <v>0</v>
      </c>
      <c r="P39" s="449">
        <v>0</v>
      </c>
      <c r="Q39" s="449">
        <v>0</v>
      </c>
      <c r="R39" s="449">
        <v>0</v>
      </c>
      <c r="S39" s="449">
        <v>0</v>
      </c>
      <c r="T39" s="450">
        <f t="shared" si="1"/>
        <v>800.65000000000009</v>
      </c>
      <c r="U39" s="449">
        <v>39</v>
      </c>
    </row>
    <row r="40" spans="1:21" ht="33" customHeight="1" x14ac:dyDescent="0.25">
      <c r="A40" s="449" t="s">
        <v>412</v>
      </c>
      <c r="B40" s="449"/>
      <c r="C40" s="449">
        <v>0</v>
      </c>
      <c r="D40" s="449">
        <v>0</v>
      </c>
      <c r="E40" s="449">
        <v>0</v>
      </c>
      <c r="F40" s="449">
        <v>0</v>
      </c>
      <c r="G40" s="449">
        <v>0</v>
      </c>
      <c r="H40" s="449">
        <v>0</v>
      </c>
      <c r="I40" s="449">
        <v>0</v>
      </c>
      <c r="J40" s="449">
        <v>0</v>
      </c>
      <c r="K40" s="449">
        <v>0</v>
      </c>
      <c r="L40" s="449">
        <v>0</v>
      </c>
      <c r="M40" s="449">
        <v>0</v>
      </c>
      <c r="N40" s="449">
        <v>0</v>
      </c>
      <c r="O40" s="449">
        <v>0</v>
      </c>
      <c r="P40" s="449">
        <v>0</v>
      </c>
      <c r="Q40" s="449">
        <v>0</v>
      </c>
      <c r="R40" s="449">
        <v>0</v>
      </c>
      <c r="S40" s="449">
        <v>200</v>
      </c>
      <c r="T40" s="450">
        <f t="shared" si="1"/>
        <v>200</v>
      </c>
      <c r="U40" s="449">
        <v>40</v>
      </c>
    </row>
    <row r="41" spans="1:21" ht="33" customHeight="1" x14ac:dyDescent="0.25">
      <c r="A41" s="449" t="s">
        <v>413</v>
      </c>
      <c r="B41" s="449"/>
      <c r="C41" s="449">
        <v>0</v>
      </c>
      <c r="D41" s="449">
        <v>0</v>
      </c>
      <c r="E41" s="449">
        <v>0</v>
      </c>
      <c r="F41" s="449">
        <v>0</v>
      </c>
      <c r="G41" s="449">
        <v>0</v>
      </c>
      <c r="H41" s="449">
        <v>0</v>
      </c>
      <c r="I41" s="449">
        <v>0</v>
      </c>
      <c r="J41" s="449">
        <v>0</v>
      </c>
      <c r="K41" s="449">
        <v>1162.53</v>
      </c>
      <c r="L41" s="449">
        <v>0</v>
      </c>
      <c r="M41" s="449">
        <v>0</v>
      </c>
      <c r="N41" s="449">
        <v>0</v>
      </c>
      <c r="O41" s="449">
        <v>0</v>
      </c>
      <c r="P41" s="449">
        <v>0</v>
      </c>
      <c r="Q41" s="449">
        <v>0</v>
      </c>
      <c r="R41" s="449">
        <v>0</v>
      </c>
      <c r="S41" s="449">
        <v>0</v>
      </c>
      <c r="T41" s="450">
        <f t="shared" si="1"/>
        <v>1162.53</v>
      </c>
      <c r="U41" s="449">
        <v>41</v>
      </c>
    </row>
    <row r="42" spans="1:21" ht="33" customHeight="1" x14ac:dyDescent="0.25">
      <c r="A42" s="449" t="s">
        <v>414</v>
      </c>
      <c r="B42" s="449"/>
      <c r="C42" s="449">
        <v>0</v>
      </c>
      <c r="D42" s="449">
        <v>0</v>
      </c>
      <c r="E42" s="449">
        <v>0</v>
      </c>
      <c r="F42" s="449">
        <v>0</v>
      </c>
      <c r="G42" s="449">
        <v>0</v>
      </c>
      <c r="H42" s="449">
        <v>0</v>
      </c>
      <c r="I42" s="449">
        <v>0</v>
      </c>
      <c r="J42" s="449">
        <v>815</v>
      </c>
      <c r="K42" s="449">
        <v>0</v>
      </c>
      <c r="L42" s="449">
        <v>0</v>
      </c>
      <c r="M42" s="449">
        <v>0</v>
      </c>
      <c r="N42" s="449">
        <v>0</v>
      </c>
      <c r="O42" s="449">
        <v>0</v>
      </c>
      <c r="P42" s="449">
        <v>0</v>
      </c>
      <c r="Q42" s="449">
        <v>0</v>
      </c>
      <c r="R42" s="449">
        <v>0</v>
      </c>
      <c r="S42" s="449">
        <v>0</v>
      </c>
      <c r="T42" s="450">
        <f t="shared" si="1"/>
        <v>815</v>
      </c>
      <c r="U42" s="449">
        <v>42</v>
      </c>
    </row>
    <row r="43" spans="1:21" ht="33" customHeight="1" x14ac:dyDescent="0.25">
      <c r="A43" s="449" t="s">
        <v>415</v>
      </c>
      <c r="B43" s="449"/>
      <c r="C43" s="449">
        <v>0</v>
      </c>
      <c r="D43" s="449">
        <v>389.57</v>
      </c>
      <c r="E43" s="449">
        <v>0</v>
      </c>
      <c r="F43" s="449">
        <v>0</v>
      </c>
      <c r="G43" s="449">
        <v>0</v>
      </c>
      <c r="H43" s="449">
        <v>0</v>
      </c>
      <c r="I43" s="449">
        <v>0</v>
      </c>
      <c r="J43" s="449">
        <v>0</v>
      </c>
      <c r="K43" s="449">
        <v>522.42999999999995</v>
      </c>
      <c r="L43" s="449">
        <v>88</v>
      </c>
      <c r="M43" s="449">
        <v>0</v>
      </c>
      <c r="N43" s="449">
        <v>0</v>
      </c>
      <c r="O43" s="449">
        <v>0</v>
      </c>
      <c r="P43" s="449">
        <v>0</v>
      </c>
      <c r="Q43" s="449">
        <v>0</v>
      </c>
      <c r="R43" s="449">
        <v>80</v>
      </c>
      <c r="S43" s="449">
        <v>0</v>
      </c>
      <c r="T43" s="450">
        <f t="shared" si="1"/>
        <v>1080</v>
      </c>
      <c r="U43" s="449">
        <v>43</v>
      </c>
    </row>
    <row r="44" spans="1:21" ht="33" customHeight="1" x14ac:dyDescent="0.25">
      <c r="A44" s="449" t="s">
        <v>416</v>
      </c>
      <c r="B44" s="449"/>
      <c r="C44" s="449">
        <v>0</v>
      </c>
      <c r="D44" s="449">
        <v>0</v>
      </c>
      <c r="E44" s="449">
        <v>0</v>
      </c>
      <c r="F44" s="449">
        <v>0</v>
      </c>
      <c r="G44" s="449">
        <v>0</v>
      </c>
      <c r="H44" s="449">
        <v>0</v>
      </c>
      <c r="I44" s="449">
        <v>0</v>
      </c>
      <c r="J44" s="449">
        <v>963.44</v>
      </c>
      <c r="K44" s="449">
        <v>0</v>
      </c>
      <c r="L44" s="449">
        <v>200</v>
      </c>
      <c r="M44" s="449">
        <v>0</v>
      </c>
      <c r="N44" s="449">
        <v>0</v>
      </c>
      <c r="O44" s="449">
        <v>0</v>
      </c>
      <c r="P44" s="449">
        <v>0</v>
      </c>
      <c r="Q44" s="449">
        <v>0</v>
      </c>
      <c r="R44" s="449">
        <v>60</v>
      </c>
      <c r="S44" s="449">
        <v>0</v>
      </c>
      <c r="T44" s="450">
        <f t="shared" si="1"/>
        <v>1223.44</v>
      </c>
      <c r="U44" s="449">
        <v>44</v>
      </c>
    </row>
    <row r="45" spans="1:21" ht="33" customHeight="1" x14ac:dyDescent="0.25">
      <c r="A45" s="449" t="s">
        <v>417</v>
      </c>
      <c r="B45" s="449"/>
      <c r="C45" s="449">
        <v>0</v>
      </c>
      <c r="D45" s="449">
        <v>0</v>
      </c>
      <c r="E45" s="449">
        <v>1006.65</v>
      </c>
      <c r="F45" s="449">
        <v>0</v>
      </c>
      <c r="G45" s="449">
        <v>0</v>
      </c>
      <c r="H45" s="449">
        <v>0</v>
      </c>
      <c r="I45" s="449">
        <v>0</v>
      </c>
      <c r="J45" s="449">
        <v>0</v>
      </c>
      <c r="K45" s="449">
        <v>0</v>
      </c>
      <c r="L45" s="449">
        <v>0</v>
      </c>
      <c r="M45" s="449">
        <v>57.25</v>
      </c>
      <c r="N45" s="449">
        <v>0</v>
      </c>
      <c r="O45" s="449">
        <v>0</v>
      </c>
      <c r="P45" s="449">
        <v>0</v>
      </c>
      <c r="Q45" s="449">
        <v>0</v>
      </c>
      <c r="R45" s="449">
        <v>0</v>
      </c>
      <c r="S45" s="449">
        <v>0</v>
      </c>
      <c r="T45" s="450">
        <f t="shared" si="1"/>
        <v>1063.9000000000001</v>
      </c>
      <c r="U45" s="449">
        <v>45</v>
      </c>
    </row>
    <row r="46" spans="1:21" ht="33" customHeight="1" x14ac:dyDescent="0.25">
      <c r="A46" s="449" t="s">
        <v>418</v>
      </c>
      <c r="B46" s="449"/>
      <c r="C46" s="449">
        <v>16.920000000000002</v>
      </c>
      <c r="D46" s="449">
        <v>0</v>
      </c>
      <c r="E46" s="449">
        <v>0</v>
      </c>
      <c r="F46" s="449">
        <v>85.01</v>
      </c>
      <c r="G46" s="449">
        <v>0</v>
      </c>
      <c r="H46" s="449">
        <v>0</v>
      </c>
      <c r="I46" s="449">
        <v>460</v>
      </c>
      <c r="J46" s="449">
        <v>0</v>
      </c>
      <c r="K46" s="449">
        <v>0</v>
      </c>
      <c r="L46" s="449">
        <v>0</v>
      </c>
      <c r="M46" s="449">
        <v>0</v>
      </c>
      <c r="N46" s="449">
        <v>19.43</v>
      </c>
      <c r="O46" s="449">
        <v>0</v>
      </c>
      <c r="P46" s="449">
        <v>0</v>
      </c>
      <c r="Q46" s="449">
        <v>0</v>
      </c>
      <c r="R46" s="449">
        <v>0</v>
      </c>
      <c r="S46" s="449">
        <v>0</v>
      </c>
      <c r="T46" s="450">
        <f t="shared" si="1"/>
        <v>581.36</v>
      </c>
      <c r="U46" s="449">
        <v>46</v>
      </c>
    </row>
    <row r="47" spans="1:21" ht="33" customHeight="1" x14ac:dyDescent="0.25">
      <c r="A47" s="449" t="s">
        <v>419</v>
      </c>
      <c r="B47" s="449"/>
      <c r="C47" s="449">
        <v>0</v>
      </c>
      <c r="D47" s="449">
        <v>0</v>
      </c>
      <c r="E47" s="449">
        <v>0</v>
      </c>
      <c r="F47" s="449">
        <v>0</v>
      </c>
      <c r="G47" s="449">
        <v>0</v>
      </c>
      <c r="H47" s="449">
        <v>0</v>
      </c>
      <c r="I47" s="449">
        <v>950</v>
      </c>
      <c r="J47" s="449">
        <v>0</v>
      </c>
      <c r="K47" s="449">
        <v>0</v>
      </c>
      <c r="L47" s="449">
        <v>0</v>
      </c>
      <c r="M47" s="449">
        <v>0</v>
      </c>
      <c r="N47" s="449">
        <v>0</v>
      </c>
      <c r="O47" s="449">
        <v>0</v>
      </c>
      <c r="P47" s="449">
        <v>0</v>
      </c>
      <c r="Q47" s="449">
        <v>0</v>
      </c>
      <c r="R47" s="449">
        <v>0</v>
      </c>
      <c r="S47" s="449">
        <v>0</v>
      </c>
      <c r="T47" s="450">
        <f t="shared" si="1"/>
        <v>950</v>
      </c>
      <c r="U47" s="449">
        <v>47</v>
      </c>
    </row>
    <row r="48" spans="1:21" ht="33" customHeight="1" x14ac:dyDescent="0.25">
      <c r="A48" s="449" t="s">
        <v>420</v>
      </c>
      <c r="B48" s="449"/>
      <c r="C48" s="449">
        <v>37</v>
      </c>
      <c r="D48" s="449">
        <v>0</v>
      </c>
      <c r="E48" s="449">
        <v>490</v>
      </c>
      <c r="F48" s="449">
        <v>300</v>
      </c>
      <c r="G48" s="449">
        <v>0</v>
      </c>
      <c r="H48" s="449">
        <v>0</v>
      </c>
      <c r="I48" s="449">
        <v>0</v>
      </c>
      <c r="J48" s="449">
        <v>0</v>
      </c>
      <c r="K48" s="449">
        <v>0</v>
      </c>
      <c r="L48" s="449">
        <v>0</v>
      </c>
      <c r="M48" s="449">
        <v>0</v>
      </c>
      <c r="N48" s="449">
        <v>0</v>
      </c>
      <c r="O48" s="449">
        <v>0</v>
      </c>
      <c r="P48" s="449">
        <v>0</v>
      </c>
      <c r="Q48" s="449">
        <v>0</v>
      </c>
      <c r="R48" s="449">
        <v>0</v>
      </c>
      <c r="S48" s="449">
        <v>0</v>
      </c>
      <c r="T48" s="450">
        <f t="shared" si="1"/>
        <v>827</v>
      </c>
      <c r="U48" s="449">
        <v>48</v>
      </c>
    </row>
    <row r="49" spans="1:21" ht="33" customHeight="1" x14ac:dyDescent="0.25">
      <c r="A49" s="449" t="s">
        <v>421</v>
      </c>
      <c r="B49" s="449"/>
      <c r="C49" s="449">
        <v>95.91</v>
      </c>
      <c r="D49" s="449">
        <v>0</v>
      </c>
      <c r="E49" s="449">
        <v>0</v>
      </c>
      <c r="F49" s="449">
        <v>315.62</v>
      </c>
      <c r="G49" s="449">
        <v>0</v>
      </c>
      <c r="H49" s="449">
        <v>0</v>
      </c>
      <c r="I49" s="449">
        <v>478.84</v>
      </c>
      <c r="J49" s="449">
        <v>0</v>
      </c>
      <c r="K49" s="449">
        <v>0</v>
      </c>
      <c r="L49" s="449">
        <v>0</v>
      </c>
      <c r="M49" s="449">
        <v>672.2</v>
      </c>
      <c r="N49" s="449">
        <v>0</v>
      </c>
      <c r="O49" s="449">
        <v>0</v>
      </c>
      <c r="P49" s="449">
        <v>0</v>
      </c>
      <c r="Q49" s="449">
        <v>0</v>
      </c>
      <c r="R49" s="449">
        <v>0</v>
      </c>
      <c r="S49" s="449">
        <v>0</v>
      </c>
      <c r="T49" s="450">
        <f t="shared" si="1"/>
        <v>1562.57</v>
      </c>
      <c r="U49" s="449">
        <v>49</v>
      </c>
    </row>
    <row r="50" spans="1:21" ht="33" customHeight="1" x14ac:dyDescent="0.25">
      <c r="A50" s="449" t="s">
        <v>422</v>
      </c>
      <c r="B50" s="449"/>
      <c r="C50" s="449">
        <v>0</v>
      </c>
      <c r="D50" s="449">
        <v>0</v>
      </c>
      <c r="E50" s="449">
        <v>0</v>
      </c>
      <c r="F50" s="449">
        <v>0</v>
      </c>
      <c r="G50" s="449">
        <v>0</v>
      </c>
      <c r="H50" s="449">
        <v>0</v>
      </c>
      <c r="I50" s="449">
        <v>1293.75</v>
      </c>
      <c r="J50" s="449">
        <v>0</v>
      </c>
      <c r="K50" s="449">
        <v>0</v>
      </c>
      <c r="L50" s="449">
        <v>0</v>
      </c>
      <c r="M50" s="449">
        <v>0</v>
      </c>
      <c r="N50" s="449">
        <v>0</v>
      </c>
      <c r="O50" s="449">
        <v>0</v>
      </c>
      <c r="P50" s="449">
        <v>0</v>
      </c>
      <c r="Q50" s="449">
        <v>0</v>
      </c>
      <c r="R50" s="449">
        <v>0</v>
      </c>
      <c r="S50" s="449">
        <v>0</v>
      </c>
      <c r="T50" s="450">
        <f t="shared" si="1"/>
        <v>1293.75</v>
      </c>
      <c r="U50" s="449">
        <v>50</v>
      </c>
    </row>
    <row r="51" spans="1:21" ht="33" customHeight="1" x14ac:dyDescent="0.25">
      <c r="A51" s="449" t="s">
        <v>423</v>
      </c>
      <c r="B51" s="449"/>
      <c r="C51" s="449">
        <v>0</v>
      </c>
      <c r="D51" s="449">
        <v>0</v>
      </c>
      <c r="E51" s="449">
        <v>533.51</v>
      </c>
      <c r="F51" s="449">
        <v>0</v>
      </c>
      <c r="G51" s="449">
        <v>1008.35</v>
      </c>
      <c r="H51" s="449">
        <v>0</v>
      </c>
      <c r="I51" s="449">
        <v>0</v>
      </c>
      <c r="J51" s="449">
        <v>0</v>
      </c>
      <c r="K51" s="449">
        <v>0</v>
      </c>
      <c r="L51" s="449">
        <v>0</v>
      </c>
      <c r="M51" s="449">
        <v>0</v>
      </c>
      <c r="N51" s="449">
        <v>0</v>
      </c>
      <c r="O51" s="449">
        <v>0</v>
      </c>
      <c r="P51" s="449">
        <v>0</v>
      </c>
      <c r="Q51" s="449">
        <v>0</v>
      </c>
      <c r="R51" s="449">
        <v>0</v>
      </c>
      <c r="S51" s="449">
        <v>0</v>
      </c>
      <c r="T51" s="450">
        <f t="shared" si="1"/>
        <v>1541.8600000000001</v>
      </c>
      <c r="U51" s="449">
        <v>51</v>
      </c>
    </row>
    <row r="52" spans="1:21" ht="33" customHeight="1" x14ac:dyDescent="0.25">
      <c r="A52" s="449" t="s">
        <v>424</v>
      </c>
      <c r="B52" s="449"/>
      <c r="C52" s="449">
        <v>0</v>
      </c>
      <c r="D52" s="449">
        <v>0</v>
      </c>
      <c r="E52" s="449">
        <v>0</v>
      </c>
      <c r="F52" s="449">
        <v>0</v>
      </c>
      <c r="G52" s="449">
        <v>0</v>
      </c>
      <c r="H52" s="449">
        <v>0</v>
      </c>
      <c r="I52" s="449">
        <v>0</v>
      </c>
      <c r="J52" s="449">
        <v>0</v>
      </c>
      <c r="K52" s="449">
        <v>0</v>
      </c>
      <c r="L52" s="449">
        <v>0</v>
      </c>
      <c r="M52" s="449">
        <v>1564.32</v>
      </c>
      <c r="N52" s="449">
        <v>0</v>
      </c>
      <c r="O52" s="449">
        <v>0</v>
      </c>
      <c r="P52" s="449">
        <v>0</v>
      </c>
      <c r="Q52" s="449">
        <v>0</v>
      </c>
      <c r="R52" s="449">
        <v>0</v>
      </c>
      <c r="S52" s="449">
        <v>0</v>
      </c>
      <c r="T52" s="450">
        <f t="shared" si="1"/>
        <v>1564.32</v>
      </c>
      <c r="U52" s="449">
        <v>52</v>
      </c>
    </row>
    <row r="53" spans="1:21" ht="33" customHeight="1" x14ac:dyDescent="0.25">
      <c r="A53" s="449" t="s">
        <v>425</v>
      </c>
      <c r="B53" s="449"/>
      <c r="C53" s="449">
        <v>0</v>
      </c>
      <c r="D53" s="449">
        <v>0</v>
      </c>
      <c r="E53" s="449">
        <v>567.68000000000006</v>
      </c>
      <c r="F53" s="449">
        <v>0</v>
      </c>
      <c r="G53" s="449">
        <v>939.97</v>
      </c>
      <c r="H53" s="449">
        <v>0</v>
      </c>
      <c r="I53" s="449">
        <v>0</v>
      </c>
      <c r="J53" s="449">
        <v>0</v>
      </c>
      <c r="K53" s="449">
        <v>0</v>
      </c>
      <c r="L53" s="449">
        <v>0</v>
      </c>
      <c r="M53" s="449">
        <v>0</v>
      </c>
      <c r="N53" s="449">
        <v>0</v>
      </c>
      <c r="O53" s="449">
        <v>0</v>
      </c>
      <c r="P53" s="449">
        <v>0</v>
      </c>
      <c r="Q53" s="449">
        <v>0</v>
      </c>
      <c r="R53" s="449">
        <v>0</v>
      </c>
      <c r="S53" s="449">
        <v>0</v>
      </c>
      <c r="T53" s="450">
        <f t="shared" si="1"/>
        <v>1507.65</v>
      </c>
      <c r="U53" s="449">
        <v>53</v>
      </c>
    </row>
    <row r="54" spans="1:21" ht="33" customHeight="1" x14ac:dyDescent="0.25">
      <c r="A54" s="449" t="s">
        <v>426</v>
      </c>
      <c r="B54" s="449"/>
      <c r="C54" s="449">
        <v>131.28</v>
      </c>
      <c r="D54" s="449">
        <v>0</v>
      </c>
      <c r="E54" s="449">
        <v>0</v>
      </c>
      <c r="F54" s="449">
        <v>45.13</v>
      </c>
      <c r="G54" s="449">
        <v>0</v>
      </c>
      <c r="H54" s="449">
        <v>0</v>
      </c>
      <c r="I54" s="449">
        <v>1402.17</v>
      </c>
      <c r="J54" s="449">
        <v>0</v>
      </c>
      <c r="K54" s="449">
        <v>0</v>
      </c>
      <c r="L54" s="449">
        <v>0</v>
      </c>
      <c r="M54" s="449">
        <v>0</v>
      </c>
      <c r="N54" s="449">
        <v>0</v>
      </c>
      <c r="O54" s="449">
        <v>0</v>
      </c>
      <c r="P54" s="449">
        <v>0</v>
      </c>
      <c r="Q54" s="449">
        <v>0</v>
      </c>
      <c r="R54" s="449">
        <v>0</v>
      </c>
      <c r="S54" s="449">
        <v>0</v>
      </c>
      <c r="T54" s="450">
        <f t="shared" si="1"/>
        <v>1578.5800000000002</v>
      </c>
      <c r="U54" s="449">
        <v>54</v>
      </c>
    </row>
    <row r="55" spans="1:21" ht="33" customHeight="1" x14ac:dyDescent="0.25">
      <c r="A55" s="449" t="s">
        <v>427</v>
      </c>
      <c r="B55" s="449"/>
      <c r="C55" s="449">
        <v>0</v>
      </c>
      <c r="D55" s="449">
        <v>0</v>
      </c>
      <c r="E55" s="449">
        <v>0</v>
      </c>
      <c r="F55" s="449">
        <v>0</v>
      </c>
      <c r="G55" s="449">
        <v>0</v>
      </c>
      <c r="H55" s="449">
        <v>0</v>
      </c>
      <c r="I55" s="449">
        <v>0</v>
      </c>
      <c r="J55" s="449">
        <v>0</v>
      </c>
      <c r="K55" s="449">
        <v>0</v>
      </c>
      <c r="L55" s="449">
        <v>0</v>
      </c>
      <c r="M55" s="449">
        <v>1556.69</v>
      </c>
      <c r="N55" s="449">
        <v>0</v>
      </c>
      <c r="O55" s="449">
        <v>0</v>
      </c>
      <c r="P55" s="449">
        <v>0</v>
      </c>
      <c r="Q55" s="449">
        <v>0</v>
      </c>
      <c r="R55" s="449">
        <v>0</v>
      </c>
      <c r="S55" s="449">
        <v>0</v>
      </c>
      <c r="T55" s="450">
        <f t="shared" si="1"/>
        <v>1556.69</v>
      </c>
      <c r="U55" s="449">
        <v>55</v>
      </c>
    </row>
    <row r="56" spans="1:21" ht="33" customHeight="1" x14ac:dyDescent="0.25">
      <c r="A56" s="449" t="s">
        <v>428</v>
      </c>
      <c r="B56" s="449"/>
      <c r="C56" s="449">
        <v>0</v>
      </c>
      <c r="D56" s="449">
        <v>0</v>
      </c>
      <c r="E56" s="449">
        <v>0</v>
      </c>
      <c r="F56" s="449">
        <v>0</v>
      </c>
      <c r="G56" s="449">
        <v>0</v>
      </c>
      <c r="H56" s="449">
        <v>0</v>
      </c>
      <c r="I56" s="449">
        <v>0</v>
      </c>
      <c r="J56" s="449">
        <v>0</v>
      </c>
      <c r="K56" s="449">
        <v>0</v>
      </c>
      <c r="L56" s="449">
        <v>0</v>
      </c>
      <c r="M56" s="449">
        <v>0</v>
      </c>
      <c r="N56" s="449">
        <v>0</v>
      </c>
      <c r="O56" s="449">
        <v>0</v>
      </c>
      <c r="P56" s="449">
        <v>0</v>
      </c>
      <c r="Q56" s="449">
        <v>0</v>
      </c>
      <c r="R56" s="449">
        <v>50</v>
      </c>
      <c r="S56" s="449">
        <v>0</v>
      </c>
      <c r="T56" s="450">
        <f t="shared" si="1"/>
        <v>50</v>
      </c>
      <c r="U56" s="449">
        <v>56</v>
      </c>
    </row>
    <row r="57" spans="1:21" ht="26.25" customHeight="1" x14ac:dyDescent="0.25">
      <c r="A57" s="449" t="s">
        <v>11</v>
      </c>
      <c r="B57" s="449"/>
      <c r="C57" s="449">
        <f t="shared" ref="C57:T57" si="2">SUM(C2:C56)</f>
        <v>1213.55</v>
      </c>
      <c r="D57" s="449">
        <f t="shared" si="2"/>
        <v>1276.6199999999999</v>
      </c>
      <c r="E57" s="449">
        <f t="shared" si="2"/>
        <v>9309.24</v>
      </c>
      <c r="F57" s="449">
        <f t="shared" si="2"/>
        <v>2107.44</v>
      </c>
      <c r="G57" s="449">
        <f t="shared" si="2"/>
        <v>6487.2500000000009</v>
      </c>
      <c r="H57" s="449">
        <f t="shared" si="2"/>
        <v>0</v>
      </c>
      <c r="I57" s="449">
        <f t="shared" si="2"/>
        <v>10091.780000000001</v>
      </c>
      <c r="J57" s="449">
        <f t="shared" si="2"/>
        <v>3145.78</v>
      </c>
      <c r="K57" s="449">
        <f t="shared" si="2"/>
        <v>1684.96</v>
      </c>
      <c r="L57" s="449">
        <f t="shared" si="2"/>
        <v>1568.0700000000002</v>
      </c>
      <c r="M57" s="449">
        <f t="shared" si="2"/>
        <v>16526.21</v>
      </c>
      <c r="N57" s="449">
        <f t="shared" si="2"/>
        <v>154.12</v>
      </c>
      <c r="O57" s="449">
        <f t="shared" si="2"/>
        <v>0</v>
      </c>
      <c r="P57" s="449">
        <f t="shared" si="2"/>
        <v>900</v>
      </c>
      <c r="Q57" s="449">
        <f t="shared" si="2"/>
        <v>2100</v>
      </c>
      <c r="R57" s="449">
        <f t="shared" si="2"/>
        <v>294.34000000000003</v>
      </c>
      <c r="S57" s="449">
        <f t="shared" si="2"/>
        <v>600</v>
      </c>
      <c r="T57" s="449">
        <f t="shared" si="2"/>
        <v>57459.360000000015</v>
      </c>
      <c r="U57" s="449"/>
    </row>
  </sheetData>
  <pageMargins left="0.7" right="0.7" top="0.75" bottom="0.75" header="0.3" footer="0.3"/>
  <pageSetup paperSize="9" scale="25" fitToHeight="3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B32"/>
  <sheetViews>
    <sheetView view="pageBreakPreview" topLeftCell="A22" zoomScale="40" zoomScaleNormal="85" zoomScaleSheetLayoutView="40" workbookViewId="0">
      <selection activeCell="L32" sqref="L32"/>
    </sheetView>
  </sheetViews>
  <sheetFormatPr defaultColWidth="9.140625" defaultRowHeight="15" x14ac:dyDescent="0.25"/>
  <cols>
    <col min="1" max="1" width="65.42578125" style="469" customWidth="1"/>
    <col min="2" max="2" width="22.85546875" style="469" customWidth="1"/>
    <col min="3" max="3" width="23.5703125" style="469" customWidth="1"/>
    <col min="4" max="10" width="22.85546875" style="469" customWidth="1"/>
    <col min="11" max="11" width="25.7109375" style="469" customWidth="1"/>
    <col min="12" max="12" width="29.85546875" style="469" customWidth="1"/>
    <col min="13" max="13" width="27.5703125" style="469" customWidth="1"/>
    <col min="14" max="18" width="22.85546875" style="469" customWidth="1"/>
    <col min="19" max="19" width="25.7109375" style="469" customWidth="1"/>
    <col min="20" max="21" width="22.85546875" style="469" customWidth="1"/>
    <col min="22" max="158" width="9.140625" style="469" customWidth="1"/>
  </cols>
  <sheetData>
    <row r="1" spans="1:21" s="443" customFormat="1" ht="113.25" customHeight="1" x14ac:dyDescent="0.25">
      <c r="A1" s="447" t="s">
        <v>355</v>
      </c>
      <c r="B1" s="447" t="s">
        <v>356</v>
      </c>
      <c r="C1" s="447" t="s">
        <v>357</v>
      </c>
      <c r="D1" s="447" t="s">
        <v>358</v>
      </c>
      <c r="E1" s="447" t="s">
        <v>359</v>
      </c>
      <c r="F1" s="447" t="s">
        <v>360</v>
      </c>
      <c r="G1" s="447" t="s">
        <v>361</v>
      </c>
      <c r="H1" s="447" t="s">
        <v>362</v>
      </c>
      <c r="I1" s="447" t="s">
        <v>363</v>
      </c>
      <c r="J1" s="447" t="s">
        <v>364</v>
      </c>
      <c r="K1" s="447" t="s">
        <v>365</v>
      </c>
      <c r="L1" s="447" t="s">
        <v>366</v>
      </c>
      <c r="M1" s="447" t="s">
        <v>367</v>
      </c>
      <c r="N1" s="447" t="s">
        <v>368</v>
      </c>
      <c r="O1" s="447" t="s">
        <v>369</v>
      </c>
      <c r="P1" s="447" t="s">
        <v>370</v>
      </c>
      <c r="Q1" s="447" t="s">
        <v>371</v>
      </c>
      <c r="R1" s="447" t="s">
        <v>372</v>
      </c>
      <c r="S1" s="447" t="s">
        <v>117</v>
      </c>
      <c r="T1" s="447" t="s">
        <v>11</v>
      </c>
      <c r="U1" s="447" t="s">
        <v>373</v>
      </c>
    </row>
    <row r="2" spans="1:21" ht="53.25" customHeight="1" x14ac:dyDescent="0.25">
      <c r="A2" s="451" t="s">
        <v>429</v>
      </c>
      <c r="B2" s="451" t="s">
        <v>430</v>
      </c>
      <c r="C2" s="452">
        <v>0</v>
      </c>
      <c r="D2" s="452">
        <v>0</v>
      </c>
      <c r="E2" s="452">
        <v>1</v>
      </c>
      <c r="F2" s="452">
        <v>0</v>
      </c>
      <c r="G2" s="452">
        <v>0</v>
      </c>
      <c r="H2" s="452">
        <v>0</v>
      </c>
      <c r="I2" s="452">
        <v>11.095000000000001</v>
      </c>
      <c r="J2" s="452">
        <v>0</v>
      </c>
      <c r="K2" s="452">
        <v>0</v>
      </c>
      <c r="L2" s="452">
        <v>0</v>
      </c>
      <c r="M2" s="452">
        <v>0.315</v>
      </c>
      <c r="N2" s="452">
        <v>0</v>
      </c>
      <c r="O2" s="451">
        <v>0</v>
      </c>
      <c r="P2" s="451">
        <v>0</v>
      </c>
      <c r="Q2" s="451">
        <v>0</v>
      </c>
      <c r="R2" s="451">
        <v>0</v>
      </c>
      <c r="S2" s="451">
        <v>0</v>
      </c>
      <c r="T2" s="451"/>
      <c r="U2" s="451">
        <v>2</v>
      </c>
    </row>
    <row r="3" spans="1:21" ht="53.25" customHeight="1" x14ac:dyDescent="0.25">
      <c r="A3" s="451" t="s">
        <v>431</v>
      </c>
      <c r="B3" s="451" t="s">
        <v>432</v>
      </c>
      <c r="C3" s="452">
        <v>15</v>
      </c>
      <c r="D3" s="452">
        <v>0</v>
      </c>
      <c r="E3" s="452">
        <v>6</v>
      </c>
      <c r="F3" s="452">
        <v>3</v>
      </c>
      <c r="G3" s="452">
        <v>2</v>
      </c>
      <c r="H3" s="452">
        <v>0</v>
      </c>
      <c r="I3" s="452">
        <v>20</v>
      </c>
      <c r="J3" s="452">
        <v>0</v>
      </c>
      <c r="K3" s="452">
        <v>0</v>
      </c>
      <c r="L3" s="452">
        <v>0</v>
      </c>
      <c r="M3" s="452">
        <v>29.417999999999999</v>
      </c>
      <c r="N3" s="452">
        <v>0</v>
      </c>
      <c r="O3" s="451">
        <v>0</v>
      </c>
      <c r="P3" s="451">
        <v>0</v>
      </c>
      <c r="Q3" s="451">
        <v>0</v>
      </c>
      <c r="R3" s="451">
        <v>0</v>
      </c>
      <c r="S3" s="451">
        <v>0</v>
      </c>
      <c r="T3" s="451"/>
      <c r="U3" s="451">
        <v>3</v>
      </c>
    </row>
    <row r="4" spans="1:21" ht="53.25" customHeight="1" x14ac:dyDescent="0.25">
      <c r="A4" s="451" t="s">
        <v>433</v>
      </c>
      <c r="B4" s="451" t="s">
        <v>434</v>
      </c>
      <c r="C4" s="452">
        <v>7</v>
      </c>
      <c r="D4" s="452">
        <v>0</v>
      </c>
      <c r="E4" s="452">
        <v>0</v>
      </c>
      <c r="F4" s="452">
        <v>0</v>
      </c>
      <c r="G4" s="452">
        <v>4</v>
      </c>
      <c r="H4" s="452">
        <v>0</v>
      </c>
      <c r="I4" s="452">
        <v>25.7</v>
      </c>
      <c r="J4" s="452">
        <v>0</v>
      </c>
      <c r="K4" s="452">
        <v>0</v>
      </c>
      <c r="L4" s="452">
        <v>0</v>
      </c>
      <c r="M4" s="452">
        <v>0.8</v>
      </c>
      <c r="N4" s="452">
        <v>0</v>
      </c>
      <c r="O4" s="451">
        <v>0</v>
      </c>
      <c r="P4" s="451">
        <v>0</v>
      </c>
      <c r="Q4" s="451">
        <v>0</v>
      </c>
      <c r="R4" s="451">
        <v>0</v>
      </c>
      <c r="S4" s="451">
        <v>0</v>
      </c>
      <c r="T4" s="451"/>
      <c r="U4" s="451">
        <v>4</v>
      </c>
    </row>
    <row r="5" spans="1:21" ht="53.25" customHeight="1" x14ac:dyDescent="0.25">
      <c r="A5" s="451" t="s">
        <v>435</v>
      </c>
      <c r="B5" s="451" t="s">
        <v>436</v>
      </c>
      <c r="C5" s="452">
        <v>14</v>
      </c>
      <c r="D5" s="452">
        <v>0</v>
      </c>
      <c r="E5" s="452">
        <v>4</v>
      </c>
      <c r="F5" s="452">
        <v>2</v>
      </c>
      <c r="G5" s="452">
        <v>2</v>
      </c>
      <c r="H5" s="452">
        <v>0</v>
      </c>
      <c r="I5" s="452">
        <v>10.757</v>
      </c>
      <c r="J5" s="452">
        <v>0</v>
      </c>
      <c r="K5" s="452">
        <v>0</v>
      </c>
      <c r="L5" s="452">
        <v>0</v>
      </c>
      <c r="M5" s="452">
        <v>23.29</v>
      </c>
      <c r="N5" s="452">
        <v>0</v>
      </c>
      <c r="O5" s="451">
        <v>0</v>
      </c>
      <c r="P5" s="451">
        <v>0</v>
      </c>
      <c r="Q5" s="451">
        <v>0</v>
      </c>
      <c r="R5" s="451">
        <v>0</v>
      </c>
      <c r="S5" s="451">
        <v>0</v>
      </c>
      <c r="T5" s="451"/>
      <c r="U5" s="451">
        <v>5</v>
      </c>
    </row>
    <row r="6" spans="1:21" ht="53.25" customHeight="1" x14ac:dyDescent="0.25">
      <c r="A6" s="451" t="s">
        <v>437</v>
      </c>
      <c r="B6" s="451" t="s">
        <v>438</v>
      </c>
      <c r="C6" s="452">
        <v>25</v>
      </c>
      <c r="D6" s="452">
        <v>0</v>
      </c>
      <c r="E6" s="452">
        <v>6</v>
      </c>
      <c r="F6" s="452">
        <v>5</v>
      </c>
      <c r="G6" s="452">
        <v>3</v>
      </c>
      <c r="H6" s="452">
        <v>0</v>
      </c>
      <c r="I6" s="452">
        <v>48.968000000000004</v>
      </c>
      <c r="J6" s="452">
        <v>0</v>
      </c>
      <c r="K6" s="452">
        <v>0</v>
      </c>
      <c r="L6" s="452">
        <v>0</v>
      </c>
      <c r="M6" s="452">
        <v>70.39500000000001</v>
      </c>
      <c r="N6" s="452">
        <v>0</v>
      </c>
      <c r="O6" s="451">
        <v>0</v>
      </c>
      <c r="P6" s="451">
        <v>20</v>
      </c>
      <c r="Q6" s="451">
        <v>0</v>
      </c>
      <c r="R6" s="451">
        <v>0</v>
      </c>
      <c r="S6" s="451">
        <v>0</v>
      </c>
      <c r="T6" s="451"/>
      <c r="U6" s="451">
        <v>6</v>
      </c>
    </row>
    <row r="7" spans="1:21" ht="53.25" customHeight="1" x14ac:dyDescent="0.25">
      <c r="A7" s="451" t="s">
        <v>439</v>
      </c>
      <c r="B7" s="451" t="s">
        <v>440</v>
      </c>
      <c r="C7" s="452">
        <v>6</v>
      </c>
      <c r="D7" s="452">
        <v>0</v>
      </c>
      <c r="E7" s="452">
        <v>2</v>
      </c>
      <c r="F7" s="452">
        <v>3</v>
      </c>
      <c r="G7" s="452">
        <v>1</v>
      </c>
      <c r="H7" s="452">
        <v>0</v>
      </c>
      <c r="I7" s="452">
        <v>9.92</v>
      </c>
      <c r="J7" s="452">
        <v>0</v>
      </c>
      <c r="K7" s="452">
        <v>0</v>
      </c>
      <c r="L7" s="452">
        <v>0</v>
      </c>
      <c r="M7" s="452">
        <v>21</v>
      </c>
      <c r="N7" s="452">
        <v>5</v>
      </c>
      <c r="O7" s="451">
        <v>0</v>
      </c>
      <c r="P7" s="451">
        <v>0</v>
      </c>
      <c r="Q7" s="451">
        <v>0</v>
      </c>
      <c r="R7" s="451">
        <v>0</v>
      </c>
      <c r="S7" s="451">
        <v>0</v>
      </c>
      <c r="T7" s="451"/>
      <c r="U7" s="451">
        <v>7</v>
      </c>
    </row>
    <row r="8" spans="1:21" ht="53.25" customHeight="1" x14ac:dyDescent="0.25">
      <c r="A8" s="451" t="s">
        <v>441</v>
      </c>
      <c r="B8" s="451" t="s">
        <v>442</v>
      </c>
      <c r="C8" s="452">
        <v>4</v>
      </c>
      <c r="D8" s="452">
        <v>0</v>
      </c>
      <c r="E8" s="452">
        <v>2</v>
      </c>
      <c r="F8" s="452">
        <v>1</v>
      </c>
      <c r="G8" s="452">
        <v>0</v>
      </c>
      <c r="H8" s="452">
        <v>0</v>
      </c>
      <c r="I8" s="452">
        <v>1.925</v>
      </c>
      <c r="J8" s="452">
        <v>0</v>
      </c>
      <c r="K8" s="452">
        <v>0</v>
      </c>
      <c r="L8" s="452">
        <v>0</v>
      </c>
      <c r="M8" s="452">
        <v>4.51</v>
      </c>
      <c r="N8" s="452">
        <v>0</v>
      </c>
      <c r="O8" s="451">
        <v>0</v>
      </c>
      <c r="P8" s="451">
        <v>0</v>
      </c>
      <c r="Q8" s="451">
        <v>0</v>
      </c>
      <c r="R8" s="451">
        <v>0</v>
      </c>
      <c r="S8" s="451">
        <v>0</v>
      </c>
      <c r="T8" s="451"/>
      <c r="U8" s="451">
        <v>8</v>
      </c>
    </row>
    <row r="9" spans="1:21" ht="53.25" customHeight="1" x14ac:dyDescent="0.25">
      <c r="A9" s="451" t="s">
        <v>443</v>
      </c>
      <c r="B9" s="451" t="s">
        <v>444</v>
      </c>
      <c r="C9" s="452">
        <v>15</v>
      </c>
      <c r="D9" s="452">
        <v>0</v>
      </c>
      <c r="E9" s="452">
        <v>1</v>
      </c>
      <c r="F9" s="452">
        <v>1</v>
      </c>
      <c r="G9" s="452">
        <v>3</v>
      </c>
      <c r="H9" s="452">
        <v>0</v>
      </c>
      <c r="I9" s="452">
        <v>11</v>
      </c>
      <c r="J9" s="452">
        <v>0</v>
      </c>
      <c r="K9" s="452">
        <v>0</v>
      </c>
      <c r="L9" s="452">
        <v>0</v>
      </c>
      <c r="M9" s="452">
        <v>22.047999999999998</v>
      </c>
      <c r="N9" s="452">
        <v>0</v>
      </c>
      <c r="O9" s="451">
        <v>0</v>
      </c>
      <c r="P9" s="451">
        <v>0</v>
      </c>
      <c r="Q9" s="451">
        <v>0</v>
      </c>
      <c r="R9" s="451">
        <v>0</v>
      </c>
      <c r="S9" s="451">
        <v>0</v>
      </c>
      <c r="T9" s="451"/>
      <c r="U9" s="451">
        <v>9</v>
      </c>
    </row>
    <row r="10" spans="1:21" ht="53.25" customHeight="1" x14ac:dyDescent="0.25">
      <c r="A10" s="451" t="s">
        <v>445</v>
      </c>
      <c r="B10" s="451" t="s">
        <v>446</v>
      </c>
      <c r="C10" s="452">
        <v>0</v>
      </c>
      <c r="D10" s="452">
        <v>0</v>
      </c>
      <c r="E10" s="452">
        <v>2</v>
      </c>
      <c r="F10" s="452">
        <v>4</v>
      </c>
      <c r="G10" s="452">
        <v>2</v>
      </c>
      <c r="H10" s="452">
        <v>0</v>
      </c>
      <c r="I10" s="452">
        <v>22.7</v>
      </c>
      <c r="J10" s="452">
        <v>0</v>
      </c>
      <c r="K10" s="452">
        <v>0</v>
      </c>
      <c r="L10" s="452">
        <v>0</v>
      </c>
      <c r="M10" s="452">
        <v>0.54</v>
      </c>
      <c r="N10" s="452">
        <v>0</v>
      </c>
      <c r="O10" s="451">
        <v>0</v>
      </c>
      <c r="P10" s="451">
        <v>0</v>
      </c>
      <c r="Q10" s="451">
        <v>0</v>
      </c>
      <c r="R10" s="451">
        <v>0</v>
      </c>
      <c r="S10" s="451">
        <v>0</v>
      </c>
      <c r="T10" s="451"/>
      <c r="U10" s="451">
        <v>10</v>
      </c>
    </row>
    <row r="11" spans="1:21" ht="53.25" customHeight="1" x14ac:dyDescent="0.25">
      <c r="A11" s="451" t="s">
        <v>447</v>
      </c>
      <c r="B11" s="451" t="s">
        <v>448</v>
      </c>
      <c r="C11" s="452">
        <v>15</v>
      </c>
      <c r="D11" s="452">
        <v>0</v>
      </c>
      <c r="E11" s="452">
        <v>6</v>
      </c>
      <c r="F11" s="452">
        <v>9</v>
      </c>
      <c r="G11" s="452">
        <v>5</v>
      </c>
      <c r="H11" s="452">
        <v>0</v>
      </c>
      <c r="I11" s="452">
        <v>30.058</v>
      </c>
      <c r="J11" s="452">
        <v>0</v>
      </c>
      <c r="K11" s="452">
        <v>0</v>
      </c>
      <c r="L11" s="452">
        <v>0</v>
      </c>
      <c r="M11" s="452">
        <v>23.815000000000001</v>
      </c>
      <c r="N11" s="452">
        <v>1</v>
      </c>
      <c r="O11" s="451">
        <v>0</v>
      </c>
      <c r="P11" s="451">
        <v>0</v>
      </c>
      <c r="Q11" s="451">
        <v>0</v>
      </c>
      <c r="R11" s="451">
        <v>0</v>
      </c>
      <c r="S11" s="451">
        <v>0</v>
      </c>
      <c r="T11" s="451"/>
      <c r="U11" s="451">
        <v>11</v>
      </c>
    </row>
    <row r="12" spans="1:21" ht="53.25" customHeight="1" x14ac:dyDescent="0.25">
      <c r="A12" s="451" t="s">
        <v>449</v>
      </c>
      <c r="B12" s="451" t="s">
        <v>450</v>
      </c>
      <c r="C12" s="452">
        <v>2</v>
      </c>
      <c r="D12" s="452">
        <v>0</v>
      </c>
      <c r="E12" s="452">
        <v>3</v>
      </c>
      <c r="F12" s="452">
        <v>2</v>
      </c>
      <c r="G12" s="452">
        <v>0</v>
      </c>
      <c r="H12" s="452">
        <v>0</v>
      </c>
      <c r="I12" s="452">
        <v>11.97</v>
      </c>
      <c r="J12" s="452">
        <v>0</v>
      </c>
      <c r="K12" s="452">
        <v>0</v>
      </c>
      <c r="L12" s="452">
        <v>0</v>
      </c>
      <c r="M12" s="452">
        <v>3.0710000000000002</v>
      </c>
      <c r="N12" s="452">
        <v>1</v>
      </c>
      <c r="O12" s="451">
        <v>0</v>
      </c>
      <c r="P12" s="451">
        <v>0</v>
      </c>
      <c r="Q12" s="451">
        <v>0</v>
      </c>
      <c r="R12" s="451">
        <v>0</v>
      </c>
      <c r="S12" s="451">
        <v>0</v>
      </c>
      <c r="T12" s="451"/>
      <c r="U12" s="451">
        <v>12</v>
      </c>
    </row>
    <row r="13" spans="1:21" ht="53.25" customHeight="1" x14ac:dyDescent="0.25">
      <c r="A13" s="451" t="s">
        <v>451</v>
      </c>
      <c r="B13" s="451" t="s">
        <v>452</v>
      </c>
      <c r="C13" s="452">
        <v>15</v>
      </c>
      <c r="D13" s="452">
        <v>0</v>
      </c>
      <c r="E13" s="452">
        <v>4</v>
      </c>
      <c r="F13" s="452">
        <v>6</v>
      </c>
      <c r="G13" s="452">
        <v>4</v>
      </c>
      <c r="H13" s="452">
        <v>0</v>
      </c>
      <c r="I13" s="452">
        <v>87.983000000000004</v>
      </c>
      <c r="J13" s="452">
        <v>0</v>
      </c>
      <c r="K13" s="452">
        <v>0</v>
      </c>
      <c r="L13" s="452">
        <v>0</v>
      </c>
      <c r="M13" s="452">
        <v>38.465000000000003</v>
      </c>
      <c r="N13" s="452">
        <v>0</v>
      </c>
      <c r="O13" s="451">
        <v>0</v>
      </c>
      <c r="P13" s="451">
        <v>0</v>
      </c>
      <c r="Q13" s="451">
        <v>0</v>
      </c>
      <c r="R13" s="451">
        <v>0</v>
      </c>
      <c r="S13" s="451">
        <v>0</v>
      </c>
      <c r="T13" s="451"/>
      <c r="U13" s="451">
        <v>13</v>
      </c>
    </row>
    <row r="14" spans="1:21" ht="53.25" customHeight="1" x14ac:dyDescent="0.25">
      <c r="A14" s="451" t="s">
        <v>453</v>
      </c>
      <c r="B14" s="451" t="s">
        <v>454</v>
      </c>
      <c r="C14" s="452">
        <v>0</v>
      </c>
      <c r="D14" s="452">
        <v>0</v>
      </c>
      <c r="E14" s="452">
        <v>0</v>
      </c>
      <c r="F14" s="452">
        <v>0</v>
      </c>
      <c r="G14" s="452">
        <v>0</v>
      </c>
      <c r="H14" s="452">
        <v>0</v>
      </c>
      <c r="I14" s="452">
        <v>0</v>
      </c>
      <c r="J14" s="452">
        <v>0</v>
      </c>
      <c r="K14" s="452">
        <v>0</v>
      </c>
      <c r="L14" s="452">
        <v>0</v>
      </c>
      <c r="M14" s="452">
        <v>0</v>
      </c>
      <c r="N14" s="452">
        <v>0</v>
      </c>
      <c r="O14" s="451">
        <v>0</v>
      </c>
      <c r="P14" s="451">
        <v>0</v>
      </c>
      <c r="Q14" s="451">
        <v>0</v>
      </c>
      <c r="R14" s="451">
        <v>0</v>
      </c>
      <c r="S14" s="451">
        <v>0</v>
      </c>
      <c r="T14" s="451"/>
      <c r="U14" s="451">
        <v>14</v>
      </c>
    </row>
    <row r="15" spans="1:21" ht="53.25" customHeight="1" x14ac:dyDescent="0.25">
      <c r="A15" s="451" t="s">
        <v>455</v>
      </c>
      <c r="B15" s="451" t="s">
        <v>456</v>
      </c>
      <c r="C15" s="452">
        <v>9</v>
      </c>
      <c r="D15" s="452">
        <v>0</v>
      </c>
      <c r="E15" s="452">
        <v>2</v>
      </c>
      <c r="F15" s="452">
        <v>7</v>
      </c>
      <c r="G15" s="452">
        <v>6</v>
      </c>
      <c r="H15" s="452">
        <v>0</v>
      </c>
      <c r="I15" s="452">
        <v>50.508000000000003</v>
      </c>
      <c r="J15" s="452">
        <v>0</v>
      </c>
      <c r="K15" s="452">
        <v>0</v>
      </c>
      <c r="L15" s="452">
        <v>0</v>
      </c>
      <c r="M15" s="452">
        <v>16.54</v>
      </c>
      <c r="N15" s="452">
        <v>0</v>
      </c>
      <c r="O15" s="451">
        <v>0</v>
      </c>
      <c r="P15" s="451">
        <v>0</v>
      </c>
      <c r="Q15" s="451">
        <v>0</v>
      </c>
      <c r="R15" s="451">
        <v>0</v>
      </c>
      <c r="S15" s="451">
        <v>0</v>
      </c>
      <c r="T15" s="451"/>
      <c r="U15" s="451">
        <v>15</v>
      </c>
    </row>
    <row r="16" spans="1:21" ht="53.25" customHeight="1" x14ac:dyDescent="0.25">
      <c r="A16" s="451" t="s">
        <v>457</v>
      </c>
      <c r="B16" s="451" t="s">
        <v>458</v>
      </c>
      <c r="C16" s="452">
        <v>0</v>
      </c>
      <c r="D16" s="452">
        <v>0</v>
      </c>
      <c r="E16" s="452">
        <v>0</v>
      </c>
      <c r="F16" s="452">
        <v>0</v>
      </c>
      <c r="G16" s="452">
        <v>0</v>
      </c>
      <c r="H16" s="452">
        <v>0</v>
      </c>
      <c r="I16" s="452">
        <v>0</v>
      </c>
      <c r="J16" s="452">
        <v>1.22</v>
      </c>
      <c r="K16" s="452">
        <v>0</v>
      </c>
      <c r="L16" s="452">
        <v>0</v>
      </c>
      <c r="M16" s="452">
        <v>0</v>
      </c>
      <c r="N16" s="452">
        <v>0</v>
      </c>
      <c r="O16" s="451">
        <v>0</v>
      </c>
      <c r="P16" s="451">
        <v>0</v>
      </c>
      <c r="Q16" s="451">
        <v>0</v>
      </c>
      <c r="R16" s="451">
        <v>2</v>
      </c>
      <c r="S16" s="451">
        <v>0</v>
      </c>
      <c r="T16" s="451"/>
      <c r="U16" s="451">
        <v>16</v>
      </c>
    </row>
    <row r="17" spans="1:21" ht="53.25" customHeight="1" x14ac:dyDescent="0.25">
      <c r="A17" s="451" t="s">
        <v>459</v>
      </c>
      <c r="B17" s="451" t="s">
        <v>460</v>
      </c>
      <c r="C17" s="452">
        <v>0</v>
      </c>
      <c r="D17" s="452">
        <v>0</v>
      </c>
      <c r="E17" s="452">
        <v>0</v>
      </c>
      <c r="F17" s="452">
        <v>0</v>
      </c>
      <c r="G17" s="452">
        <v>0</v>
      </c>
      <c r="H17" s="452">
        <v>0</v>
      </c>
      <c r="I17" s="452">
        <v>0</v>
      </c>
      <c r="J17" s="452">
        <v>2.1509999999999998</v>
      </c>
      <c r="K17" s="452">
        <v>0</v>
      </c>
      <c r="L17" s="452">
        <v>0</v>
      </c>
      <c r="M17" s="452">
        <v>0</v>
      </c>
      <c r="N17" s="452">
        <v>0</v>
      </c>
      <c r="O17" s="451">
        <v>0</v>
      </c>
      <c r="P17" s="451">
        <v>0</v>
      </c>
      <c r="Q17" s="451">
        <v>0</v>
      </c>
      <c r="R17" s="451">
        <v>3</v>
      </c>
      <c r="S17" s="451">
        <v>0</v>
      </c>
      <c r="T17" s="451"/>
      <c r="U17" s="451">
        <v>17</v>
      </c>
    </row>
    <row r="18" spans="1:21" ht="53.25" customHeight="1" x14ac:dyDescent="0.25">
      <c r="A18" s="451" t="s">
        <v>461</v>
      </c>
      <c r="B18" s="451" t="s">
        <v>462</v>
      </c>
      <c r="C18" s="452">
        <v>0</v>
      </c>
      <c r="D18" s="452">
        <v>0</v>
      </c>
      <c r="E18" s="452">
        <v>0</v>
      </c>
      <c r="F18" s="452">
        <v>0</v>
      </c>
      <c r="G18" s="452">
        <v>0</v>
      </c>
      <c r="H18" s="452">
        <v>0</v>
      </c>
      <c r="I18" s="452">
        <v>0</v>
      </c>
      <c r="J18" s="452">
        <v>8.18</v>
      </c>
      <c r="K18" s="452">
        <v>0</v>
      </c>
      <c r="L18" s="452">
        <v>0</v>
      </c>
      <c r="M18" s="452">
        <v>0</v>
      </c>
      <c r="N18" s="452">
        <v>0</v>
      </c>
      <c r="O18" s="451">
        <v>0</v>
      </c>
      <c r="P18" s="451">
        <v>0</v>
      </c>
      <c r="Q18" s="451">
        <v>0</v>
      </c>
      <c r="R18" s="451">
        <v>2</v>
      </c>
      <c r="S18" s="451">
        <v>0</v>
      </c>
      <c r="T18" s="451"/>
      <c r="U18" s="451">
        <v>18</v>
      </c>
    </row>
    <row r="19" spans="1:21" ht="53.25" customHeight="1" x14ac:dyDescent="0.25">
      <c r="A19" s="451" t="s">
        <v>463</v>
      </c>
      <c r="B19" s="451" t="s">
        <v>464</v>
      </c>
      <c r="C19" s="452">
        <v>0</v>
      </c>
      <c r="D19" s="452">
        <v>0</v>
      </c>
      <c r="E19" s="452">
        <v>0</v>
      </c>
      <c r="F19" s="452">
        <v>0</v>
      </c>
      <c r="G19" s="452">
        <v>0</v>
      </c>
      <c r="H19" s="452">
        <v>0</v>
      </c>
      <c r="I19" s="452">
        <v>0</v>
      </c>
      <c r="J19" s="452">
        <v>0</v>
      </c>
      <c r="K19" s="452">
        <v>0</v>
      </c>
      <c r="L19" s="452">
        <v>0</v>
      </c>
      <c r="M19" s="452">
        <v>0</v>
      </c>
      <c r="N19" s="452">
        <v>0</v>
      </c>
      <c r="O19" s="451">
        <v>0</v>
      </c>
      <c r="P19" s="451">
        <v>0</v>
      </c>
      <c r="Q19" s="451">
        <v>0</v>
      </c>
      <c r="R19" s="451">
        <v>6</v>
      </c>
      <c r="S19" s="451">
        <v>0</v>
      </c>
      <c r="T19" s="451"/>
      <c r="U19" s="451">
        <v>19</v>
      </c>
    </row>
    <row r="20" spans="1:21" ht="53.25" customHeight="1" x14ac:dyDescent="0.25">
      <c r="A20" s="451" t="s">
        <v>465</v>
      </c>
      <c r="B20" s="451" t="s">
        <v>466</v>
      </c>
      <c r="C20" s="452">
        <v>0</v>
      </c>
      <c r="D20" s="452">
        <v>0</v>
      </c>
      <c r="E20" s="452">
        <v>0</v>
      </c>
      <c r="F20" s="452">
        <v>0</v>
      </c>
      <c r="G20" s="452">
        <v>0</v>
      </c>
      <c r="H20" s="452">
        <v>0</v>
      </c>
      <c r="I20" s="452">
        <v>0</v>
      </c>
      <c r="J20" s="452">
        <v>0</v>
      </c>
      <c r="K20" s="452">
        <v>0</v>
      </c>
      <c r="L20" s="452">
        <v>0</v>
      </c>
      <c r="M20" s="452">
        <v>0</v>
      </c>
      <c r="N20" s="452">
        <v>0</v>
      </c>
      <c r="O20" s="451">
        <v>0</v>
      </c>
      <c r="P20" s="451">
        <v>0</v>
      </c>
      <c r="Q20" s="451">
        <v>0</v>
      </c>
      <c r="R20" s="451">
        <v>9</v>
      </c>
      <c r="S20" s="451">
        <v>0</v>
      </c>
      <c r="T20" s="451"/>
      <c r="U20" s="451">
        <v>20</v>
      </c>
    </row>
    <row r="21" spans="1:21" ht="53.25" customHeight="1" x14ac:dyDescent="0.25">
      <c r="A21" s="451" t="s">
        <v>467</v>
      </c>
      <c r="B21" s="451" t="s">
        <v>468</v>
      </c>
      <c r="C21" s="452">
        <v>0</v>
      </c>
      <c r="D21" s="452">
        <v>0</v>
      </c>
      <c r="E21" s="452">
        <v>0</v>
      </c>
      <c r="F21" s="452">
        <v>0</v>
      </c>
      <c r="G21" s="452">
        <v>0</v>
      </c>
      <c r="H21" s="452">
        <v>0</v>
      </c>
      <c r="I21" s="452">
        <v>0</v>
      </c>
      <c r="J21" s="452">
        <v>0</v>
      </c>
      <c r="K21" s="452">
        <v>0</v>
      </c>
      <c r="L21" s="452">
        <v>0</v>
      </c>
      <c r="M21" s="452">
        <v>0</v>
      </c>
      <c r="N21" s="452">
        <v>0</v>
      </c>
      <c r="O21" s="451">
        <v>0</v>
      </c>
      <c r="P21" s="451">
        <v>0</v>
      </c>
      <c r="Q21" s="451">
        <v>0</v>
      </c>
      <c r="R21" s="451">
        <v>0</v>
      </c>
      <c r="S21" s="451">
        <v>0</v>
      </c>
      <c r="T21" s="451"/>
      <c r="U21" s="451">
        <v>21</v>
      </c>
    </row>
    <row r="22" spans="1:21" s="453" customFormat="1" ht="53.25" customHeight="1" x14ac:dyDescent="0.25">
      <c r="A22" s="452" t="s">
        <v>469</v>
      </c>
      <c r="B22" s="452" t="s">
        <v>470</v>
      </c>
      <c r="C22" s="452">
        <v>0</v>
      </c>
      <c r="D22" s="452">
        <v>2</v>
      </c>
      <c r="E22" s="452">
        <v>0</v>
      </c>
      <c r="F22" s="452">
        <v>0</v>
      </c>
      <c r="G22" s="452">
        <v>0</v>
      </c>
      <c r="H22" s="452">
        <v>0</v>
      </c>
      <c r="I22" s="452">
        <v>0</v>
      </c>
      <c r="J22" s="452">
        <v>3.3119999999999998</v>
      </c>
      <c r="K22" s="452">
        <v>0</v>
      </c>
      <c r="L22" s="452">
        <v>26.952000000000002</v>
      </c>
      <c r="M22" s="452">
        <v>0</v>
      </c>
      <c r="N22" s="452">
        <v>0</v>
      </c>
      <c r="O22" s="452">
        <v>0</v>
      </c>
      <c r="P22" s="452">
        <v>0</v>
      </c>
      <c r="Q22" s="452">
        <v>0</v>
      </c>
      <c r="R22" s="452">
        <v>4</v>
      </c>
      <c r="S22" s="452">
        <v>0</v>
      </c>
      <c r="T22" s="452"/>
      <c r="U22" s="452">
        <v>22</v>
      </c>
    </row>
    <row r="23" spans="1:21" s="453" customFormat="1" ht="53.25" customHeight="1" x14ac:dyDescent="0.25">
      <c r="A23" s="452" t="s">
        <v>471</v>
      </c>
      <c r="B23" s="452" t="s">
        <v>472</v>
      </c>
      <c r="C23" s="452">
        <v>0</v>
      </c>
      <c r="D23" s="452">
        <v>2</v>
      </c>
      <c r="E23" s="452">
        <v>0</v>
      </c>
      <c r="F23" s="452">
        <v>0</v>
      </c>
      <c r="G23" s="452">
        <v>0</v>
      </c>
      <c r="H23" s="452">
        <v>0</v>
      </c>
      <c r="I23" s="452">
        <v>0</v>
      </c>
      <c r="J23" s="452">
        <v>19.695</v>
      </c>
      <c r="K23" s="452">
        <v>0</v>
      </c>
      <c r="L23" s="452">
        <v>22.4</v>
      </c>
      <c r="M23" s="452">
        <v>0</v>
      </c>
      <c r="N23" s="452">
        <v>0</v>
      </c>
      <c r="O23" s="452">
        <v>0</v>
      </c>
      <c r="P23" s="452">
        <v>0</v>
      </c>
      <c r="Q23" s="452">
        <v>0</v>
      </c>
      <c r="R23" s="452">
        <v>0</v>
      </c>
      <c r="S23" s="452">
        <v>0</v>
      </c>
      <c r="T23" s="452"/>
      <c r="U23" s="452">
        <v>23</v>
      </c>
    </row>
    <row r="24" spans="1:21" s="453" customFormat="1" ht="53.25" customHeight="1" x14ac:dyDescent="0.25">
      <c r="A24" s="452" t="s">
        <v>473</v>
      </c>
      <c r="B24" s="452" t="s">
        <v>474</v>
      </c>
      <c r="C24" s="452">
        <v>0</v>
      </c>
      <c r="D24" s="452">
        <v>1</v>
      </c>
      <c r="E24" s="452">
        <v>0</v>
      </c>
      <c r="F24" s="452">
        <v>0</v>
      </c>
      <c r="G24" s="452">
        <v>0</v>
      </c>
      <c r="H24" s="452">
        <v>0</v>
      </c>
      <c r="I24" s="452">
        <v>0</v>
      </c>
      <c r="J24" s="452">
        <v>13.27</v>
      </c>
      <c r="K24" s="452">
        <v>35.520000000000003</v>
      </c>
      <c r="L24" s="452">
        <v>0</v>
      </c>
      <c r="M24" s="452">
        <v>0</v>
      </c>
      <c r="N24" s="452">
        <v>0</v>
      </c>
      <c r="O24" s="452">
        <v>0</v>
      </c>
      <c r="P24" s="452">
        <v>0</v>
      </c>
      <c r="Q24" s="452">
        <v>0</v>
      </c>
      <c r="R24" s="452">
        <v>10</v>
      </c>
      <c r="S24" s="452">
        <v>0</v>
      </c>
      <c r="T24" s="452"/>
      <c r="U24" s="452">
        <v>24</v>
      </c>
    </row>
    <row r="25" spans="1:21" ht="53.25" customHeight="1" x14ac:dyDescent="0.25">
      <c r="A25" s="451" t="s">
        <v>475</v>
      </c>
      <c r="B25" s="451" t="s">
        <v>476</v>
      </c>
      <c r="C25" s="452">
        <v>0</v>
      </c>
      <c r="D25" s="452">
        <v>0</v>
      </c>
      <c r="E25" s="452">
        <v>0</v>
      </c>
      <c r="F25" s="452">
        <v>0</v>
      </c>
      <c r="G25" s="452">
        <v>0</v>
      </c>
      <c r="H25" s="452">
        <v>0</v>
      </c>
      <c r="I25" s="452">
        <v>0</v>
      </c>
      <c r="J25" s="452">
        <v>30.98</v>
      </c>
      <c r="K25" s="452">
        <v>20.9</v>
      </c>
      <c r="L25" s="452">
        <v>0</v>
      </c>
      <c r="M25" s="452">
        <v>0</v>
      </c>
      <c r="N25" s="452">
        <v>0</v>
      </c>
      <c r="O25" s="451">
        <v>0</v>
      </c>
      <c r="P25" s="451">
        <v>0</v>
      </c>
      <c r="Q25" s="451">
        <v>0</v>
      </c>
      <c r="R25" s="451">
        <v>16</v>
      </c>
      <c r="S25" s="451">
        <v>0</v>
      </c>
      <c r="T25" s="451"/>
      <c r="U25" s="451">
        <v>25</v>
      </c>
    </row>
    <row r="26" spans="1:21" ht="53.25" customHeight="1" x14ac:dyDescent="0.25">
      <c r="A26" s="451" t="s">
        <v>477</v>
      </c>
      <c r="B26" s="451" t="s">
        <v>478</v>
      </c>
      <c r="C26" s="452">
        <v>0</v>
      </c>
      <c r="D26" s="452">
        <v>0</v>
      </c>
      <c r="E26" s="452">
        <v>0</v>
      </c>
      <c r="F26" s="452">
        <v>0</v>
      </c>
      <c r="G26" s="452">
        <v>0</v>
      </c>
      <c r="H26" s="452">
        <v>0</v>
      </c>
      <c r="I26" s="452">
        <v>0</v>
      </c>
      <c r="J26" s="452">
        <v>6.133</v>
      </c>
      <c r="K26" s="452">
        <v>10.69</v>
      </c>
      <c r="L26" s="452">
        <v>3.56</v>
      </c>
      <c r="M26" s="452">
        <v>0</v>
      </c>
      <c r="N26" s="452">
        <v>0</v>
      </c>
      <c r="O26" s="451">
        <v>0</v>
      </c>
      <c r="P26" s="451">
        <v>0</v>
      </c>
      <c r="Q26" s="451">
        <v>0</v>
      </c>
      <c r="R26" s="451">
        <v>6</v>
      </c>
      <c r="S26" s="451">
        <v>0</v>
      </c>
      <c r="T26" s="451"/>
      <c r="U26" s="451">
        <v>26</v>
      </c>
    </row>
    <row r="27" spans="1:21" ht="53.25" customHeight="1" x14ac:dyDescent="0.25">
      <c r="A27" s="451" t="s">
        <v>479</v>
      </c>
      <c r="B27" s="451" t="s">
        <v>480</v>
      </c>
      <c r="C27" s="452">
        <v>0</v>
      </c>
      <c r="D27" s="452">
        <v>0</v>
      </c>
      <c r="E27" s="452">
        <v>0</v>
      </c>
      <c r="F27" s="452">
        <v>0</v>
      </c>
      <c r="G27" s="452">
        <v>0</v>
      </c>
      <c r="H27" s="452">
        <v>0</v>
      </c>
      <c r="I27" s="452">
        <v>0</v>
      </c>
      <c r="J27" s="452">
        <v>10.195</v>
      </c>
      <c r="K27" s="452">
        <v>0</v>
      </c>
      <c r="L27" s="452">
        <v>5</v>
      </c>
      <c r="M27" s="452">
        <v>0</v>
      </c>
      <c r="N27" s="452">
        <v>0</v>
      </c>
      <c r="O27" s="451">
        <v>0</v>
      </c>
      <c r="P27" s="451">
        <v>0</v>
      </c>
      <c r="Q27" s="451">
        <v>0</v>
      </c>
      <c r="R27" s="451">
        <v>16</v>
      </c>
      <c r="S27" s="451">
        <v>0</v>
      </c>
      <c r="T27" s="451"/>
      <c r="U27" s="451">
        <v>27</v>
      </c>
    </row>
    <row r="28" spans="1:21" ht="53.25" customHeight="1" x14ac:dyDescent="0.25">
      <c r="A28" s="451" t="s">
        <v>481</v>
      </c>
      <c r="B28" s="451" t="s">
        <v>482</v>
      </c>
      <c r="C28" s="452">
        <v>0</v>
      </c>
      <c r="D28" s="452">
        <v>0</v>
      </c>
      <c r="E28" s="452">
        <v>0</v>
      </c>
      <c r="F28" s="452">
        <v>0</v>
      </c>
      <c r="G28" s="452">
        <v>0</v>
      </c>
      <c r="H28" s="452">
        <v>0</v>
      </c>
      <c r="I28" s="452">
        <v>0</v>
      </c>
      <c r="J28" s="452">
        <v>13.837999999999999</v>
      </c>
      <c r="K28" s="452">
        <v>0</v>
      </c>
      <c r="L28" s="452">
        <v>0</v>
      </c>
      <c r="M28" s="452">
        <v>0</v>
      </c>
      <c r="N28" s="452">
        <v>0</v>
      </c>
      <c r="O28" s="451">
        <v>0</v>
      </c>
      <c r="P28" s="451">
        <v>0</v>
      </c>
      <c r="Q28" s="451">
        <v>0</v>
      </c>
      <c r="R28" s="451">
        <v>8</v>
      </c>
      <c r="S28" s="451">
        <v>0</v>
      </c>
      <c r="T28" s="451"/>
      <c r="U28" s="451">
        <v>28</v>
      </c>
    </row>
    <row r="29" spans="1:21" ht="53.25" customHeight="1" x14ac:dyDescent="0.25">
      <c r="A29" s="451" t="s">
        <v>483</v>
      </c>
      <c r="B29" s="451" t="s">
        <v>484</v>
      </c>
      <c r="C29" s="452">
        <v>0</v>
      </c>
      <c r="D29" s="452">
        <v>0</v>
      </c>
      <c r="E29" s="452">
        <v>0</v>
      </c>
      <c r="F29" s="452">
        <v>0</v>
      </c>
      <c r="G29" s="452">
        <v>0</v>
      </c>
      <c r="H29" s="452">
        <v>0</v>
      </c>
      <c r="I29" s="452">
        <v>0</v>
      </c>
      <c r="J29" s="452">
        <v>0</v>
      </c>
      <c r="K29" s="452">
        <v>0</v>
      </c>
      <c r="L29" s="452">
        <v>0</v>
      </c>
      <c r="M29" s="452">
        <v>0</v>
      </c>
      <c r="N29" s="452">
        <v>0</v>
      </c>
      <c r="O29" s="451">
        <v>0</v>
      </c>
      <c r="P29" s="451">
        <v>0</v>
      </c>
      <c r="Q29" s="451">
        <v>0</v>
      </c>
      <c r="R29" s="451">
        <v>2</v>
      </c>
      <c r="S29" s="451">
        <v>0</v>
      </c>
      <c r="T29" s="451"/>
      <c r="U29" s="451">
        <v>29</v>
      </c>
    </row>
    <row r="30" spans="1:21" ht="53.25" customHeight="1" x14ac:dyDescent="0.25">
      <c r="A30" s="451" t="s">
        <v>485</v>
      </c>
      <c r="B30" s="451" t="s">
        <v>486</v>
      </c>
      <c r="C30" s="452">
        <v>0</v>
      </c>
      <c r="D30" s="452">
        <v>0</v>
      </c>
      <c r="E30" s="452">
        <v>0</v>
      </c>
      <c r="F30" s="452">
        <v>0</v>
      </c>
      <c r="G30" s="452">
        <v>0</v>
      </c>
      <c r="H30" s="452">
        <v>0</v>
      </c>
      <c r="I30" s="452">
        <v>0</v>
      </c>
      <c r="J30" s="452">
        <v>0</v>
      </c>
      <c r="K30" s="452">
        <v>0</v>
      </c>
      <c r="L30" s="452">
        <v>0</v>
      </c>
      <c r="M30" s="452">
        <v>0</v>
      </c>
      <c r="N30" s="452">
        <v>0</v>
      </c>
      <c r="O30" s="451">
        <v>0</v>
      </c>
      <c r="P30" s="451">
        <v>0</v>
      </c>
      <c r="Q30" s="451">
        <v>0</v>
      </c>
      <c r="R30" s="451">
        <v>2</v>
      </c>
      <c r="S30" s="451">
        <v>0</v>
      </c>
      <c r="T30" s="451"/>
      <c r="U30" s="451">
        <v>30</v>
      </c>
    </row>
    <row r="31" spans="1:21" ht="53.25" customHeight="1" x14ac:dyDescent="0.25">
      <c r="A31" s="451" t="s">
        <v>487</v>
      </c>
      <c r="B31" s="451" t="s">
        <v>488</v>
      </c>
      <c r="C31" s="452">
        <v>0</v>
      </c>
      <c r="D31" s="452">
        <v>0</v>
      </c>
      <c r="E31" s="452">
        <v>0</v>
      </c>
      <c r="F31" s="452">
        <v>0</v>
      </c>
      <c r="G31" s="452">
        <v>0</v>
      </c>
      <c r="H31" s="452">
        <v>0</v>
      </c>
      <c r="I31" s="452">
        <v>0</v>
      </c>
      <c r="J31" s="452">
        <v>0</v>
      </c>
      <c r="K31" s="452">
        <v>0</v>
      </c>
      <c r="L31" s="452">
        <v>0</v>
      </c>
      <c r="M31" s="452">
        <v>0</v>
      </c>
      <c r="N31" s="452">
        <v>0</v>
      </c>
      <c r="O31" s="451">
        <v>0</v>
      </c>
      <c r="P31" s="451">
        <v>0</v>
      </c>
      <c r="Q31" s="451">
        <v>60</v>
      </c>
      <c r="R31" s="451">
        <v>0</v>
      </c>
      <c r="S31" s="451">
        <v>2</v>
      </c>
      <c r="T31" s="451"/>
      <c r="U31" s="451">
        <v>31</v>
      </c>
    </row>
    <row r="32" spans="1:21" ht="33" customHeight="1" x14ac:dyDescent="0.25">
      <c r="A32" s="452" t="s">
        <v>11</v>
      </c>
      <c r="B32" s="454"/>
      <c r="C32" s="452">
        <f t="shared" ref="C32:T32" si="0">SUM(C2:C31)</f>
        <v>127</v>
      </c>
      <c r="D32" s="452">
        <f t="shared" si="0"/>
        <v>5</v>
      </c>
      <c r="E32" s="452">
        <f t="shared" si="0"/>
        <v>39</v>
      </c>
      <c r="F32" s="452">
        <f t="shared" si="0"/>
        <v>43</v>
      </c>
      <c r="G32" s="452">
        <f t="shared" si="0"/>
        <v>32</v>
      </c>
      <c r="H32" s="452">
        <f t="shared" si="0"/>
        <v>0</v>
      </c>
      <c r="I32" s="452">
        <f t="shared" si="0"/>
        <v>342.584</v>
      </c>
      <c r="J32" s="452">
        <f t="shared" si="0"/>
        <v>108.97399999999999</v>
      </c>
      <c r="K32" s="452">
        <f t="shared" si="0"/>
        <v>67.11</v>
      </c>
      <c r="L32" s="452">
        <f t="shared" si="0"/>
        <v>57.912000000000006</v>
      </c>
      <c r="M32" s="452">
        <f t="shared" si="0"/>
        <v>254.20699999999999</v>
      </c>
      <c r="N32" s="452">
        <f t="shared" si="0"/>
        <v>7</v>
      </c>
      <c r="O32" s="452">
        <f t="shared" si="0"/>
        <v>0</v>
      </c>
      <c r="P32" s="452">
        <f t="shared" si="0"/>
        <v>20</v>
      </c>
      <c r="Q32" s="452">
        <f t="shared" si="0"/>
        <v>60</v>
      </c>
      <c r="R32" s="452">
        <f t="shared" si="0"/>
        <v>86</v>
      </c>
      <c r="S32" s="452">
        <f t="shared" si="0"/>
        <v>2</v>
      </c>
      <c r="T32" s="452">
        <f t="shared" si="0"/>
        <v>0</v>
      </c>
      <c r="U32" s="452"/>
    </row>
  </sheetData>
  <pageMargins left="0.7" right="0.7" top="0.75" bottom="0.75" header="0.3" footer="0.3"/>
  <pageSetup paperSize="9" scale="24" fitToHeight="6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"/>
  <sheetViews>
    <sheetView zoomScale="160" zoomScaleNormal="160" workbookViewId="0">
      <selection activeCell="A11" sqref="A11"/>
    </sheetView>
  </sheetViews>
  <sheetFormatPr defaultRowHeight="15" x14ac:dyDescent="0.25"/>
  <cols>
    <col min="1" max="1" width="24.28515625" style="469" customWidth="1"/>
    <col min="2" max="3" width="9.85546875" style="469" customWidth="1"/>
    <col min="4" max="4" width="14.5703125" style="469" customWidth="1"/>
    <col min="5" max="5" width="14" style="469" customWidth="1"/>
    <col min="6" max="6" width="15.140625" style="469" customWidth="1"/>
    <col min="7" max="32" width="8.7109375" style="469" customWidth="1"/>
  </cols>
  <sheetData>
    <row r="1" spans="1:6" x14ac:dyDescent="0.25">
      <c r="A1" s="468" t="s">
        <v>122</v>
      </c>
      <c r="B1" s="468" t="s">
        <v>489</v>
      </c>
      <c r="C1" s="468" t="s">
        <v>490</v>
      </c>
      <c r="D1" s="468" t="s">
        <v>491</v>
      </c>
      <c r="E1" s="468" t="s">
        <v>492</v>
      </c>
      <c r="F1" s="468" t="s">
        <v>493</v>
      </c>
    </row>
    <row r="2" spans="1:6" s="482" customFormat="1" x14ac:dyDescent="0.25">
      <c r="A2" s="454" t="s">
        <v>494</v>
      </c>
      <c r="B2" s="481">
        <v>1</v>
      </c>
      <c r="C2" s="481">
        <v>2</v>
      </c>
      <c r="D2" s="486">
        <v>5403.27</v>
      </c>
      <c r="E2" s="486">
        <v>5398.27</v>
      </c>
      <c r="F2" s="486">
        <v>-5</v>
      </c>
    </row>
    <row r="3" spans="1:6" s="482" customFormat="1" x14ac:dyDescent="0.25">
      <c r="A3" s="454" t="s">
        <v>495</v>
      </c>
      <c r="B3" s="481">
        <v>2</v>
      </c>
      <c r="C3" s="481">
        <v>3</v>
      </c>
      <c r="D3" s="486">
        <v>350</v>
      </c>
      <c r="E3" s="486">
        <v>300</v>
      </c>
      <c r="F3" s="486">
        <v>-50</v>
      </c>
    </row>
    <row r="4" spans="1:6" s="482" customFormat="1" x14ac:dyDescent="0.25">
      <c r="A4" s="454" t="s">
        <v>496</v>
      </c>
      <c r="B4" s="481">
        <v>3</v>
      </c>
      <c r="C4" s="481">
        <v>4</v>
      </c>
      <c r="D4" s="486">
        <v>4491.97</v>
      </c>
      <c r="E4" s="486">
        <v>5236.6000000000004</v>
      </c>
      <c r="F4" s="486">
        <v>744.63000000000011</v>
      </c>
    </row>
    <row r="5" spans="1:6" s="482" customFormat="1" x14ac:dyDescent="0.25">
      <c r="A5" s="454" t="s">
        <v>497</v>
      </c>
      <c r="B5" s="481">
        <v>4</v>
      </c>
      <c r="C5" s="481">
        <v>5</v>
      </c>
      <c r="D5" s="486">
        <v>7901.4</v>
      </c>
      <c r="E5" s="486">
        <v>7901.4</v>
      </c>
      <c r="F5" s="486">
        <v>0</v>
      </c>
    </row>
    <row r="6" spans="1:6" s="482" customFormat="1" x14ac:dyDescent="0.25">
      <c r="A6" s="454" t="s">
        <v>498</v>
      </c>
      <c r="B6" s="481">
        <v>5</v>
      </c>
      <c r="C6" s="481">
        <v>6</v>
      </c>
      <c r="D6" s="486">
        <v>265</v>
      </c>
      <c r="E6" s="486">
        <v>290</v>
      </c>
      <c r="F6" s="486">
        <v>25</v>
      </c>
    </row>
    <row r="7" spans="1:6" s="482" customFormat="1" x14ac:dyDescent="0.25">
      <c r="A7" s="454" t="s">
        <v>499</v>
      </c>
      <c r="B7" s="481">
        <v>6</v>
      </c>
      <c r="C7" s="481">
        <v>7</v>
      </c>
      <c r="D7" s="486">
        <v>1066.22</v>
      </c>
      <c r="E7" s="486">
        <v>1066.22</v>
      </c>
      <c r="F7" s="486">
        <v>0</v>
      </c>
    </row>
    <row r="8" spans="1:6" s="482" customFormat="1" x14ac:dyDescent="0.25">
      <c r="A8" s="454" t="s">
        <v>500</v>
      </c>
      <c r="B8" s="481">
        <v>7</v>
      </c>
      <c r="C8" s="481">
        <v>8</v>
      </c>
      <c r="D8" s="486">
        <v>24000</v>
      </c>
      <c r="E8" s="486">
        <v>22000</v>
      </c>
      <c r="F8" s="486">
        <v>-2000</v>
      </c>
    </row>
    <row r="9" spans="1:6" s="485" customFormat="1" x14ac:dyDescent="0.25">
      <c r="A9" s="483" t="s">
        <v>501</v>
      </c>
      <c r="B9" s="484">
        <v>8</v>
      </c>
      <c r="C9" s="484">
        <v>9</v>
      </c>
      <c r="D9" s="487">
        <v>53727</v>
      </c>
      <c r="E9" s="487">
        <v>57459.360000000001</v>
      </c>
      <c r="F9" s="487">
        <v>3732.360000000001</v>
      </c>
    </row>
    <row r="10" spans="1:6" s="482" customFormat="1" x14ac:dyDescent="0.25">
      <c r="A10" s="454" t="s">
        <v>502</v>
      </c>
      <c r="B10" s="481">
        <v>9</v>
      </c>
      <c r="C10" s="481">
        <v>10</v>
      </c>
      <c r="D10" s="486">
        <v>660.14</v>
      </c>
      <c r="E10" s="486">
        <v>660.14</v>
      </c>
      <c r="F10" s="486">
        <v>0</v>
      </c>
    </row>
    <row r="11" spans="1:6" s="482" customFormat="1" x14ac:dyDescent="0.25">
      <c r="A11" s="454" t="s">
        <v>11</v>
      </c>
      <c r="B11" s="454"/>
      <c r="C11" s="454"/>
      <c r="D11" s="486">
        <f>SUM(D2:D10)</f>
        <v>97865</v>
      </c>
      <c r="E11" s="486">
        <f>SUM(E2:E10)</f>
        <v>100311.99</v>
      </c>
      <c r="F11" s="486">
        <f>SUM(F2:F10)</f>
        <v>2446.9900000000011</v>
      </c>
    </row>
  </sheetData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8" sqref="L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12"/>
  <sheetViews>
    <sheetView view="pageBreakPreview" topLeftCell="A91" zoomScale="145" zoomScaleNormal="25" zoomScaleSheetLayoutView="145" workbookViewId="0">
      <selection activeCell="B98" sqref="B98:B99"/>
    </sheetView>
  </sheetViews>
  <sheetFormatPr defaultColWidth="14.42578125" defaultRowHeight="12.75" x14ac:dyDescent="0.25"/>
  <cols>
    <col min="1" max="1" width="5.7109375" style="166" customWidth="1"/>
    <col min="2" max="2" width="12.42578125" style="166" customWidth="1"/>
    <col min="3" max="3" width="84.7109375" style="251" customWidth="1"/>
    <col min="4" max="4" width="6.140625" style="251" customWidth="1"/>
    <col min="5" max="5" width="9" style="251" customWidth="1"/>
    <col min="6" max="6" width="11" style="613" customWidth="1"/>
    <col min="7" max="7" width="8.140625" style="603" customWidth="1"/>
    <col min="8" max="8" width="5.42578125" style="603" customWidth="1"/>
    <col min="9" max="9" width="7.7109375" style="603" customWidth="1"/>
    <col min="10" max="10" width="8.28515625" style="603" customWidth="1"/>
    <col min="11" max="11" width="6.140625" style="166" customWidth="1"/>
    <col min="12" max="12" width="4" style="166" customWidth="1"/>
    <col min="13" max="13" width="4.140625" style="166" customWidth="1"/>
    <col min="14" max="14" width="4.7109375" style="661" customWidth="1"/>
    <col min="15" max="15" width="8.140625" style="661" customWidth="1"/>
    <col min="16" max="16" width="8.5703125" style="678" customWidth="1"/>
    <col min="17" max="17" width="8.85546875" style="678" customWidth="1"/>
    <col min="18" max="18" width="5.42578125" style="661" customWidth="1"/>
    <col min="19" max="19" width="8.140625" style="678" customWidth="1"/>
    <col min="20" max="20" width="7.42578125" style="678" customWidth="1"/>
    <col min="21" max="21" width="6.28515625" style="661" customWidth="1"/>
    <col min="22" max="22" width="2.85546875" style="661" customWidth="1"/>
    <col min="23" max="23" width="2.7109375" style="661" customWidth="1"/>
    <col min="24" max="24" width="4.7109375" style="661" customWidth="1"/>
    <col min="25" max="25" width="7.42578125" style="661" customWidth="1"/>
    <col min="26" max="26" width="8.5703125" style="678" customWidth="1"/>
    <col min="27" max="27" width="9.28515625" style="678" bestFit="1" customWidth="1"/>
    <col min="28" max="28" width="5.7109375" style="661" customWidth="1"/>
    <col min="29" max="29" width="9.28515625" style="678" customWidth="1"/>
    <col min="30" max="30" width="8" style="678" customWidth="1"/>
    <col min="31" max="31" width="6.140625" style="661" customWidth="1"/>
    <col min="32" max="33" width="3" style="661" customWidth="1"/>
    <col min="34" max="34" width="5" style="661" customWidth="1"/>
    <col min="35" max="35" width="9.140625" style="661" customWidth="1"/>
    <col min="36" max="36" width="8" style="678" customWidth="1"/>
    <col min="37" max="37" width="8.7109375" style="678" customWidth="1"/>
    <col min="38" max="38" width="5.85546875" style="678" customWidth="1"/>
    <col min="39" max="39" width="8.42578125" style="678" customWidth="1"/>
    <col min="40" max="40" width="8.42578125" style="661" customWidth="1"/>
    <col min="41" max="41" width="6.28515625" style="661" customWidth="1"/>
    <col min="42" max="42" width="2.7109375" style="661" customWidth="1"/>
    <col min="43" max="43" width="3.140625" style="661" customWidth="1"/>
    <col min="44" max="119" width="14.42578125" style="166" customWidth="1"/>
    <col min="120" max="16384" width="14.42578125" style="166"/>
  </cols>
  <sheetData>
    <row r="1" spans="1:43" ht="24.75" customHeight="1" x14ac:dyDescent="0.25">
      <c r="A1" s="164" t="s">
        <v>132</v>
      </c>
      <c r="B1" s="164"/>
      <c r="C1" s="164"/>
      <c r="D1" s="164"/>
      <c r="E1" s="164"/>
      <c r="F1" s="592"/>
      <c r="G1" s="592"/>
      <c r="H1" s="592"/>
      <c r="I1" s="592"/>
      <c r="J1" s="592"/>
      <c r="K1" s="164"/>
      <c r="L1" s="164"/>
      <c r="M1" s="164"/>
      <c r="N1" s="165"/>
      <c r="O1" s="164"/>
      <c r="P1" s="614"/>
      <c r="Q1" s="614"/>
      <c r="R1" s="164"/>
      <c r="S1" s="614"/>
      <c r="T1" s="759" t="s">
        <v>133</v>
      </c>
      <c r="U1" s="714"/>
      <c r="V1" s="714"/>
      <c r="W1" s="714"/>
      <c r="X1" s="165"/>
      <c r="Y1" s="164"/>
      <c r="Z1" s="614"/>
      <c r="AA1" s="614"/>
      <c r="AB1" s="164"/>
      <c r="AC1" s="614"/>
      <c r="AD1" s="614"/>
      <c r="AE1" s="164"/>
      <c r="AF1" s="164"/>
      <c r="AG1" s="164"/>
      <c r="AH1" s="165"/>
      <c r="AI1" s="164"/>
      <c r="AJ1" s="614"/>
      <c r="AK1" s="759"/>
      <c r="AL1" s="760"/>
      <c r="AM1" s="760"/>
      <c r="AN1" s="714"/>
      <c r="AO1" s="164"/>
      <c r="AP1" s="164"/>
      <c r="AQ1" s="164"/>
    </row>
    <row r="2" spans="1:43" ht="10.5" customHeight="1" x14ac:dyDescent="0.25">
      <c r="B2" s="167"/>
      <c r="C2" s="167"/>
      <c r="D2" s="167"/>
      <c r="E2" s="167"/>
      <c r="F2" s="593"/>
      <c r="G2" s="593"/>
      <c r="H2" s="593"/>
      <c r="I2" s="593"/>
      <c r="J2" s="593"/>
      <c r="K2" s="167"/>
      <c r="L2" s="167"/>
      <c r="N2" s="168"/>
      <c r="O2" s="679"/>
      <c r="P2" s="615"/>
      <c r="Q2" s="622"/>
      <c r="R2" s="169"/>
      <c r="S2" s="761"/>
      <c r="T2" s="760"/>
      <c r="U2" s="714"/>
      <c r="V2" s="714"/>
      <c r="W2" s="714"/>
      <c r="X2" s="168"/>
      <c r="Y2" s="679"/>
      <c r="Z2" s="615"/>
      <c r="AA2" s="622"/>
      <c r="AB2" s="169"/>
      <c r="AC2" s="622"/>
      <c r="AM2" s="761"/>
      <c r="AN2" s="714"/>
      <c r="AO2" s="714"/>
      <c r="AP2" s="714"/>
      <c r="AQ2" s="714"/>
    </row>
    <row r="3" spans="1:43" ht="24.75" customHeight="1" x14ac:dyDescent="0.25">
      <c r="A3" s="726" t="s">
        <v>2</v>
      </c>
      <c r="B3" s="726" t="s">
        <v>134</v>
      </c>
      <c r="C3" s="762" t="s">
        <v>4</v>
      </c>
      <c r="D3" s="763" t="s">
        <v>135</v>
      </c>
      <c r="E3" s="717"/>
      <c r="F3" s="717"/>
      <c r="G3" s="717"/>
      <c r="H3" s="717"/>
      <c r="I3" s="717"/>
      <c r="J3" s="717"/>
      <c r="K3" s="717"/>
      <c r="L3" s="717"/>
      <c r="M3" s="717"/>
      <c r="N3" s="753" t="s">
        <v>136</v>
      </c>
      <c r="O3" s="717"/>
      <c r="P3" s="717"/>
      <c r="Q3" s="717"/>
      <c r="R3" s="717"/>
      <c r="S3" s="717"/>
      <c r="T3" s="717"/>
      <c r="U3" s="717"/>
      <c r="V3" s="717"/>
      <c r="W3" s="703"/>
      <c r="X3" s="753" t="s">
        <v>137</v>
      </c>
      <c r="Y3" s="717"/>
      <c r="Z3" s="717"/>
      <c r="AA3" s="717"/>
      <c r="AB3" s="717"/>
      <c r="AC3" s="717"/>
      <c r="AD3" s="717"/>
      <c r="AE3" s="717"/>
      <c r="AF3" s="717"/>
      <c r="AG3" s="703"/>
      <c r="AH3" s="764" t="s">
        <v>138</v>
      </c>
      <c r="AI3" s="738"/>
      <c r="AJ3" s="738"/>
      <c r="AK3" s="738"/>
      <c r="AL3" s="738"/>
      <c r="AM3" s="738"/>
      <c r="AN3" s="738"/>
      <c r="AO3" s="738"/>
      <c r="AP3" s="738"/>
      <c r="AQ3" s="739"/>
    </row>
    <row r="4" spans="1:43" ht="12.75" customHeight="1" x14ac:dyDescent="0.25">
      <c r="A4" s="705"/>
      <c r="B4" s="705"/>
      <c r="C4" s="705"/>
      <c r="D4" s="726" t="s">
        <v>8</v>
      </c>
      <c r="E4" s="765" t="s">
        <v>139</v>
      </c>
      <c r="F4" s="765" t="s">
        <v>10</v>
      </c>
      <c r="G4" s="717"/>
      <c r="H4" s="717"/>
      <c r="I4" s="717"/>
      <c r="J4" s="717"/>
      <c r="K4" s="717"/>
      <c r="L4" s="717"/>
      <c r="M4" s="703"/>
      <c r="N4" s="753" t="s">
        <v>8</v>
      </c>
      <c r="O4" s="757" t="s">
        <v>139</v>
      </c>
      <c r="P4" s="757" t="s">
        <v>10</v>
      </c>
      <c r="Q4" s="717"/>
      <c r="R4" s="717"/>
      <c r="S4" s="717"/>
      <c r="T4" s="717"/>
      <c r="U4" s="717"/>
      <c r="V4" s="717"/>
      <c r="W4" s="703"/>
      <c r="X4" s="753" t="s">
        <v>8</v>
      </c>
      <c r="Y4" s="757" t="s">
        <v>139</v>
      </c>
      <c r="Z4" s="757" t="s">
        <v>10</v>
      </c>
      <c r="AA4" s="717"/>
      <c r="AB4" s="717"/>
      <c r="AC4" s="717"/>
      <c r="AD4" s="717"/>
      <c r="AE4" s="717"/>
      <c r="AF4" s="717"/>
      <c r="AG4" s="703"/>
      <c r="AH4" s="753" t="s">
        <v>8</v>
      </c>
      <c r="AI4" s="757" t="s">
        <v>139</v>
      </c>
      <c r="AJ4" s="757" t="s">
        <v>10</v>
      </c>
      <c r="AK4" s="717"/>
      <c r="AL4" s="717"/>
      <c r="AM4" s="717"/>
      <c r="AN4" s="717"/>
      <c r="AO4" s="717"/>
      <c r="AP4" s="717"/>
      <c r="AQ4" s="703"/>
    </row>
    <row r="5" spans="1:43" ht="12.75" customHeight="1" x14ac:dyDescent="0.25">
      <c r="A5" s="705"/>
      <c r="B5" s="705"/>
      <c r="C5" s="705"/>
      <c r="D5" s="705"/>
      <c r="E5" s="705"/>
      <c r="F5" s="754" t="s">
        <v>11</v>
      </c>
      <c r="G5" s="594" t="s">
        <v>12</v>
      </c>
      <c r="H5" s="726" t="s">
        <v>13</v>
      </c>
      <c r="I5" s="717"/>
      <c r="J5" s="717"/>
      <c r="K5" s="703"/>
      <c r="L5" s="758" t="s">
        <v>14</v>
      </c>
      <c r="M5" s="758" t="s">
        <v>15</v>
      </c>
      <c r="N5" s="705"/>
      <c r="O5" s="705"/>
      <c r="P5" s="752" t="s">
        <v>11</v>
      </c>
      <c r="Q5" s="752" t="s">
        <v>12</v>
      </c>
      <c r="R5" s="753" t="s">
        <v>13</v>
      </c>
      <c r="S5" s="717"/>
      <c r="T5" s="717"/>
      <c r="U5" s="703"/>
      <c r="V5" s="709" t="s">
        <v>14</v>
      </c>
      <c r="W5" s="709" t="s">
        <v>15</v>
      </c>
      <c r="X5" s="705"/>
      <c r="Y5" s="705"/>
      <c r="Z5" s="752" t="s">
        <v>11</v>
      </c>
      <c r="AA5" s="752" t="s">
        <v>12</v>
      </c>
      <c r="AB5" s="753" t="s">
        <v>13</v>
      </c>
      <c r="AC5" s="717"/>
      <c r="AD5" s="717"/>
      <c r="AE5" s="703"/>
      <c r="AF5" s="709" t="s">
        <v>14</v>
      </c>
      <c r="AG5" s="709" t="s">
        <v>15</v>
      </c>
      <c r="AH5" s="705"/>
      <c r="AI5" s="705"/>
      <c r="AJ5" s="752" t="s">
        <v>11</v>
      </c>
      <c r="AK5" s="752" t="s">
        <v>12</v>
      </c>
      <c r="AL5" s="753" t="s">
        <v>13</v>
      </c>
      <c r="AM5" s="717"/>
      <c r="AN5" s="717"/>
      <c r="AO5" s="703"/>
      <c r="AP5" s="709" t="s">
        <v>14</v>
      </c>
      <c r="AQ5" s="709" t="s">
        <v>15</v>
      </c>
    </row>
    <row r="6" spans="1:43" ht="18.75" customHeight="1" x14ac:dyDescent="0.25">
      <c r="A6" s="705"/>
      <c r="B6" s="705"/>
      <c r="C6" s="705"/>
      <c r="D6" s="705"/>
      <c r="E6" s="705"/>
      <c r="F6" s="705"/>
      <c r="G6" s="596"/>
      <c r="H6" s="754" t="s">
        <v>16</v>
      </c>
      <c r="I6" s="703"/>
      <c r="J6" s="755" t="s">
        <v>17</v>
      </c>
      <c r="K6" s="739"/>
      <c r="L6" s="705"/>
      <c r="M6" s="705"/>
      <c r="N6" s="705"/>
      <c r="O6" s="705"/>
      <c r="P6" s="705"/>
      <c r="Q6" s="705"/>
      <c r="R6" s="753" t="s">
        <v>16</v>
      </c>
      <c r="S6" s="703"/>
      <c r="T6" s="756" t="s">
        <v>17</v>
      </c>
      <c r="U6" s="739"/>
      <c r="V6" s="705"/>
      <c r="W6" s="705"/>
      <c r="X6" s="705"/>
      <c r="Y6" s="705"/>
      <c r="Z6" s="705"/>
      <c r="AA6" s="705"/>
      <c r="AB6" s="753" t="s">
        <v>16</v>
      </c>
      <c r="AC6" s="703"/>
      <c r="AD6" s="756" t="s">
        <v>17</v>
      </c>
      <c r="AE6" s="739"/>
      <c r="AF6" s="705"/>
      <c r="AG6" s="705"/>
      <c r="AH6" s="705"/>
      <c r="AI6" s="705"/>
      <c r="AJ6" s="705"/>
      <c r="AK6" s="705"/>
      <c r="AL6" s="752" t="s">
        <v>16</v>
      </c>
      <c r="AM6" s="703"/>
      <c r="AN6" s="756" t="s">
        <v>17</v>
      </c>
      <c r="AO6" s="739"/>
      <c r="AP6" s="705"/>
      <c r="AQ6" s="705"/>
    </row>
    <row r="7" spans="1:43" ht="35.25" customHeight="1" x14ac:dyDescent="0.25">
      <c r="A7" s="702"/>
      <c r="B7" s="702"/>
      <c r="C7" s="702"/>
      <c r="D7" s="702"/>
      <c r="E7" s="702"/>
      <c r="F7" s="702"/>
      <c r="G7" s="598"/>
      <c r="H7" s="599" t="s">
        <v>18</v>
      </c>
      <c r="I7" s="600" t="s">
        <v>140</v>
      </c>
      <c r="J7" s="599" t="s">
        <v>141</v>
      </c>
      <c r="K7" s="170" t="s">
        <v>142</v>
      </c>
      <c r="L7" s="702"/>
      <c r="M7" s="702"/>
      <c r="N7" s="702"/>
      <c r="O7" s="702"/>
      <c r="P7" s="702"/>
      <c r="Q7" s="702"/>
      <c r="R7" s="170" t="s">
        <v>18</v>
      </c>
      <c r="S7" s="628" t="s">
        <v>140</v>
      </c>
      <c r="T7" s="630" t="s">
        <v>141</v>
      </c>
      <c r="U7" s="170" t="s">
        <v>142</v>
      </c>
      <c r="V7" s="702"/>
      <c r="W7" s="702"/>
      <c r="X7" s="702"/>
      <c r="Y7" s="702"/>
      <c r="Z7" s="702"/>
      <c r="AA7" s="702"/>
      <c r="AB7" s="170" t="s">
        <v>18</v>
      </c>
      <c r="AC7" s="628" t="s">
        <v>140</v>
      </c>
      <c r="AD7" s="630" t="s">
        <v>141</v>
      </c>
      <c r="AE7" s="170" t="s">
        <v>142</v>
      </c>
      <c r="AF7" s="702"/>
      <c r="AG7" s="702"/>
      <c r="AH7" s="702"/>
      <c r="AI7" s="702"/>
      <c r="AJ7" s="702"/>
      <c r="AK7" s="702"/>
      <c r="AL7" s="633" t="s">
        <v>18</v>
      </c>
      <c r="AM7" s="628" t="s">
        <v>140</v>
      </c>
      <c r="AN7" s="171" t="s">
        <v>141</v>
      </c>
      <c r="AO7" s="170" t="s">
        <v>142</v>
      </c>
      <c r="AP7" s="702"/>
      <c r="AQ7" s="702"/>
    </row>
    <row r="8" spans="1:43" s="174" customFormat="1" x14ac:dyDescent="0.25">
      <c r="A8" s="172">
        <v>1</v>
      </c>
      <c r="B8" s="172">
        <v>2</v>
      </c>
      <c r="C8" s="680">
        <v>3</v>
      </c>
      <c r="D8" s="680">
        <v>4</v>
      </c>
      <c r="E8" s="680">
        <v>5</v>
      </c>
      <c r="F8" s="598">
        <v>6</v>
      </c>
      <c r="G8" s="601">
        <v>7</v>
      </c>
      <c r="H8" s="601">
        <v>8</v>
      </c>
      <c r="I8" s="601">
        <v>9</v>
      </c>
      <c r="J8" s="601">
        <v>10</v>
      </c>
      <c r="K8" s="172">
        <v>11</v>
      </c>
      <c r="L8" s="172">
        <v>12</v>
      </c>
      <c r="M8" s="172">
        <v>13</v>
      </c>
      <c r="N8" s="680">
        <v>14</v>
      </c>
      <c r="O8" s="680">
        <v>15</v>
      </c>
      <c r="P8" s="616">
        <v>16</v>
      </c>
      <c r="Q8" s="623">
        <v>17</v>
      </c>
      <c r="R8" s="172">
        <v>18</v>
      </c>
      <c r="S8" s="623">
        <v>19</v>
      </c>
      <c r="T8" s="623">
        <v>20</v>
      </c>
      <c r="U8" s="172">
        <v>21</v>
      </c>
      <c r="V8" s="172">
        <v>22</v>
      </c>
      <c r="W8" s="172">
        <v>23</v>
      </c>
      <c r="X8" s="685">
        <v>24</v>
      </c>
      <c r="Y8" s="685">
        <v>25</v>
      </c>
      <c r="Z8" s="631">
        <v>26</v>
      </c>
      <c r="AA8" s="631">
        <v>27</v>
      </c>
      <c r="AB8" s="685">
        <v>28</v>
      </c>
      <c r="AC8" s="631">
        <v>29</v>
      </c>
      <c r="AD8" s="631">
        <v>30</v>
      </c>
      <c r="AE8" s="685">
        <v>31</v>
      </c>
      <c r="AF8" s="685">
        <v>32</v>
      </c>
      <c r="AG8" s="685">
        <v>33</v>
      </c>
      <c r="AH8" s="173">
        <v>34</v>
      </c>
      <c r="AI8" s="173">
        <v>35</v>
      </c>
      <c r="AJ8" s="634">
        <v>36</v>
      </c>
      <c r="AK8" s="634">
        <v>37</v>
      </c>
      <c r="AL8" s="631">
        <v>38</v>
      </c>
      <c r="AM8" s="631">
        <v>39</v>
      </c>
      <c r="AN8" s="685">
        <v>40</v>
      </c>
      <c r="AO8" s="685">
        <v>41</v>
      </c>
      <c r="AP8" s="685">
        <v>42</v>
      </c>
      <c r="AQ8" s="685">
        <v>43</v>
      </c>
    </row>
    <row r="9" spans="1:43" ht="15.75" customHeight="1" x14ac:dyDescent="0.25">
      <c r="A9" s="748" t="s">
        <v>20</v>
      </c>
      <c r="B9" s="717"/>
      <c r="C9" s="703"/>
      <c r="D9" s="175"/>
      <c r="E9" s="175"/>
      <c r="F9" s="602"/>
      <c r="M9" s="176"/>
      <c r="N9" s="177"/>
      <c r="P9" s="617"/>
      <c r="Q9" s="617"/>
      <c r="U9" s="178"/>
      <c r="V9" s="178"/>
      <c r="W9" s="179"/>
      <c r="X9" s="178"/>
      <c r="AG9" s="180"/>
      <c r="AQ9" s="180"/>
    </row>
    <row r="10" spans="1:43" ht="13.5" customHeight="1" x14ac:dyDescent="0.25">
      <c r="A10" s="181"/>
      <c r="B10" s="182"/>
      <c r="C10" s="183" t="s">
        <v>21</v>
      </c>
      <c r="D10" s="183"/>
      <c r="E10" s="183"/>
      <c r="F10" s="604"/>
      <c r="G10" s="605"/>
      <c r="H10" s="605"/>
      <c r="I10" s="605"/>
      <c r="J10" s="605"/>
      <c r="K10" s="184"/>
      <c r="L10" s="185"/>
      <c r="M10" s="186"/>
      <c r="N10" s="58"/>
      <c r="O10" s="187"/>
      <c r="P10" s="618"/>
      <c r="Q10" s="624"/>
      <c r="R10" s="188"/>
      <c r="S10" s="624"/>
      <c r="T10" s="624"/>
      <c r="U10" s="188"/>
      <c r="V10" s="188"/>
      <c r="W10" s="187"/>
      <c r="X10" s="58"/>
      <c r="Y10" s="189"/>
      <c r="Z10" s="618"/>
      <c r="AA10" s="632"/>
      <c r="AB10" s="188"/>
      <c r="AC10" s="624"/>
      <c r="AD10" s="624"/>
      <c r="AE10" s="188"/>
      <c r="AF10" s="188"/>
      <c r="AG10" s="187"/>
      <c r="AH10" s="58"/>
      <c r="AI10" s="190"/>
      <c r="AJ10" s="618"/>
      <c r="AK10" s="632"/>
      <c r="AL10" s="624"/>
      <c r="AM10" s="624"/>
      <c r="AN10" s="188"/>
      <c r="AO10" s="188"/>
      <c r="AP10" s="188"/>
      <c r="AQ10" s="187"/>
    </row>
    <row r="11" spans="1:43" ht="17.25" customHeight="1" x14ac:dyDescent="0.25">
      <c r="A11" s="181"/>
      <c r="B11" s="191">
        <v>3111302</v>
      </c>
      <c r="C11" s="126" t="s">
        <v>22</v>
      </c>
      <c r="D11" s="192"/>
      <c r="E11" s="193" t="s">
        <v>143</v>
      </c>
      <c r="F11" s="604">
        <v>1.01</v>
      </c>
      <c r="G11" s="605">
        <v>1.01</v>
      </c>
      <c r="H11" s="606"/>
      <c r="I11" s="605">
        <v>0</v>
      </c>
      <c r="J11" s="605">
        <v>0</v>
      </c>
      <c r="K11" s="184"/>
      <c r="L11" s="185"/>
      <c r="M11" s="186"/>
      <c r="N11" s="94"/>
      <c r="O11" s="194" t="s">
        <v>143</v>
      </c>
      <c r="P11" s="618">
        <v>0.5</v>
      </c>
      <c r="Q11" s="624">
        <v>0.5</v>
      </c>
      <c r="R11" s="188"/>
      <c r="S11" s="624">
        <v>0</v>
      </c>
      <c r="T11" s="624">
        <v>0</v>
      </c>
      <c r="U11" s="188"/>
      <c r="V11" s="188"/>
      <c r="W11" s="187"/>
      <c r="X11" s="94"/>
      <c r="Y11" s="194" t="s">
        <v>143</v>
      </c>
      <c r="Z11" s="618">
        <v>2.0242</v>
      </c>
      <c r="AA11" s="624">
        <v>2.0242</v>
      </c>
      <c r="AB11" s="188"/>
      <c r="AC11" s="624">
        <v>0</v>
      </c>
      <c r="AD11" s="624">
        <v>0</v>
      </c>
      <c r="AE11" s="188"/>
      <c r="AF11" s="188"/>
      <c r="AG11" s="187"/>
      <c r="AH11" s="94"/>
      <c r="AI11" s="194" t="s">
        <v>143</v>
      </c>
      <c r="AJ11" s="618">
        <v>1.4658</v>
      </c>
      <c r="AK11" s="632">
        <v>1.4658</v>
      </c>
      <c r="AL11" s="624"/>
      <c r="AM11" s="624">
        <v>0</v>
      </c>
      <c r="AN11" s="188">
        <v>0</v>
      </c>
      <c r="AO11" s="188"/>
      <c r="AP11" s="188"/>
      <c r="AQ11" s="187"/>
    </row>
    <row r="12" spans="1:43" ht="17.25" customHeight="1" x14ac:dyDescent="0.25">
      <c r="A12" s="181"/>
      <c r="B12" s="191">
        <v>3111327</v>
      </c>
      <c r="C12" s="192" t="s">
        <v>24</v>
      </c>
      <c r="D12" s="192"/>
      <c r="E12" s="192"/>
      <c r="F12" s="604">
        <v>0</v>
      </c>
      <c r="G12" s="605">
        <v>0</v>
      </c>
      <c r="H12" s="606"/>
      <c r="I12" s="605">
        <v>0</v>
      </c>
      <c r="J12" s="605">
        <v>0</v>
      </c>
      <c r="K12" s="184"/>
      <c r="L12" s="185"/>
      <c r="M12" s="186"/>
      <c r="N12" s="94"/>
      <c r="O12" s="194" t="s">
        <v>143</v>
      </c>
      <c r="P12" s="618">
        <v>0</v>
      </c>
      <c r="Q12" s="624">
        <v>0</v>
      </c>
      <c r="R12" s="188"/>
      <c r="S12" s="624">
        <v>0</v>
      </c>
      <c r="T12" s="624">
        <v>0</v>
      </c>
      <c r="U12" s="188"/>
      <c r="V12" s="188"/>
      <c r="W12" s="187"/>
      <c r="X12" s="94"/>
      <c r="Y12" s="194" t="s">
        <v>143</v>
      </c>
      <c r="Z12" s="618">
        <v>6.3</v>
      </c>
      <c r="AA12" s="624">
        <v>6.3</v>
      </c>
      <c r="AB12" s="188"/>
      <c r="AC12" s="624">
        <v>0</v>
      </c>
      <c r="AD12" s="624">
        <v>0</v>
      </c>
      <c r="AE12" s="188"/>
      <c r="AF12" s="188"/>
      <c r="AG12" s="187"/>
      <c r="AH12" s="94"/>
      <c r="AI12" s="194" t="s">
        <v>143</v>
      </c>
      <c r="AJ12" s="618">
        <v>3.7</v>
      </c>
      <c r="AK12" s="632">
        <v>3.7</v>
      </c>
      <c r="AL12" s="624"/>
      <c r="AM12" s="624">
        <v>0</v>
      </c>
      <c r="AN12" s="188">
        <v>0</v>
      </c>
      <c r="AO12" s="188"/>
      <c r="AP12" s="188"/>
      <c r="AQ12" s="187"/>
    </row>
    <row r="13" spans="1:43" ht="17.25" customHeight="1" x14ac:dyDescent="0.25">
      <c r="A13" s="181"/>
      <c r="B13" s="191">
        <v>3111338</v>
      </c>
      <c r="C13" s="192" t="s">
        <v>25</v>
      </c>
      <c r="D13" s="192"/>
      <c r="E13" s="192"/>
      <c r="F13" s="604">
        <v>36.61</v>
      </c>
      <c r="G13" s="605">
        <v>36.61</v>
      </c>
      <c r="H13" s="606"/>
      <c r="I13" s="605">
        <v>0</v>
      </c>
      <c r="J13" s="605">
        <v>0</v>
      </c>
      <c r="K13" s="184"/>
      <c r="L13" s="185"/>
      <c r="M13" s="186"/>
      <c r="N13" s="94"/>
      <c r="O13" s="194" t="s">
        <v>143</v>
      </c>
      <c r="P13" s="618">
        <v>14</v>
      </c>
      <c r="Q13" s="624">
        <v>14</v>
      </c>
      <c r="R13" s="188"/>
      <c r="S13" s="624">
        <v>0</v>
      </c>
      <c r="T13" s="624">
        <v>0</v>
      </c>
      <c r="U13" s="188"/>
      <c r="V13" s="188"/>
      <c r="W13" s="187"/>
      <c r="X13" s="94"/>
      <c r="Y13" s="194" t="s">
        <v>143</v>
      </c>
      <c r="Z13" s="618">
        <v>53.634</v>
      </c>
      <c r="AA13" s="624">
        <v>53.634</v>
      </c>
      <c r="AB13" s="188"/>
      <c r="AC13" s="624">
        <v>0</v>
      </c>
      <c r="AD13" s="624">
        <v>0</v>
      </c>
      <c r="AE13" s="188"/>
      <c r="AF13" s="188"/>
      <c r="AG13" s="187"/>
      <c r="AH13" s="94"/>
      <c r="AI13" s="194" t="s">
        <v>143</v>
      </c>
      <c r="AJ13" s="618">
        <v>35.756</v>
      </c>
      <c r="AK13" s="632">
        <v>35.756</v>
      </c>
      <c r="AL13" s="624"/>
      <c r="AM13" s="624">
        <v>0</v>
      </c>
      <c r="AN13" s="188">
        <v>0</v>
      </c>
      <c r="AO13" s="188"/>
      <c r="AP13" s="188"/>
      <c r="AQ13" s="187"/>
    </row>
    <row r="14" spans="1:43" ht="17.25" customHeight="1" x14ac:dyDescent="0.25">
      <c r="A14" s="181"/>
      <c r="B14" s="182"/>
      <c r="C14" s="183" t="s">
        <v>144</v>
      </c>
      <c r="D14" s="183"/>
      <c r="E14" s="183"/>
      <c r="F14" s="604"/>
      <c r="G14" s="605"/>
      <c r="H14" s="605"/>
      <c r="I14" s="605"/>
      <c r="J14" s="605"/>
      <c r="K14" s="184"/>
      <c r="L14" s="185"/>
      <c r="M14" s="186"/>
      <c r="N14" s="58"/>
      <c r="O14" s="195"/>
      <c r="P14" s="618"/>
      <c r="Q14" s="624"/>
      <c r="R14" s="188"/>
      <c r="S14" s="624"/>
      <c r="T14" s="624"/>
      <c r="U14" s="188"/>
      <c r="V14" s="188"/>
      <c r="W14" s="187"/>
      <c r="X14" s="58"/>
      <c r="Y14" s="195"/>
      <c r="Z14" s="618"/>
      <c r="AA14" s="632"/>
      <c r="AB14" s="188"/>
      <c r="AC14" s="624"/>
      <c r="AD14" s="624"/>
      <c r="AE14" s="188"/>
      <c r="AF14" s="188"/>
      <c r="AG14" s="187"/>
      <c r="AH14" s="58"/>
      <c r="AI14" s="195"/>
      <c r="AJ14" s="618"/>
      <c r="AK14" s="632"/>
      <c r="AL14" s="624"/>
      <c r="AM14" s="624"/>
      <c r="AN14" s="188"/>
      <c r="AO14" s="188"/>
      <c r="AP14" s="188"/>
      <c r="AQ14" s="187"/>
    </row>
    <row r="15" spans="1:43" ht="18" customHeight="1" x14ac:dyDescent="0.25">
      <c r="A15" s="181"/>
      <c r="B15" s="191">
        <v>3241101</v>
      </c>
      <c r="C15" s="142" t="s">
        <v>27</v>
      </c>
      <c r="D15" s="192"/>
      <c r="E15" s="193" t="s">
        <v>143</v>
      </c>
      <c r="F15" s="604">
        <v>58.54</v>
      </c>
      <c r="G15" s="605">
        <v>58.54</v>
      </c>
      <c r="H15" s="606"/>
      <c r="I15" s="605">
        <v>0</v>
      </c>
      <c r="J15" s="605">
        <v>0</v>
      </c>
      <c r="K15" s="184"/>
      <c r="L15" s="185"/>
      <c r="M15" s="186"/>
      <c r="N15" s="94"/>
      <c r="O15" s="194" t="s">
        <v>143</v>
      </c>
      <c r="P15" s="618">
        <v>15</v>
      </c>
      <c r="Q15" s="624">
        <v>15</v>
      </c>
      <c r="R15" s="188"/>
      <c r="S15" s="624">
        <v>0</v>
      </c>
      <c r="T15" s="624">
        <v>0</v>
      </c>
      <c r="U15" s="188"/>
      <c r="V15" s="188"/>
      <c r="W15" s="187"/>
      <c r="X15" s="94"/>
      <c r="Y15" s="194" t="s">
        <v>143</v>
      </c>
      <c r="Z15" s="618">
        <v>28.805199999999999</v>
      </c>
      <c r="AA15" s="624">
        <v>28.805199999999999</v>
      </c>
      <c r="AB15" s="188"/>
      <c r="AC15" s="624">
        <v>0</v>
      </c>
      <c r="AD15" s="624">
        <v>0</v>
      </c>
      <c r="AE15" s="188"/>
      <c r="AF15" s="188"/>
      <c r="AG15" s="187"/>
      <c r="AH15" s="94"/>
      <c r="AI15" s="194" t="s">
        <v>143</v>
      </c>
      <c r="AJ15" s="618">
        <v>17.654800000000002</v>
      </c>
      <c r="AK15" s="632">
        <v>17.654800000000002</v>
      </c>
      <c r="AL15" s="624"/>
      <c r="AM15" s="624">
        <v>0</v>
      </c>
      <c r="AN15" s="188">
        <v>0</v>
      </c>
      <c r="AO15" s="188"/>
      <c r="AP15" s="188"/>
      <c r="AQ15" s="187"/>
    </row>
    <row r="16" spans="1:43" ht="16.5" customHeight="1" x14ac:dyDescent="0.25">
      <c r="A16" s="181"/>
      <c r="B16" s="191">
        <v>3211129</v>
      </c>
      <c r="C16" s="96" t="s">
        <v>28</v>
      </c>
      <c r="D16" s="192"/>
      <c r="E16" s="193" t="s">
        <v>143</v>
      </c>
      <c r="F16" s="604">
        <v>116.67</v>
      </c>
      <c r="G16" s="605">
        <v>116.67</v>
      </c>
      <c r="H16" s="606"/>
      <c r="I16" s="605">
        <v>0</v>
      </c>
      <c r="J16" s="605">
        <v>0</v>
      </c>
      <c r="K16" s="184"/>
      <c r="L16" s="185"/>
      <c r="M16" s="186"/>
      <c r="N16" s="94"/>
      <c r="O16" s="194" t="s">
        <v>143</v>
      </c>
      <c r="P16" s="618">
        <v>34.25</v>
      </c>
      <c r="Q16" s="624">
        <v>34.25</v>
      </c>
      <c r="R16" s="188"/>
      <c r="S16" s="624">
        <v>0</v>
      </c>
      <c r="T16" s="624">
        <v>0</v>
      </c>
      <c r="U16" s="188"/>
      <c r="V16" s="188"/>
      <c r="W16" s="187"/>
      <c r="X16" s="94"/>
      <c r="Y16" s="194" t="s">
        <v>143</v>
      </c>
      <c r="Z16" s="618">
        <v>58.329599999999992</v>
      </c>
      <c r="AA16" s="624">
        <v>58.329599999999992</v>
      </c>
      <c r="AB16" s="188"/>
      <c r="AC16" s="624">
        <v>0</v>
      </c>
      <c r="AD16" s="624">
        <v>0</v>
      </c>
      <c r="AE16" s="188"/>
      <c r="AF16" s="188"/>
      <c r="AG16" s="187"/>
      <c r="AH16" s="94"/>
      <c r="AI16" s="194" t="s">
        <v>143</v>
      </c>
      <c r="AJ16" s="618">
        <v>35.750399999999992</v>
      </c>
      <c r="AK16" s="632">
        <v>35.750399999999992</v>
      </c>
      <c r="AL16" s="624"/>
      <c r="AM16" s="624">
        <v>0</v>
      </c>
      <c r="AN16" s="188">
        <v>0</v>
      </c>
      <c r="AO16" s="188"/>
      <c r="AP16" s="188"/>
      <c r="AQ16" s="187"/>
    </row>
    <row r="17" spans="1:59" ht="30" customHeight="1" x14ac:dyDescent="0.25">
      <c r="A17" s="181"/>
      <c r="B17" s="191">
        <v>3821103</v>
      </c>
      <c r="C17" s="96" t="s">
        <v>29</v>
      </c>
      <c r="D17" s="192"/>
      <c r="E17" s="193" t="s">
        <v>143</v>
      </c>
      <c r="F17" s="604">
        <v>1603.18</v>
      </c>
      <c r="G17" s="605">
        <v>1603.18</v>
      </c>
      <c r="H17" s="606"/>
      <c r="I17" s="605">
        <v>0</v>
      </c>
      <c r="J17" s="605">
        <v>0</v>
      </c>
      <c r="K17" s="184"/>
      <c r="L17" s="185"/>
      <c r="M17" s="186"/>
      <c r="N17" s="94"/>
      <c r="O17" s="194" t="s">
        <v>143</v>
      </c>
      <c r="P17" s="618">
        <v>359.08</v>
      </c>
      <c r="Q17" s="624">
        <v>359.08</v>
      </c>
      <c r="R17" s="188"/>
      <c r="S17" s="624">
        <v>0</v>
      </c>
      <c r="T17" s="624">
        <v>0</v>
      </c>
      <c r="U17" s="188"/>
      <c r="V17" s="188"/>
      <c r="W17" s="187"/>
      <c r="X17" s="94"/>
      <c r="Y17" s="194" t="s">
        <v>143</v>
      </c>
      <c r="Z17" s="618">
        <v>367.72580000000011</v>
      </c>
      <c r="AA17" s="624">
        <v>367.72580000000011</v>
      </c>
      <c r="AB17" s="188"/>
      <c r="AC17" s="624">
        <v>0</v>
      </c>
      <c r="AD17" s="624">
        <v>0</v>
      </c>
      <c r="AE17" s="188"/>
      <c r="AF17" s="188"/>
      <c r="AG17" s="187"/>
      <c r="AH17" s="94"/>
      <c r="AI17" s="194" t="s">
        <v>143</v>
      </c>
      <c r="AJ17" s="618">
        <v>266.28420000000011</v>
      </c>
      <c r="AK17" s="632">
        <v>266.28420000000011</v>
      </c>
      <c r="AL17" s="624"/>
      <c r="AM17" s="624">
        <v>0</v>
      </c>
      <c r="AN17" s="188">
        <v>0</v>
      </c>
      <c r="AO17" s="188"/>
      <c r="AP17" s="188"/>
      <c r="AQ17" s="187"/>
    </row>
    <row r="18" spans="1:59" ht="16.5" customHeight="1" x14ac:dyDescent="0.25">
      <c r="A18" s="181"/>
      <c r="B18" s="191">
        <v>3211119</v>
      </c>
      <c r="C18" s="96" t="s">
        <v>30</v>
      </c>
      <c r="D18" s="192"/>
      <c r="E18" s="193" t="s">
        <v>143</v>
      </c>
      <c r="F18" s="604">
        <v>0.77</v>
      </c>
      <c r="G18" s="605">
        <v>0.77</v>
      </c>
      <c r="H18" s="606"/>
      <c r="I18" s="605">
        <v>0</v>
      </c>
      <c r="J18" s="605">
        <v>0</v>
      </c>
      <c r="K18" s="184"/>
      <c r="L18" s="185"/>
      <c r="M18" s="186"/>
      <c r="N18" s="94"/>
      <c r="O18" s="194" t="s">
        <v>143</v>
      </c>
      <c r="P18" s="618">
        <v>0.5</v>
      </c>
      <c r="Q18" s="624">
        <v>0.5</v>
      </c>
      <c r="R18" s="188"/>
      <c r="S18" s="624">
        <v>0</v>
      </c>
      <c r="T18" s="624">
        <v>0</v>
      </c>
      <c r="U18" s="188"/>
      <c r="V18" s="188"/>
      <c r="W18" s="187"/>
      <c r="X18" s="94"/>
      <c r="Y18" s="194" t="s">
        <v>143</v>
      </c>
      <c r="Z18" s="618">
        <v>2.1634000000000002</v>
      </c>
      <c r="AA18" s="624">
        <v>2.1634000000000002</v>
      </c>
      <c r="AB18" s="188"/>
      <c r="AC18" s="624">
        <v>0</v>
      </c>
      <c r="AD18" s="624">
        <v>0</v>
      </c>
      <c r="AE18" s="188"/>
      <c r="AF18" s="188"/>
      <c r="AG18" s="187"/>
      <c r="AH18" s="94"/>
      <c r="AI18" s="194" t="s">
        <v>143</v>
      </c>
      <c r="AJ18" s="618">
        <v>1.5666</v>
      </c>
      <c r="AK18" s="632">
        <v>1.5666</v>
      </c>
      <c r="AL18" s="624"/>
      <c r="AM18" s="624">
        <v>0</v>
      </c>
      <c r="AN18" s="188">
        <v>0</v>
      </c>
      <c r="AO18" s="188"/>
      <c r="AP18" s="188"/>
      <c r="AQ18" s="187"/>
    </row>
    <row r="19" spans="1:59" ht="16.5" customHeight="1" x14ac:dyDescent="0.25">
      <c r="A19" s="181"/>
      <c r="B19" s="191">
        <v>3211120</v>
      </c>
      <c r="C19" s="74" t="s">
        <v>31</v>
      </c>
      <c r="D19" s="192"/>
      <c r="E19" s="193" t="s">
        <v>143</v>
      </c>
      <c r="F19" s="604">
        <v>0.97</v>
      </c>
      <c r="G19" s="605">
        <v>0.97</v>
      </c>
      <c r="H19" s="606"/>
      <c r="I19" s="605">
        <v>0</v>
      </c>
      <c r="J19" s="605">
        <v>0</v>
      </c>
      <c r="K19" s="184"/>
      <c r="L19" s="185"/>
      <c r="M19" s="186"/>
      <c r="N19" s="94"/>
      <c r="O19" s="194" t="s">
        <v>143</v>
      </c>
      <c r="P19" s="618">
        <v>0.2</v>
      </c>
      <c r="Q19" s="624">
        <v>0.2</v>
      </c>
      <c r="R19" s="188"/>
      <c r="S19" s="624">
        <v>0</v>
      </c>
      <c r="T19" s="624">
        <v>0</v>
      </c>
      <c r="U19" s="188"/>
      <c r="V19" s="188"/>
      <c r="W19" s="187"/>
      <c r="X19" s="94"/>
      <c r="Y19" s="194" t="s">
        <v>143</v>
      </c>
      <c r="Z19" s="618">
        <v>2.3363</v>
      </c>
      <c r="AA19" s="624">
        <v>2.3363</v>
      </c>
      <c r="AB19" s="188"/>
      <c r="AC19" s="624">
        <v>0</v>
      </c>
      <c r="AD19" s="624">
        <v>0</v>
      </c>
      <c r="AE19" s="188"/>
      <c r="AF19" s="188"/>
      <c r="AG19" s="187"/>
      <c r="AH19" s="94"/>
      <c r="AI19" s="194" t="s">
        <v>143</v>
      </c>
      <c r="AJ19" s="618">
        <v>1.4937</v>
      </c>
      <c r="AK19" s="632">
        <v>1.4937</v>
      </c>
      <c r="AL19" s="624"/>
      <c r="AM19" s="624">
        <v>0</v>
      </c>
      <c r="AN19" s="188">
        <v>0</v>
      </c>
      <c r="AO19" s="188"/>
      <c r="AP19" s="188"/>
      <c r="AQ19" s="187"/>
    </row>
    <row r="20" spans="1:59" ht="16.5" customHeight="1" x14ac:dyDescent="0.25">
      <c r="A20" s="181"/>
      <c r="B20" s="191">
        <v>3211117</v>
      </c>
      <c r="C20" s="74" t="s">
        <v>32</v>
      </c>
      <c r="D20" s="192"/>
      <c r="E20" s="193" t="s">
        <v>143</v>
      </c>
      <c r="F20" s="604">
        <v>0.44</v>
      </c>
      <c r="G20" s="605">
        <v>0.44</v>
      </c>
      <c r="H20" s="606"/>
      <c r="I20" s="605">
        <v>0</v>
      </c>
      <c r="J20" s="605">
        <v>0</v>
      </c>
      <c r="K20" s="184"/>
      <c r="L20" s="185"/>
      <c r="M20" s="186"/>
      <c r="N20" s="94"/>
      <c r="O20" s="194" t="s">
        <v>143</v>
      </c>
      <c r="P20" s="618">
        <v>0.2</v>
      </c>
      <c r="Q20" s="624">
        <v>0.2</v>
      </c>
      <c r="R20" s="188"/>
      <c r="S20" s="624">
        <v>0</v>
      </c>
      <c r="T20" s="624">
        <v>0</v>
      </c>
      <c r="U20" s="188"/>
      <c r="V20" s="188"/>
      <c r="W20" s="187"/>
      <c r="X20" s="94"/>
      <c r="Y20" s="194" t="s">
        <v>143</v>
      </c>
      <c r="Z20" s="618">
        <v>2.4416000000000002</v>
      </c>
      <c r="AA20" s="624">
        <v>2.4416000000000002</v>
      </c>
      <c r="AB20" s="188"/>
      <c r="AC20" s="624">
        <v>0</v>
      </c>
      <c r="AD20" s="624">
        <v>0</v>
      </c>
      <c r="AE20" s="188"/>
      <c r="AF20" s="188"/>
      <c r="AG20" s="187"/>
      <c r="AH20" s="94"/>
      <c r="AI20" s="194" t="s">
        <v>143</v>
      </c>
      <c r="AJ20" s="618">
        <v>1.9184000000000001</v>
      </c>
      <c r="AK20" s="632">
        <v>1.9184000000000001</v>
      </c>
      <c r="AL20" s="624"/>
      <c r="AM20" s="624">
        <v>0</v>
      </c>
      <c r="AN20" s="188">
        <v>0</v>
      </c>
      <c r="AO20" s="188"/>
      <c r="AP20" s="188"/>
      <c r="AQ20" s="187"/>
    </row>
    <row r="21" spans="1:59" ht="16.5" customHeight="1" x14ac:dyDescent="0.25">
      <c r="A21" s="181"/>
      <c r="B21" s="196">
        <v>3221104</v>
      </c>
      <c r="C21" s="74" t="s">
        <v>33</v>
      </c>
      <c r="D21" s="192"/>
      <c r="E21" s="193" t="s">
        <v>143</v>
      </c>
      <c r="F21" s="604">
        <v>11.92</v>
      </c>
      <c r="G21" s="605">
        <v>11.92</v>
      </c>
      <c r="H21" s="606"/>
      <c r="I21" s="605">
        <v>0</v>
      </c>
      <c r="J21" s="605">
        <v>0</v>
      </c>
      <c r="K21" s="184"/>
      <c r="L21" s="185"/>
      <c r="M21" s="186"/>
      <c r="N21" s="94"/>
      <c r="O21" s="194"/>
      <c r="P21" s="618">
        <v>1</v>
      </c>
      <c r="Q21" s="624">
        <v>1</v>
      </c>
      <c r="R21" s="188"/>
      <c r="S21" s="624">
        <v>0</v>
      </c>
      <c r="T21" s="624">
        <v>0</v>
      </c>
      <c r="U21" s="188"/>
      <c r="V21" s="188"/>
      <c r="W21" s="187"/>
      <c r="X21" s="94"/>
      <c r="Y21" s="194"/>
      <c r="Z21" s="618">
        <v>4.4604000000000008</v>
      </c>
      <c r="AA21" s="632">
        <v>4.4604000000000008</v>
      </c>
      <c r="AB21" s="188"/>
      <c r="AC21" s="624">
        <v>0</v>
      </c>
      <c r="AD21" s="624">
        <v>0</v>
      </c>
      <c r="AE21" s="188"/>
      <c r="AF21" s="188"/>
      <c r="AG21" s="187"/>
      <c r="AH21" s="94"/>
      <c r="AI21" s="194"/>
      <c r="AJ21" s="618">
        <v>2.619600000000001</v>
      </c>
      <c r="AK21" s="632">
        <v>2.619600000000001</v>
      </c>
      <c r="AL21" s="624"/>
      <c r="AM21" s="624">
        <v>0</v>
      </c>
      <c r="AN21" s="188">
        <v>0</v>
      </c>
      <c r="AO21" s="188"/>
      <c r="AP21" s="188"/>
      <c r="AQ21" s="187"/>
    </row>
    <row r="22" spans="1:59" ht="16.5" customHeight="1" x14ac:dyDescent="0.25">
      <c r="A22" s="181"/>
      <c r="B22" s="191">
        <v>3211115</v>
      </c>
      <c r="C22" s="74" t="s">
        <v>34</v>
      </c>
      <c r="D22" s="192"/>
      <c r="E22" s="193" t="s">
        <v>143</v>
      </c>
      <c r="F22" s="604">
        <v>1.1100000000000001</v>
      </c>
      <c r="G22" s="605">
        <v>1.1100000000000001</v>
      </c>
      <c r="H22" s="606"/>
      <c r="I22" s="605">
        <v>0</v>
      </c>
      <c r="J22" s="605">
        <v>0</v>
      </c>
      <c r="K22" s="184"/>
      <c r="L22" s="185"/>
      <c r="M22" s="186"/>
      <c r="N22" s="94"/>
      <c r="O22" s="194" t="s">
        <v>143</v>
      </c>
      <c r="P22" s="618">
        <v>0.45</v>
      </c>
      <c r="Q22" s="624">
        <v>0.45</v>
      </c>
      <c r="R22" s="188"/>
      <c r="S22" s="624">
        <v>0</v>
      </c>
      <c r="T22" s="624">
        <v>0</v>
      </c>
      <c r="U22" s="188"/>
      <c r="V22" s="188"/>
      <c r="W22" s="187"/>
      <c r="X22" s="94"/>
      <c r="Y22" s="194" t="s">
        <v>143</v>
      </c>
      <c r="Z22" s="618">
        <v>2.0983999999999998</v>
      </c>
      <c r="AA22" s="632">
        <v>2.0983999999999998</v>
      </c>
      <c r="AB22" s="188"/>
      <c r="AC22" s="624">
        <v>0</v>
      </c>
      <c r="AD22" s="624">
        <v>0</v>
      </c>
      <c r="AE22" s="188"/>
      <c r="AF22" s="188"/>
      <c r="AG22" s="187"/>
      <c r="AH22" s="94"/>
      <c r="AI22" s="194" t="s">
        <v>143</v>
      </c>
      <c r="AJ22" s="618">
        <v>1.3415999999999999</v>
      </c>
      <c r="AK22" s="632">
        <v>1.3415999999999999</v>
      </c>
      <c r="AL22" s="624"/>
      <c r="AM22" s="624">
        <v>0</v>
      </c>
      <c r="AN22" s="188">
        <v>0</v>
      </c>
      <c r="AO22" s="188"/>
      <c r="AP22" s="188"/>
      <c r="AQ22" s="187"/>
      <c r="AR22" s="197"/>
      <c r="AS22" s="198"/>
      <c r="AT22" s="198"/>
      <c r="AU22" s="198"/>
      <c r="AV22" s="198"/>
      <c r="AW22" s="197"/>
      <c r="AX22" s="198"/>
      <c r="AY22" s="198"/>
      <c r="AZ22" s="198"/>
      <c r="BA22" s="198"/>
      <c r="BB22" s="197"/>
      <c r="BC22" s="198"/>
      <c r="BD22" s="198"/>
      <c r="BE22" s="198"/>
      <c r="BF22" s="198"/>
      <c r="BG22" s="197"/>
    </row>
    <row r="23" spans="1:59" ht="18" customHeight="1" x14ac:dyDescent="0.25">
      <c r="A23" s="181"/>
      <c r="B23" s="191">
        <v>3211113</v>
      </c>
      <c r="C23" s="74" t="s">
        <v>35</v>
      </c>
      <c r="D23" s="192"/>
      <c r="E23" s="193" t="s">
        <v>143</v>
      </c>
      <c r="F23" s="604">
        <v>8.74</v>
      </c>
      <c r="G23" s="605">
        <v>8.74</v>
      </c>
      <c r="H23" s="606"/>
      <c r="I23" s="605">
        <v>0</v>
      </c>
      <c r="J23" s="605">
        <v>0</v>
      </c>
      <c r="K23" s="184"/>
      <c r="L23" s="185"/>
      <c r="M23" s="186"/>
      <c r="N23" s="94"/>
      <c r="O23" s="194" t="s">
        <v>143</v>
      </c>
      <c r="P23" s="618">
        <v>3.5</v>
      </c>
      <c r="Q23" s="624">
        <v>3.5</v>
      </c>
      <c r="R23" s="188"/>
      <c r="S23" s="624">
        <v>0</v>
      </c>
      <c r="T23" s="624">
        <v>0</v>
      </c>
      <c r="U23" s="188"/>
      <c r="V23" s="188"/>
      <c r="W23" s="187"/>
      <c r="X23" s="94"/>
      <c r="Y23" s="194" t="s">
        <v>143</v>
      </c>
      <c r="Z23" s="618">
        <v>4.2679999999999998</v>
      </c>
      <c r="AA23" s="624">
        <v>4.2679999999999998</v>
      </c>
      <c r="AB23" s="188"/>
      <c r="AC23" s="624">
        <v>0</v>
      </c>
      <c r="AD23" s="624">
        <v>0</v>
      </c>
      <c r="AE23" s="188"/>
      <c r="AF23" s="188"/>
      <c r="AG23" s="187"/>
      <c r="AH23" s="94"/>
      <c r="AI23" s="194" t="s">
        <v>143</v>
      </c>
      <c r="AJ23" s="618">
        <v>3.492</v>
      </c>
      <c r="AK23" s="632">
        <v>3.492</v>
      </c>
      <c r="AL23" s="624"/>
      <c r="AM23" s="624">
        <v>0</v>
      </c>
      <c r="AN23" s="188">
        <v>0</v>
      </c>
      <c r="AO23" s="188"/>
      <c r="AP23" s="188"/>
      <c r="AQ23" s="187"/>
    </row>
    <row r="24" spans="1:59" ht="15.75" customHeight="1" x14ac:dyDescent="0.25">
      <c r="A24" s="181"/>
      <c r="B24" s="191">
        <v>3243102</v>
      </c>
      <c r="C24" s="126" t="s">
        <v>36</v>
      </c>
      <c r="D24" s="192"/>
      <c r="E24" s="193" t="s">
        <v>143</v>
      </c>
      <c r="F24" s="604">
        <v>17.52</v>
      </c>
      <c r="G24" s="605">
        <v>17.52</v>
      </c>
      <c r="H24" s="606"/>
      <c r="I24" s="605">
        <v>0</v>
      </c>
      <c r="J24" s="605">
        <v>0</v>
      </c>
      <c r="K24" s="184"/>
      <c r="L24" s="185"/>
      <c r="M24" s="186"/>
      <c r="N24" s="94"/>
      <c r="O24" s="194" t="s">
        <v>143</v>
      </c>
      <c r="P24" s="618">
        <v>6</v>
      </c>
      <c r="Q24" s="624">
        <v>6</v>
      </c>
      <c r="R24" s="188"/>
      <c r="S24" s="624">
        <v>0</v>
      </c>
      <c r="T24" s="624">
        <v>0</v>
      </c>
      <c r="U24" s="188"/>
      <c r="V24" s="188"/>
      <c r="W24" s="187"/>
      <c r="X24" s="94"/>
      <c r="Y24" s="194" t="s">
        <v>143</v>
      </c>
      <c r="Z24" s="618">
        <v>46.652799999999999</v>
      </c>
      <c r="AA24" s="632">
        <v>46.652799999999999</v>
      </c>
      <c r="AB24" s="188"/>
      <c r="AC24" s="624">
        <v>0</v>
      </c>
      <c r="AD24" s="624">
        <v>0</v>
      </c>
      <c r="AE24" s="188"/>
      <c r="AF24" s="188"/>
      <c r="AG24" s="187"/>
      <c r="AH24" s="94"/>
      <c r="AI24" s="194" t="s">
        <v>143</v>
      </c>
      <c r="AJ24" s="618">
        <v>29.827200000000001</v>
      </c>
      <c r="AK24" s="632">
        <v>29.827200000000001</v>
      </c>
      <c r="AL24" s="624"/>
      <c r="AM24" s="624">
        <v>0</v>
      </c>
      <c r="AN24" s="188">
        <v>0</v>
      </c>
      <c r="AO24" s="188"/>
      <c r="AP24" s="188"/>
      <c r="AQ24" s="187"/>
    </row>
    <row r="25" spans="1:59" ht="15.75" customHeight="1" x14ac:dyDescent="0.25">
      <c r="A25" s="181"/>
      <c r="B25" s="191">
        <v>3243101</v>
      </c>
      <c r="C25" s="126" t="s">
        <v>37</v>
      </c>
      <c r="D25" s="192"/>
      <c r="E25" s="193" t="s">
        <v>143</v>
      </c>
      <c r="F25" s="604">
        <v>64.59</v>
      </c>
      <c r="G25" s="605">
        <v>64.59</v>
      </c>
      <c r="H25" s="606"/>
      <c r="I25" s="605">
        <v>0</v>
      </c>
      <c r="J25" s="605">
        <v>0</v>
      </c>
      <c r="K25" s="184"/>
      <c r="L25" s="185"/>
      <c r="M25" s="186"/>
      <c r="N25" s="94"/>
      <c r="O25" s="194" t="s">
        <v>143</v>
      </c>
      <c r="P25" s="618">
        <v>20</v>
      </c>
      <c r="Q25" s="624">
        <v>20</v>
      </c>
      <c r="R25" s="188"/>
      <c r="S25" s="624">
        <v>0</v>
      </c>
      <c r="T25" s="624">
        <v>0</v>
      </c>
      <c r="U25" s="188"/>
      <c r="V25" s="188"/>
      <c r="W25" s="187"/>
      <c r="X25" s="94"/>
      <c r="Y25" s="194" t="s">
        <v>143</v>
      </c>
      <c r="Z25" s="618">
        <v>65.783699999999996</v>
      </c>
      <c r="AA25" s="632">
        <v>65.783699999999996</v>
      </c>
      <c r="AB25" s="188"/>
      <c r="AC25" s="624">
        <v>0</v>
      </c>
      <c r="AD25" s="624">
        <v>0</v>
      </c>
      <c r="AE25" s="188"/>
      <c r="AF25" s="188"/>
      <c r="AG25" s="187"/>
      <c r="AH25" s="94"/>
      <c r="AI25" s="194" t="s">
        <v>143</v>
      </c>
      <c r="AJ25" s="618">
        <v>49.626300000000001</v>
      </c>
      <c r="AK25" s="632">
        <v>49.626300000000001</v>
      </c>
      <c r="AL25" s="624"/>
      <c r="AM25" s="624">
        <v>0</v>
      </c>
      <c r="AN25" s="188">
        <v>0</v>
      </c>
      <c r="AO25" s="188"/>
      <c r="AP25" s="188"/>
      <c r="AQ25" s="187"/>
    </row>
    <row r="26" spans="1:59" ht="15.75" customHeight="1" x14ac:dyDescent="0.25">
      <c r="A26" s="181"/>
      <c r="B26" s="191">
        <v>3221108</v>
      </c>
      <c r="C26" s="126" t="s">
        <v>38</v>
      </c>
      <c r="D26" s="192"/>
      <c r="E26" s="193" t="s">
        <v>143</v>
      </c>
      <c r="F26" s="604">
        <v>1.1599999999999999</v>
      </c>
      <c r="G26" s="605">
        <v>1.1599999999999999</v>
      </c>
      <c r="H26" s="606"/>
      <c r="I26" s="605">
        <v>0</v>
      </c>
      <c r="J26" s="605">
        <v>0</v>
      </c>
      <c r="K26" s="184"/>
      <c r="L26" s="185"/>
      <c r="M26" s="186"/>
      <c r="N26" s="94"/>
      <c r="O26" s="194" t="s">
        <v>143</v>
      </c>
      <c r="P26" s="618">
        <v>0.15</v>
      </c>
      <c r="Q26" s="624">
        <v>0.15</v>
      </c>
      <c r="R26" s="188"/>
      <c r="S26" s="624">
        <v>0</v>
      </c>
      <c r="T26" s="624">
        <v>0</v>
      </c>
      <c r="U26" s="188"/>
      <c r="V26" s="188"/>
      <c r="W26" s="187"/>
      <c r="X26" s="94"/>
      <c r="Y26" s="194" t="s">
        <v>143</v>
      </c>
      <c r="Z26" s="618">
        <v>0.92949999999999999</v>
      </c>
      <c r="AA26" s="632">
        <v>0.92949999999999999</v>
      </c>
      <c r="AB26" s="188"/>
      <c r="AC26" s="624">
        <v>0</v>
      </c>
      <c r="AD26" s="624">
        <v>0</v>
      </c>
      <c r="AE26" s="188"/>
      <c r="AF26" s="188"/>
      <c r="AG26" s="187"/>
      <c r="AH26" s="94"/>
      <c r="AI26" s="194"/>
      <c r="AJ26" s="618">
        <v>0.76049999999999995</v>
      </c>
      <c r="AK26" s="632">
        <v>0.76049999999999995</v>
      </c>
      <c r="AL26" s="624"/>
      <c r="AM26" s="624">
        <v>0</v>
      </c>
      <c r="AN26" s="188">
        <v>0</v>
      </c>
      <c r="AO26" s="188"/>
      <c r="AP26" s="188"/>
      <c r="AQ26" s="187"/>
    </row>
    <row r="27" spans="1:59" ht="15.75" customHeight="1" x14ac:dyDescent="0.25">
      <c r="A27" s="181"/>
      <c r="B27" s="191">
        <v>3255102</v>
      </c>
      <c r="C27" s="126" t="s">
        <v>39</v>
      </c>
      <c r="D27" s="192"/>
      <c r="E27" s="193" t="s">
        <v>143</v>
      </c>
      <c r="F27" s="604">
        <v>34.159999999999997</v>
      </c>
      <c r="G27" s="605">
        <v>34.159999999999997</v>
      </c>
      <c r="H27" s="606"/>
      <c r="I27" s="605">
        <v>0</v>
      </c>
      <c r="J27" s="605">
        <v>0</v>
      </c>
      <c r="K27" s="184"/>
      <c r="L27" s="185"/>
      <c r="M27" s="186"/>
      <c r="N27" s="94"/>
      <c r="O27" s="194" t="s">
        <v>143</v>
      </c>
      <c r="P27" s="618">
        <v>0.5</v>
      </c>
      <c r="Q27" s="624">
        <v>0.5</v>
      </c>
      <c r="R27" s="188"/>
      <c r="S27" s="624">
        <v>0</v>
      </c>
      <c r="T27" s="624">
        <v>0</v>
      </c>
      <c r="U27" s="188"/>
      <c r="V27" s="188"/>
      <c r="W27" s="187"/>
      <c r="X27" s="94"/>
      <c r="Y27" s="194" t="s">
        <v>143</v>
      </c>
      <c r="Z27" s="618">
        <v>9.3574000000000019</v>
      </c>
      <c r="AA27" s="632">
        <v>9.3574000000000019</v>
      </c>
      <c r="AB27" s="188"/>
      <c r="AC27" s="624">
        <v>0</v>
      </c>
      <c r="AD27" s="624">
        <v>0</v>
      </c>
      <c r="AE27" s="188"/>
      <c r="AF27" s="188"/>
      <c r="AG27" s="187"/>
      <c r="AH27" s="94"/>
      <c r="AI27" s="194" t="s">
        <v>143</v>
      </c>
      <c r="AJ27" s="618">
        <v>5.9826000000000006</v>
      </c>
      <c r="AK27" s="632">
        <v>5.9826000000000006</v>
      </c>
      <c r="AL27" s="624"/>
      <c r="AM27" s="624">
        <v>0</v>
      </c>
      <c r="AN27" s="188">
        <v>0</v>
      </c>
      <c r="AO27" s="188"/>
      <c r="AP27" s="188"/>
      <c r="AQ27" s="187"/>
    </row>
    <row r="28" spans="1:59" ht="18.75" customHeight="1" x14ac:dyDescent="0.25">
      <c r="A28" s="181"/>
      <c r="B28" s="191">
        <v>3255104</v>
      </c>
      <c r="C28" s="126" t="s">
        <v>40</v>
      </c>
      <c r="D28" s="192"/>
      <c r="E28" s="193" t="s">
        <v>143</v>
      </c>
      <c r="F28" s="604">
        <v>49.91</v>
      </c>
      <c r="G28" s="605">
        <v>49.91</v>
      </c>
      <c r="H28" s="606"/>
      <c r="I28" s="605">
        <v>0</v>
      </c>
      <c r="J28" s="605">
        <v>0</v>
      </c>
      <c r="K28" s="184"/>
      <c r="L28" s="185"/>
      <c r="M28" s="186"/>
      <c r="N28" s="94"/>
      <c r="O28" s="194" t="s">
        <v>143</v>
      </c>
      <c r="P28" s="618">
        <v>20</v>
      </c>
      <c r="Q28" s="624">
        <v>20</v>
      </c>
      <c r="R28" s="188"/>
      <c r="S28" s="624">
        <v>0</v>
      </c>
      <c r="T28" s="624">
        <v>0</v>
      </c>
      <c r="U28" s="188"/>
      <c r="V28" s="188"/>
      <c r="W28" s="187"/>
      <c r="X28" s="94"/>
      <c r="Y28" s="194" t="s">
        <v>143</v>
      </c>
      <c r="Z28" s="618">
        <v>31.556699999999999</v>
      </c>
      <c r="AA28" s="632">
        <v>31.556699999999999</v>
      </c>
      <c r="AB28" s="188"/>
      <c r="AC28" s="624">
        <v>0</v>
      </c>
      <c r="AD28" s="624">
        <v>0</v>
      </c>
      <c r="AE28" s="188"/>
      <c r="AF28" s="188"/>
      <c r="AG28" s="187"/>
      <c r="AH28" s="94"/>
      <c r="AI28" s="194" t="s">
        <v>143</v>
      </c>
      <c r="AJ28" s="618">
        <v>18.533300000000001</v>
      </c>
      <c r="AK28" s="632">
        <v>18.533300000000001</v>
      </c>
      <c r="AL28" s="624"/>
      <c r="AM28" s="624">
        <v>0</v>
      </c>
      <c r="AN28" s="188">
        <v>0</v>
      </c>
      <c r="AO28" s="188"/>
      <c r="AP28" s="188"/>
      <c r="AQ28" s="187"/>
    </row>
    <row r="29" spans="1:59" ht="15.75" customHeight="1" x14ac:dyDescent="0.25">
      <c r="A29" s="181"/>
      <c r="B29" s="191">
        <v>3211127</v>
      </c>
      <c r="C29" s="126" t="s">
        <v>41</v>
      </c>
      <c r="D29" s="192"/>
      <c r="E29" s="193" t="s">
        <v>143</v>
      </c>
      <c r="F29" s="604">
        <v>0.28000000000000003</v>
      </c>
      <c r="G29" s="605">
        <v>0.28000000000000003</v>
      </c>
      <c r="H29" s="606"/>
      <c r="I29" s="605">
        <v>0</v>
      </c>
      <c r="J29" s="605">
        <v>0</v>
      </c>
      <c r="K29" s="184"/>
      <c r="L29" s="185"/>
      <c r="M29" s="186"/>
      <c r="N29" s="94"/>
      <c r="O29" s="194" t="s">
        <v>143</v>
      </c>
      <c r="P29" s="618">
        <v>0.2</v>
      </c>
      <c r="Q29" s="624">
        <v>0.2</v>
      </c>
      <c r="R29" s="188"/>
      <c r="S29" s="624">
        <v>0</v>
      </c>
      <c r="T29" s="624">
        <v>0</v>
      </c>
      <c r="U29" s="188"/>
      <c r="V29" s="188"/>
      <c r="W29" s="187"/>
      <c r="X29" s="94"/>
      <c r="Y29" s="194" t="s">
        <v>143</v>
      </c>
      <c r="Z29" s="618">
        <v>0.88159999999999994</v>
      </c>
      <c r="AA29" s="624">
        <v>0.88159999999999994</v>
      </c>
      <c r="AB29" s="188"/>
      <c r="AC29" s="624">
        <v>0</v>
      </c>
      <c r="AD29" s="624">
        <v>0</v>
      </c>
      <c r="AE29" s="188"/>
      <c r="AF29" s="188"/>
      <c r="AG29" s="187"/>
      <c r="AH29" s="94"/>
      <c r="AI29" s="194" t="s">
        <v>143</v>
      </c>
      <c r="AJ29" s="618">
        <v>0.63839999999999997</v>
      </c>
      <c r="AK29" s="632">
        <v>0.63839999999999997</v>
      </c>
      <c r="AL29" s="624"/>
      <c r="AM29" s="624">
        <v>0</v>
      </c>
      <c r="AN29" s="188">
        <v>0</v>
      </c>
      <c r="AO29" s="188"/>
      <c r="AP29" s="188"/>
      <c r="AQ29" s="187"/>
    </row>
    <row r="30" spans="1:59" ht="15.75" customHeight="1" x14ac:dyDescent="0.25">
      <c r="A30" s="181"/>
      <c r="B30" s="199"/>
      <c r="C30" s="133" t="s">
        <v>42</v>
      </c>
      <c r="D30" s="183"/>
      <c r="E30" s="183"/>
      <c r="F30" s="604"/>
      <c r="G30" s="605"/>
      <c r="H30" s="605"/>
      <c r="I30" s="605"/>
      <c r="J30" s="605"/>
      <c r="K30" s="184"/>
      <c r="L30" s="185"/>
      <c r="M30" s="186"/>
      <c r="N30" s="58"/>
      <c r="O30" s="195"/>
      <c r="P30" s="618"/>
      <c r="Q30" s="624"/>
      <c r="R30" s="188"/>
      <c r="S30" s="624"/>
      <c r="T30" s="624"/>
      <c r="U30" s="188"/>
      <c r="V30" s="188"/>
      <c r="W30" s="187"/>
      <c r="X30" s="58"/>
      <c r="Y30" s="195"/>
      <c r="Z30" s="618"/>
      <c r="AA30" s="624"/>
      <c r="AB30" s="188"/>
      <c r="AC30" s="624"/>
      <c r="AD30" s="624"/>
      <c r="AE30" s="188"/>
      <c r="AF30" s="188"/>
      <c r="AG30" s="187"/>
      <c r="AH30" s="58"/>
      <c r="AI30" s="195"/>
      <c r="AJ30" s="618"/>
      <c r="AK30" s="632"/>
      <c r="AL30" s="624"/>
      <c r="AM30" s="624"/>
      <c r="AN30" s="188"/>
      <c r="AO30" s="188"/>
      <c r="AP30" s="188"/>
      <c r="AQ30" s="187"/>
    </row>
    <row r="31" spans="1:59" ht="13.5" customHeight="1" x14ac:dyDescent="0.25">
      <c r="A31" s="181"/>
      <c r="B31" s="200">
        <v>3231201</v>
      </c>
      <c r="C31" s="128" t="s">
        <v>43</v>
      </c>
      <c r="D31" s="201"/>
      <c r="E31" s="201"/>
      <c r="F31" s="604">
        <v>0</v>
      </c>
      <c r="G31" s="605">
        <v>0</v>
      </c>
      <c r="H31" s="606"/>
      <c r="I31" s="605">
        <v>0</v>
      </c>
      <c r="J31" s="605">
        <v>0</v>
      </c>
      <c r="K31" s="184"/>
      <c r="L31" s="185"/>
      <c r="M31" s="186"/>
      <c r="N31" s="202"/>
      <c r="O31" s="203"/>
      <c r="P31" s="618">
        <v>0</v>
      </c>
      <c r="Q31" s="624">
        <v>0</v>
      </c>
      <c r="R31" s="188"/>
      <c r="S31" s="624">
        <v>0</v>
      </c>
      <c r="T31" s="624">
        <v>0</v>
      </c>
      <c r="U31" s="188"/>
      <c r="V31" s="188"/>
      <c r="W31" s="187"/>
      <c r="X31" s="202"/>
      <c r="Y31" s="203"/>
      <c r="Z31" s="618">
        <v>238.54</v>
      </c>
      <c r="AA31" s="624">
        <v>0</v>
      </c>
      <c r="AB31" s="188"/>
      <c r="AC31" s="624">
        <v>238.54</v>
      </c>
      <c r="AD31" s="624">
        <v>0</v>
      </c>
      <c r="AE31" s="188"/>
      <c r="AF31" s="188"/>
      <c r="AG31" s="187"/>
      <c r="AH31" s="202"/>
      <c r="AI31" s="203"/>
      <c r="AJ31" s="618">
        <v>0</v>
      </c>
      <c r="AK31" s="632">
        <v>0</v>
      </c>
      <c r="AL31" s="624"/>
      <c r="AM31" s="624">
        <v>0</v>
      </c>
      <c r="AN31" s="188">
        <v>0</v>
      </c>
      <c r="AO31" s="188"/>
      <c r="AP31" s="188"/>
      <c r="AQ31" s="187"/>
    </row>
    <row r="32" spans="1:59" ht="13.5" customHeight="1" x14ac:dyDescent="0.25">
      <c r="A32" s="181"/>
      <c r="B32" s="200">
        <v>3231201</v>
      </c>
      <c r="C32" s="128" t="s">
        <v>44</v>
      </c>
      <c r="D32" s="201"/>
      <c r="E32" s="193" t="s">
        <v>143</v>
      </c>
      <c r="F32" s="604">
        <v>301.5</v>
      </c>
      <c r="G32" s="605">
        <v>22.54</v>
      </c>
      <c r="H32" s="606"/>
      <c r="I32" s="605">
        <v>278.95999999999998</v>
      </c>
      <c r="J32" s="605">
        <v>0</v>
      </c>
      <c r="K32" s="184"/>
      <c r="L32" s="185"/>
      <c r="M32" s="186"/>
      <c r="N32" s="202"/>
      <c r="O32" s="194" t="s">
        <v>143</v>
      </c>
      <c r="P32" s="618">
        <v>196.17</v>
      </c>
      <c r="Q32" s="624">
        <v>21.029423999999999</v>
      </c>
      <c r="R32" s="188"/>
      <c r="S32" s="624">
        <v>175.14057600000001</v>
      </c>
      <c r="T32" s="624">
        <v>0</v>
      </c>
      <c r="U32" s="188"/>
      <c r="V32" s="188"/>
      <c r="W32" s="187"/>
      <c r="X32" s="202"/>
      <c r="Y32" s="194" t="s">
        <v>143</v>
      </c>
      <c r="Z32" s="618">
        <v>23.34600000000005</v>
      </c>
      <c r="AA32" s="624">
        <v>2.502691200000005</v>
      </c>
      <c r="AB32" s="188"/>
      <c r="AC32" s="624">
        <v>20.843308800000049</v>
      </c>
      <c r="AD32" s="624">
        <v>0</v>
      </c>
      <c r="AE32" s="188"/>
      <c r="AF32" s="188"/>
      <c r="AG32" s="187"/>
      <c r="AH32" s="202"/>
      <c r="AI32" s="194" t="s">
        <v>143</v>
      </c>
      <c r="AJ32" s="618">
        <v>15.56400000000003</v>
      </c>
      <c r="AK32" s="632">
        <v>1.6684608000000041</v>
      </c>
      <c r="AL32" s="624"/>
      <c r="AM32" s="624">
        <v>13.89553920000003</v>
      </c>
      <c r="AN32" s="188">
        <v>0</v>
      </c>
      <c r="AO32" s="188"/>
      <c r="AP32" s="188"/>
      <c r="AQ32" s="187"/>
    </row>
    <row r="33" spans="1:43" ht="36.75" customHeight="1" x14ac:dyDescent="0.25">
      <c r="A33" s="181"/>
      <c r="B33" s="204">
        <v>3231201</v>
      </c>
      <c r="C33" s="123" t="s">
        <v>45</v>
      </c>
      <c r="D33" s="201"/>
      <c r="E33" s="201"/>
      <c r="F33" s="604">
        <v>1346.63</v>
      </c>
      <c r="G33" s="605">
        <v>80.34</v>
      </c>
      <c r="H33" s="606"/>
      <c r="I33" s="605">
        <v>1266.29</v>
      </c>
      <c r="J33" s="605">
        <v>0</v>
      </c>
      <c r="K33" s="184"/>
      <c r="L33" s="185"/>
      <c r="M33" s="186"/>
      <c r="N33" s="202"/>
      <c r="O33" s="194" t="s">
        <v>143</v>
      </c>
      <c r="P33" s="618">
        <v>677.14</v>
      </c>
      <c r="Q33" s="624">
        <v>72.589408000000006</v>
      </c>
      <c r="R33" s="188"/>
      <c r="S33" s="624">
        <v>604.55059200000005</v>
      </c>
      <c r="T33" s="624">
        <v>0</v>
      </c>
      <c r="U33" s="188"/>
      <c r="V33" s="188"/>
      <c r="W33" s="187"/>
      <c r="X33" s="202"/>
      <c r="Y33" s="194" t="s">
        <v>143</v>
      </c>
      <c r="Z33" s="618">
        <v>703.09890000000019</v>
      </c>
      <c r="AA33" s="624">
        <v>75.372202080000022</v>
      </c>
      <c r="AB33" s="188"/>
      <c r="AC33" s="624">
        <v>627.72669792000022</v>
      </c>
      <c r="AD33" s="624">
        <v>0</v>
      </c>
      <c r="AE33" s="188"/>
      <c r="AF33" s="188"/>
      <c r="AG33" s="187"/>
      <c r="AH33" s="202"/>
      <c r="AI33" s="194" t="s">
        <v>143</v>
      </c>
      <c r="AJ33" s="618">
        <v>412.93110000000007</v>
      </c>
      <c r="AK33" s="632">
        <v>44.266213920000013</v>
      </c>
      <c r="AL33" s="624"/>
      <c r="AM33" s="624">
        <v>368.66488608000009</v>
      </c>
      <c r="AN33" s="188">
        <v>0</v>
      </c>
      <c r="AO33" s="188"/>
      <c r="AP33" s="188"/>
      <c r="AQ33" s="187"/>
    </row>
    <row r="34" spans="1:43" ht="38.25" customHeight="1" x14ac:dyDescent="0.25">
      <c r="A34" s="181"/>
      <c r="B34" s="204">
        <v>3231201</v>
      </c>
      <c r="C34" s="123" t="s">
        <v>46</v>
      </c>
      <c r="D34" s="201"/>
      <c r="E34" s="201"/>
      <c r="F34" s="604">
        <v>578.20000000000005</v>
      </c>
      <c r="G34" s="605">
        <v>35.47</v>
      </c>
      <c r="H34" s="606"/>
      <c r="I34" s="605">
        <v>542.73</v>
      </c>
      <c r="J34" s="605">
        <v>0</v>
      </c>
      <c r="K34" s="184"/>
      <c r="L34" s="185"/>
      <c r="M34" s="186"/>
      <c r="N34" s="202"/>
      <c r="O34" s="194" t="s">
        <v>143</v>
      </c>
      <c r="P34" s="618">
        <v>246.66</v>
      </c>
      <c r="Q34" s="624">
        <v>26.441952000000001</v>
      </c>
      <c r="R34" s="188"/>
      <c r="S34" s="624">
        <v>220.21804800000001</v>
      </c>
      <c r="T34" s="624">
        <v>0</v>
      </c>
      <c r="U34" s="188"/>
      <c r="V34" s="188"/>
      <c r="W34" s="187"/>
      <c r="X34" s="202"/>
      <c r="Y34" s="194" t="s">
        <v>143</v>
      </c>
      <c r="Z34" s="618">
        <v>273.25099999999998</v>
      </c>
      <c r="AA34" s="624">
        <v>29.292507199999999</v>
      </c>
      <c r="AB34" s="188"/>
      <c r="AC34" s="624">
        <v>243.95849279999999</v>
      </c>
      <c r="AD34" s="624">
        <v>0</v>
      </c>
      <c r="AE34" s="188"/>
      <c r="AF34" s="188"/>
      <c r="AG34" s="187"/>
      <c r="AH34" s="202"/>
      <c r="AI34" s="194" t="s">
        <v>143</v>
      </c>
      <c r="AJ34" s="618">
        <v>223.56899999999999</v>
      </c>
      <c r="AK34" s="632">
        <v>23.966596800000001</v>
      </c>
      <c r="AL34" s="624"/>
      <c r="AM34" s="624">
        <v>199.6024032</v>
      </c>
      <c r="AN34" s="188">
        <v>0</v>
      </c>
      <c r="AO34" s="188"/>
      <c r="AP34" s="188"/>
      <c r="AQ34" s="187"/>
    </row>
    <row r="35" spans="1:43" ht="18" customHeight="1" x14ac:dyDescent="0.25">
      <c r="A35" s="181"/>
      <c r="B35" s="127">
        <v>3211109</v>
      </c>
      <c r="C35" s="126" t="s">
        <v>47</v>
      </c>
      <c r="D35" s="192"/>
      <c r="E35" s="193" t="s">
        <v>143</v>
      </c>
      <c r="F35" s="604">
        <v>10.96</v>
      </c>
      <c r="G35" s="605">
        <v>10.96</v>
      </c>
      <c r="H35" s="606"/>
      <c r="I35" s="605">
        <v>0</v>
      </c>
      <c r="J35" s="605">
        <v>0</v>
      </c>
      <c r="K35" s="184"/>
      <c r="L35" s="185"/>
      <c r="M35" s="186"/>
      <c r="N35" s="94"/>
      <c r="O35" s="194" t="s">
        <v>143</v>
      </c>
      <c r="P35" s="618">
        <v>3.5</v>
      </c>
      <c r="Q35" s="624">
        <v>3.5</v>
      </c>
      <c r="R35" s="188"/>
      <c r="S35" s="624">
        <v>0</v>
      </c>
      <c r="T35" s="624">
        <v>0</v>
      </c>
      <c r="U35" s="188"/>
      <c r="V35" s="188"/>
      <c r="W35" s="187"/>
      <c r="X35" s="94"/>
      <c r="Y35" s="194" t="s">
        <v>143</v>
      </c>
      <c r="Z35" s="618">
        <v>4.6747999999999994</v>
      </c>
      <c r="AA35" s="624">
        <v>4.6747999999999994</v>
      </c>
      <c r="AB35" s="188"/>
      <c r="AC35" s="624">
        <v>0</v>
      </c>
      <c r="AD35" s="624">
        <v>0</v>
      </c>
      <c r="AE35" s="188"/>
      <c r="AF35" s="188"/>
      <c r="AG35" s="187"/>
      <c r="AH35" s="94"/>
      <c r="AI35" s="194" t="s">
        <v>143</v>
      </c>
      <c r="AJ35" s="618">
        <v>2.8652000000000002</v>
      </c>
      <c r="AK35" s="632">
        <v>2.8652000000000002</v>
      </c>
      <c r="AL35" s="624"/>
      <c r="AM35" s="624">
        <v>0</v>
      </c>
      <c r="AN35" s="188">
        <v>0</v>
      </c>
      <c r="AO35" s="188"/>
      <c r="AP35" s="188"/>
      <c r="AQ35" s="187"/>
    </row>
    <row r="36" spans="1:43" ht="15.75" customHeight="1" x14ac:dyDescent="0.25">
      <c r="A36" s="181"/>
      <c r="B36" s="191">
        <v>3256103</v>
      </c>
      <c r="C36" s="126" t="s">
        <v>48</v>
      </c>
      <c r="D36" s="192"/>
      <c r="E36" s="193" t="s">
        <v>143</v>
      </c>
      <c r="F36" s="604">
        <v>3.74</v>
      </c>
      <c r="G36" s="605">
        <v>3.74</v>
      </c>
      <c r="H36" s="606"/>
      <c r="I36" s="605">
        <v>0</v>
      </c>
      <c r="J36" s="605">
        <v>0</v>
      </c>
      <c r="K36" s="184"/>
      <c r="L36" s="185"/>
      <c r="M36" s="186"/>
      <c r="N36" s="94"/>
      <c r="O36" s="194" t="s">
        <v>143</v>
      </c>
      <c r="P36" s="618">
        <v>3</v>
      </c>
      <c r="Q36" s="624">
        <v>3</v>
      </c>
      <c r="R36" s="188"/>
      <c r="S36" s="624">
        <v>0</v>
      </c>
      <c r="T36" s="624">
        <v>0</v>
      </c>
      <c r="U36" s="188"/>
      <c r="V36" s="188"/>
      <c r="W36" s="187"/>
      <c r="X36" s="94"/>
      <c r="Y36" s="194" t="s">
        <v>143</v>
      </c>
      <c r="Z36" s="618">
        <v>4.7907999999999999</v>
      </c>
      <c r="AA36" s="624">
        <v>4.7907999999999999</v>
      </c>
      <c r="AB36" s="188"/>
      <c r="AC36" s="624">
        <v>0</v>
      </c>
      <c r="AD36" s="624">
        <v>0</v>
      </c>
      <c r="AE36" s="188"/>
      <c r="AF36" s="188"/>
      <c r="AG36" s="187"/>
      <c r="AH36" s="94"/>
      <c r="AI36" s="194" t="s">
        <v>143</v>
      </c>
      <c r="AJ36" s="618">
        <v>3.4691999999999998</v>
      </c>
      <c r="AK36" s="632">
        <v>3.4691999999999998</v>
      </c>
      <c r="AL36" s="624"/>
      <c r="AM36" s="624">
        <v>0</v>
      </c>
      <c r="AN36" s="188">
        <v>0</v>
      </c>
      <c r="AO36" s="188"/>
      <c r="AP36" s="188"/>
      <c r="AQ36" s="187"/>
    </row>
    <row r="37" spans="1:43" ht="32.25" customHeight="1" x14ac:dyDescent="0.25">
      <c r="A37" s="181"/>
      <c r="B37" s="193">
        <v>3257101</v>
      </c>
      <c r="C37" s="126" t="s">
        <v>49</v>
      </c>
      <c r="D37" s="192"/>
      <c r="E37" s="193" t="s">
        <v>143</v>
      </c>
      <c r="F37" s="604">
        <v>5168.01</v>
      </c>
      <c r="G37" s="605">
        <v>0</v>
      </c>
      <c r="H37" s="606"/>
      <c r="I37" s="605">
        <v>0</v>
      </c>
      <c r="J37" s="605">
        <v>5168.01</v>
      </c>
      <c r="K37" s="184"/>
      <c r="L37" s="185"/>
      <c r="M37" s="186"/>
      <c r="N37" s="94" t="s">
        <v>50</v>
      </c>
      <c r="O37" s="194" t="s">
        <v>143</v>
      </c>
      <c r="P37" s="618">
        <v>500</v>
      </c>
      <c r="Q37" s="624">
        <v>0</v>
      </c>
      <c r="R37" s="188"/>
      <c r="S37" s="624">
        <v>0</v>
      </c>
      <c r="T37" s="624">
        <v>500</v>
      </c>
      <c r="U37" s="188"/>
      <c r="V37" s="188"/>
      <c r="W37" s="187"/>
      <c r="X37" s="94" t="s">
        <v>50</v>
      </c>
      <c r="Y37" s="194" t="s">
        <v>143</v>
      </c>
      <c r="Z37" s="618">
        <v>1362.3679</v>
      </c>
      <c r="AA37" s="624">
        <v>0</v>
      </c>
      <c r="AB37" s="188"/>
      <c r="AC37" s="624">
        <v>0</v>
      </c>
      <c r="AD37" s="624">
        <v>1362.3679</v>
      </c>
      <c r="AE37" s="188"/>
      <c r="AF37" s="188"/>
      <c r="AG37" s="187"/>
      <c r="AH37" s="94" t="s">
        <v>50</v>
      </c>
      <c r="AI37" s="194" t="s">
        <v>143</v>
      </c>
      <c r="AJ37" s="618">
        <v>871.0220999999998</v>
      </c>
      <c r="AK37" s="632">
        <v>0</v>
      </c>
      <c r="AL37" s="624"/>
      <c r="AM37" s="624">
        <v>0</v>
      </c>
      <c r="AN37" s="188">
        <v>871.0220999999998</v>
      </c>
      <c r="AO37" s="188"/>
      <c r="AP37" s="188"/>
      <c r="AQ37" s="187"/>
    </row>
    <row r="38" spans="1:43" ht="18" customHeight="1" x14ac:dyDescent="0.25">
      <c r="A38" s="181"/>
      <c r="B38" s="205">
        <v>3111332</v>
      </c>
      <c r="C38" s="96" t="s">
        <v>53</v>
      </c>
      <c r="D38" s="206"/>
      <c r="E38" s="193" t="s">
        <v>143</v>
      </c>
      <c r="F38" s="604">
        <v>12.73</v>
      </c>
      <c r="G38" s="605">
        <v>12.73</v>
      </c>
      <c r="H38" s="606"/>
      <c r="I38" s="605">
        <v>0</v>
      </c>
      <c r="J38" s="605">
        <v>0</v>
      </c>
      <c r="K38" s="184"/>
      <c r="L38" s="185"/>
      <c r="M38" s="186"/>
      <c r="N38" s="118"/>
      <c r="O38" s="194" t="s">
        <v>143</v>
      </c>
      <c r="P38" s="618">
        <v>5</v>
      </c>
      <c r="Q38" s="624">
        <v>5</v>
      </c>
      <c r="R38" s="188"/>
      <c r="S38" s="624">
        <v>0</v>
      </c>
      <c r="T38" s="624">
        <v>0</v>
      </c>
      <c r="U38" s="188"/>
      <c r="V38" s="188"/>
      <c r="W38" s="187"/>
      <c r="X38" s="118"/>
      <c r="Y38" s="194" t="s">
        <v>143</v>
      </c>
      <c r="Z38" s="618">
        <v>7.1165999999999991</v>
      </c>
      <c r="AA38" s="624">
        <v>7.1165999999999991</v>
      </c>
      <c r="AB38" s="188"/>
      <c r="AC38" s="624">
        <v>0</v>
      </c>
      <c r="AD38" s="624">
        <v>0</v>
      </c>
      <c r="AE38" s="188"/>
      <c r="AF38" s="188"/>
      <c r="AG38" s="187"/>
      <c r="AH38" s="118"/>
      <c r="AI38" s="194" t="s">
        <v>143</v>
      </c>
      <c r="AJ38" s="618">
        <v>5.1534000000000004</v>
      </c>
      <c r="AK38" s="632">
        <v>5.1534000000000004</v>
      </c>
      <c r="AL38" s="624"/>
      <c r="AM38" s="624">
        <v>0</v>
      </c>
      <c r="AN38" s="188">
        <v>0</v>
      </c>
      <c r="AO38" s="188"/>
      <c r="AP38" s="188"/>
      <c r="AQ38" s="187"/>
    </row>
    <row r="39" spans="1:43" ht="18" customHeight="1" x14ac:dyDescent="0.25">
      <c r="A39" s="181"/>
      <c r="B39" s="207">
        <v>3111332</v>
      </c>
      <c r="C39" s="96" t="s">
        <v>54</v>
      </c>
      <c r="D39" s="206"/>
      <c r="E39" s="206"/>
      <c r="F39" s="604">
        <v>1.29</v>
      </c>
      <c r="G39" s="605">
        <v>1.29</v>
      </c>
      <c r="H39" s="606"/>
      <c r="I39" s="605">
        <v>0</v>
      </c>
      <c r="J39" s="605">
        <v>0</v>
      </c>
      <c r="K39" s="184"/>
      <c r="L39" s="185"/>
      <c r="M39" s="186"/>
      <c r="N39" s="118"/>
      <c r="O39" s="194" t="s">
        <v>143</v>
      </c>
      <c r="P39" s="618">
        <v>1</v>
      </c>
      <c r="Q39" s="624">
        <v>1</v>
      </c>
      <c r="R39" s="188"/>
      <c r="S39" s="624">
        <v>0</v>
      </c>
      <c r="T39" s="624">
        <v>0</v>
      </c>
      <c r="U39" s="188"/>
      <c r="V39" s="188"/>
      <c r="W39" s="187"/>
      <c r="X39" s="118"/>
      <c r="Y39" s="194"/>
      <c r="Z39" s="618">
        <v>7.71</v>
      </c>
      <c r="AA39" s="624">
        <v>7.71</v>
      </c>
      <c r="AB39" s="188"/>
      <c r="AC39" s="624">
        <v>0</v>
      </c>
      <c r="AD39" s="624">
        <v>0</v>
      </c>
      <c r="AE39" s="188"/>
      <c r="AF39" s="188"/>
      <c r="AG39" s="187"/>
      <c r="AH39" s="118"/>
      <c r="AI39" s="194"/>
      <c r="AJ39" s="618">
        <v>0</v>
      </c>
      <c r="AK39" s="632">
        <v>0</v>
      </c>
      <c r="AL39" s="624"/>
      <c r="AM39" s="624">
        <v>0</v>
      </c>
      <c r="AN39" s="188">
        <v>0</v>
      </c>
      <c r="AO39" s="188"/>
      <c r="AP39" s="188"/>
      <c r="AQ39" s="187"/>
    </row>
    <row r="40" spans="1:43" ht="18" customHeight="1" x14ac:dyDescent="0.25">
      <c r="A40" s="181"/>
      <c r="B40" s="208">
        <v>3111332</v>
      </c>
      <c r="C40" s="96" t="s">
        <v>55</v>
      </c>
      <c r="D40" s="206"/>
      <c r="E40" s="206"/>
      <c r="F40" s="604">
        <v>1.3</v>
      </c>
      <c r="G40" s="605">
        <v>1.3</v>
      </c>
      <c r="H40" s="606"/>
      <c r="I40" s="605">
        <v>0</v>
      </c>
      <c r="J40" s="605">
        <v>0</v>
      </c>
      <c r="K40" s="184"/>
      <c r="L40" s="185"/>
      <c r="M40" s="186"/>
      <c r="N40" s="118"/>
      <c r="O40" s="194" t="s">
        <v>143</v>
      </c>
      <c r="P40" s="618">
        <v>1</v>
      </c>
      <c r="Q40" s="624">
        <v>1</v>
      </c>
      <c r="R40" s="188"/>
      <c r="S40" s="624">
        <v>0</v>
      </c>
      <c r="T40" s="624">
        <v>0</v>
      </c>
      <c r="U40" s="188"/>
      <c r="V40" s="188"/>
      <c r="W40" s="187"/>
      <c r="X40" s="118"/>
      <c r="Y40" s="194" t="s">
        <v>143</v>
      </c>
      <c r="Z40" s="618">
        <v>4.774</v>
      </c>
      <c r="AA40" s="624">
        <v>4.774</v>
      </c>
      <c r="AB40" s="188"/>
      <c r="AC40" s="624">
        <v>0</v>
      </c>
      <c r="AD40" s="624">
        <v>0</v>
      </c>
      <c r="AE40" s="188"/>
      <c r="AF40" s="188"/>
      <c r="AG40" s="187"/>
      <c r="AH40" s="118"/>
      <c r="AI40" s="194" t="s">
        <v>143</v>
      </c>
      <c r="AJ40" s="618">
        <v>2.9260000000000002</v>
      </c>
      <c r="AK40" s="632">
        <v>2.9260000000000002</v>
      </c>
      <c r="AL40" s="624"/>
      <c r="AM40" s="624">
        <v>0</v>
      </c>
      <c r="AN40" s="188">
        <v>0</v>
      </c>
      <c r="AO40" s="188"/>
      <c r="AP40" s="188"/>
      <c r="AQ40" s="187"/>
    </row>
    <row r="41" spans="1:43" ht="18" customHeight="1" x14ac:dyDescent="0.25">
      <c r="A41" s="181"/>
      <c r="B41" s="193">
        <v>3257104</v>
      </c>
      <c r="C41" s="96" t="s">
        <v>56</v>
      </c>
      <c r="D41" s="206"/>
      <c r="E41" s="193" t="s">
        <v>143</v>
      </c>
      <c r="F41" s="604">
        <v>85.02</v>
      </c>
      <c r="G41" s="605">
        <v>85.02</v>
      </c>
      <c r="H41" s="606"/>
      <c r="I41" s="605">
        <v>0</v>
      </c>
      <c r="J41" s="605">
        <v>0</v>
      </c>
      <c r="K41" s="184"/>
      <c r="L41" s="185"/>
      <c r="M41" s="186"/>
      <c r="N41" s="118"/>
      <c r="O41" s="194" t="s">
        <v>143</v>
      </c>
      <c r="P41" s="618">
        <v>50</v>
      </c>
      <c r="Q41" s="624">
        <v>50</v>
      </c>
      <c r="R41" s="188"/>
      <c r="S41" s="624">
        <v>0</v>
      </c>
      <c r="T41" s="624">
        <v>0</v>
      </c>
      <c r="U41" s="188"/>
      <c r="V41" s="188"/>
      <c r="W41" s="187"/>
      <c r="X41" s="118"/>
      <c r="Y41" s="194" t="s">
        <v>143</v>
      </c>
      <c r="Z41" s="618">
        <v>15.37859999999999</v>
      </c>
      <c r="AA41" s="624">
        <v>15.37859999999999</v>
      </c>
      <c r="AB41" s="188"/>
      <c r="AC41" s="624">
        <v>0</v>
      </c>
      <c r="AD41" s="624">
        <v>0</v>
      </c>
      <c r="AE41" s="188"/>
      <c r="AF41" s="188"/>
      <c r="AG41" s="187"/>
      <c r="AH41" s="118"/>
      <c r="AI41" s="194" t="s">
        <v>143</v>
      </c>
      <c r="AJ41" s="618">
        <v>11.601399999999989</v>
      </c>
      <c r="AK41" s="632">
        <v>11.601399999999989</v>
      </c>
      <c r="AL41" s="624"/>
      <c r="AM41" s="624">
        <v>0</v>
      </c>
      <c r="AN41" s="188">
        <v>0</v>
      </c>
      <c r="AO41" s="188"/>
      <c r="AP41" s="188"/>
      <c r="AQ41" s="187"/>
    </row>
    <row r="42" spans="1:43" ht="18" customHeight="1" x14ac:dyDescent="0.25">
      <c r="A42" s="181"/>
      <c r="B42" s="193">
        <v>3255101</v>
      </c>
      <c r="C42" s="126" t="s">
        <v>57</v>
      </c>
      <c r="D42" s="206"/>
      <c r="E42" s="193" t="s">
        <v>143</v>
      </c>
      <c r="F42" s="604">
        <v>20.47</v>
      </c>
      <c r="G42" s="605">
        <v>20.47</v>
      </c>
      <c r="H42" s="606"/>
      <c r="I42" s="605">
        <v>0</v>
      </c>
      <c r="J42" s="605">
        <v>0</v>
      </c>
      <c r="K42" s="184"/>
      <c r="L42" s="185"/>
      <c r="M42" s="186"/>
      <c r="N42" s="118"/>
      <c r="O42" s="194" t="s">
        <v>143</v>
      </c>
      <c r="P42" s="618">
        <v>10</v>
      </c>
      <c r="Q42" s="624">
        <v>10</v>
      </c>
      <c r="R42" s="188"/>
      <c r="S42" s="624">
        <v>0</v>
      </c>
      <c r="T42" s="624">
        <v>0</v>
      </c>
      <c r="U42" s="188"/>
      <c r="V42" s="188"/>
      <c r="W42" s="187"/>
      <c r="X42" s="118"/>
      <c r="Y42" s="194" t="s">
        <v>143</v>
      </c>
      <c r="Z42" s="618">
        <v>16.241499999999998</v>
      </c>
      <c r="AA42" s="624">
        <v>16.241499999999998</v>
      </c>
      <c r="AB42" s="188"/>
      <c r="AC42" s="624">
        <v>0</v>
      </c>
      <c r="AD42" s="624">
        <v>0</v>
      </c>
      <c r="AE42" s="188"/>
      <c r="AF42" s="188"/>
      <c r="AG42" s="187"/>
      <c r="AH42" s="118"/>
      <c r="AI42" s="194" t="s">
        <v>143</v>
      </c>
      <c r="AJ42" s="618">
        <v>13.288500000000001</v>
      </c>
      <c r="AK42" s="632">
        <v>13.288500000000001</v>
      </c>
      <c r="AL42" s="624"/>
      <c r="AM42" s="624">
        <v>0</v>
      </c>
      <c r="AN42" s="188">
        <v>0</v>
      </c>
      <c r="AO42" s="188"/>
      <c r="AP42" s="188"/>
      <c r="AQ42" s="187"/>
    </row>
    <row r="43" spans="1:43" ht="18" customHeight="1" x14ac:dyDescent="0.25">
      <c r="A43" s="181"/>
      <c r="B43" s="193">
        <v>3256101</v>
      </c>
      <c r="C43" s="126" t="s">
        <v>58</v>
      </c>
      <c r="D43" s="206"/>
      <c r="E43" s="193" t="s">
        <v>143</v>
      </c>
      <c r="F43" s="604">
        <v>875.46</v>
      </c>
      <c r="G43" s="605">
        <v>875.46</v>
      </c>
      <c r="H43" s="606"/>
      <c r="I43" s="605">
        <v>0</v>
      </c>
      <c r="J43" s="605">
        <v>0</v>
      </c>
      <c r="K43" s="184"/>
      <c r="L43" s="185"/>
      <c r="M43" s="186"/>
      <c r="N43" s="118"/>
      <c r="O43" s="194" t="s">
        <v>143</v>
      </c>
      <c r="P43" s="618">
        <v>300</v>
      </c>
      <c r="Q43" s="624">
        <v>300</v>
      </c>
      <c r="R43" s="188"/>
      <c r="S43" s="624">
        <v>0</v>
      </c>
      <c r="T43" s="624">
        <v>0</v>
      </c>
      <c r="U43" s="188"/>
      <c r="V43" s="188"/>
      <c r="W43" s="187"/>
      <c r="X43" s="118"/>
      <c r="Y43" s="194" t="s">
        <v>143</v>
      </c>
      <c r="Z43" s="618">
        <v>298.98779999999988</v>
      </c>
      <c r="AA43" s="624">
        <v>298.98779999999988</v>
      </c>
      <c r="AB43" s="188"/>
      <c r="AC43" s="624">
        <v>0</v>
      </c>
      <c r="AD43" s="624">
        <v>0</v>
      </c>
      <c r="AE43" s="188"/>
      <c r="AF43" s="188"/>
      <c r="AG43" s="187"/>
      <c r="AH43" s="118"/>
      <c r="AI43" s="194" t="s">
        <v>143</v>
      </c>
      <c r="AJ43" s="618">
        <v>225.5522</v>
      </c>
      <c r="AK43" s="632">
        <v>225.5522</v>
      </c>
      <c r="AL43" s="624"/>
      <c r="AM43" s="624">
        <v>0</v>
      </c>
      <c r="AN43" s="188">
        <v>0</v>
      </c>
      <c r="AO43" s="188"/>
      <c r="AP43" s="188"/>
      <c r="AQ43" s="187"/>
    </row>
    <row r="44" spans="1:43" ht="18" customHeight="1" x14ac:dyDescent="0.25">
      <c r="A44" s="181"/>
      <c r="B44" s="182"/>
      <c r="C44" s="209" t="s">
        <v>145</v>
      </c>
      <c r="D44" s="209"/>
      <c r="E44" s="209"/>
      <c r="F44" s="604"/>
      <c r="G44" s="605"/>
      <c r="H44" s="605"/>
      <c r="I44" s="605"/>
      <c r="J44" s="605"/>
      <c r="K44" s="184"/>
      <c r="L44" s="185"/>
      <c r="M44" s="186"/>
      <c r="N44" s="210"/>
      <c r="O44" s="211"/>
      <c r="P44" s="618"/>
      <c r="Q44" s="624"/>
      <c r="R44" s="188"/>
      <c r="S44" s="624"/>
      <c r="T44" s="624"/>
      <c r="U44" s="188"/>
      <c r="V44" s="188"/>
      <c r="W44" s="187"/>
      <c r="X44" s="210"/>
      <c r="Y44" s="211"/>
      <c r="Z44" s="618"/>
      <c r="AA44" s="624"/>
      <c r="AB44" s="188"/>
      <c r="AC44" s="624"/>
      <c r="AD44" s="624"/>
      <c r="AE44" s="188"/>
      <c r="AF44" s="188"/>
      <c r="AG44" s="187"/>
      <c r="AH44" s="210"/>
      <c r="AI44" s="211"/>
      <c r="AJ44" s="618"/>
      <c r="AK44" s="632"/>
      <c r="AL44" s="624"/>
      <c r="AM44" s="624"/>
      <c r="AN44" s="188"/>
      <c r="AO44" s="188"/>
      <c r="AP44" s="188"/>
      <c r="AQ44" s="187"/>
    </row>
    <row r="45" spans="1:43" ht="18" customHeight="1" x14ac:dyDescent="0.25">
      <c r="A45" s="181"/>
      <c r="B45" s="191">
        <v>3258101</v>
      </c>
      <c r="C45" s="97" t="s">
        <v>60</v>
      </c>
      <c r="D45" s="192"/>
      <c r="E45" s="193" t="s">
        <v>143</v>
      </c>
      <c r="F45" s="604">
        <v>61.4</v>
      </c>
      <c r="G45" s="605">
        <v>61.4</v>
      </c>
      <c r="H45" s="606"/>
      <c r="I45" s="605">
        <v>0</v>
      </c>
      <c r="J45" s="605">
        <v>0</v>
      </c>
      <c r="K45" s="184"/>
      <c r="L45" s="185"/>
      <c r="M45" s="186"/>
      <c r="N45" s="94"/>
      <c r="O45" s="194" t="s">
        <v>143</v>
      </c>
      <c r="P45" s="618">
        <v>15</v>
      </c>
      <c r="Q45" s="624">
        <v>15</v>
      </c>
      <c r="R45" s="188"/>
      <c r="S45" s="624">
        <v>0</v>
      </c>
      <c r="T45" s="624">
        <v>0</v>
      </c>
      <c r="U45" s="188"/>
      <c r="V45" s="188"/>
      <c r="W45" s="187"/>
      <c r="X45" s="94"/>
      <c r="Y45" s="194" t="s">
        <v>143</v>
      </c>
      <c r="Z45" s="618">
        <v>26.73</v>
      </c>
      <c r="AA45" s="624">
        <v>26.73</v>
      </c>
      <c r="AB45" s="188"/>
      <c r="AC45" s="624">
        <v>0</v>
      </c>
      <c r="AD45" s="624">
        <v>0</v>
      </c>
      <c r="AE45" s="188"/>
      <c r="AF45" s="188"/>
      <c r="AG45" s="187"/>
      <c r="AH45" s="94"/>
      <c r="AI45" s="194" t="s">
        <v>143</v>
      </c>
      <c r="AJ45" s="618">
        <v>21.87</v>
      </c>
      <c r="AK45" s="632">
        <v>21.87</v>
      </c>
      <c r="AL45" s="624"/>
      <c r="AM45" s="624">
        <v>0</v>
      </c>
      <c r="AN45" s="188">
        <v>0</v>
      </c>
      <c r="AO45" s="188"/>
      <c r="AP45" s="188"/>
      <c r="AQ45" s="187"/>
    </row>
    <row r="46" spans="1:43" ht="18" customHeight="1" x14ac:dyDescent="0.25">
      <c r="A46" s="181"/>
      <c r="B46" s="191">
        <v>3258102</v>
      </c>
      <c r="C46" s="126" t="s">
        <v>62</v>
      </c>
      <c r="D46" s="192"/>
      <c r="E46" s="193" t="s">
        <v>143</v>
      </c>
      <c r="F46" s="604">
        <v>3.2</v>
      </c>
      <c r="G46" s="605">
        <v>3.2</v>
      </c>
      <c r="H46" s="606"/>
      <c r="I46" s="605">
        <v>0</v>
      </c>
      <c r="J46" s="605">
        <v>0</v>
      </c>
      <c r="K46" s="184"/>
      <c r="L46" s="185"/>
      <c r="M46" s="186"/>
      <c r="N46" s="94"/>
      <c r="O46" s="194" t="s">
        <v>143</v>
      </c>
      <c r="P46" s="618">
        <v>2</v>
      </c>
      <c r="Q46" s="624">
        <v>2</v>
      </c>
      <c r="R46" s="188"/>
      <c r="S46" s="624">
        <v>0</v>
      </c>
      <c r="T46" s="624">
        <v>0</v>
      </c>
      <c r="U46" s="188"/>
      <c r="V46" s="188"/>
      <c r="W46" s="187"/>
      <c r="X46" s="94"/>
      <c r="Y46" s="194" t="s">
        <v>143</v>
      </c>
      <c r="Z46" s="618">
        <v>2.88</v>
      </c>
      <c r="AA46" s="624">
        <v>2.88</v>
      </c>
      <c r="AB46" s="188"/>
      <c r="AC46" s="624">
        <v>0</v>
      </c>
      <c r="AD46" s="624">
        <v>0</v>
      </c>
      <c r="AE46" s="188"/>
      <c r="AF46" s="188"/>
      <c r="AG46" s="187"/>
      <c r="AH46" s="94"/>
      <c r="AI46" s="194" t="s">
        <v>143</v>
      </c>
      <c r="AJ46" s="618">
        <v>1.92</v>
      </c>
      <c r="AK46" s="632">
        <v>1.92</v>
      </c>
      <c r="AL46" s="624"/>
      <c r="AM46" s="624">
        <v>0</v>
      </c>
      <c r="AN46" s="188">
        <v>0</v>
      </c>
      <c r="AO46" s="188"/>
      <c r="AP46" s="188"/>
      <c r="AQ46" s="187"/>
    </row>
    <row r="47" spans="1:43" ht="18" customHeight="1" x14ac:dyDescent="0.25">
      <c r="A47" s="181"/>
      <c r="B47" s="191">
        <v>3258103</v>
      </c>
      <c r="C47" s="126" t="s">
        <v>63</v>
      </c>
      <c r="D47" s="192"/>
      <c r="E47" s="193" t="s">
        <v>143</v>
      </c>
      <c r="F47" s="604">
        <v>5.34</v>
      </c>
      <c r="G47" s="605">
        <v>5.34</v>
      </c>
      <c r="H47" s="606"/>
      <c r="I47" s="605">
        <v>0</v>
      </c>
      <c r="J47" s="605">
        <v>0</v>
      </c>
      <c r="K47" s="184"/>
      <c r="L47" s="185"/>
      <c r="M47" s="186"/>
      <c r="N47" s="94"/>
      <c r="O47" s="194" t="s">
        <v>143</v>
      </c>
      <c r="P47" s="618">
        <v>3</v>
      </c>
      <c r="Q47" s="624">
        <v>3</v>
      </c>
      <c r="R47" s="188"/>
      <c r="S47" s="624">
        <v>0</v>
      </c>
      <c r="T47" s="624">
        <v>0</v>
      </c>
      <c r="U47" s="188"/>
      <c r="V47" s="188"/>
      <c r="W47" s="187"/>
      <c r="X47" s="94"/>
      <c r="Y47" s="194" t="s">
        <v>143</v>
      </c>
      <c r="Z47" s="618">
        <v>3.9293999999999998</v>
      </c>
      <c r="AA47" s="624">
        <v>3.9293999999999998</v>
      </c>
      <c r="AB47" s="188"/>
      <c r="AC47" s="624">
        <v>0</v>
      </c>
      <c r="AD47" s="624">
        <v>0</v>
      </c>
      <c r="AE47" s="188"/>
      <c r="AF47" s="188"/>
      <c r="AG47" s="187"/>
      <c r="AH47" s="94"/>
      <c r="AI47" s="194" t="s">
        <v>143</v>
      </c>
      <c r="AJ47" s="618">
        <v>2.7305999999999999</v>
      </c>
      <c r="AK47" s="632">
        <v>2.7305999999999999</v>
      </c>
      <c r="AL47" s="624"/>
      <c r="AM47" s="624">
        <v>0</v>
      </c>
      <c r="AN47" s="188">
        <v>0</v>
      </c>
      <c r="AO47" s="188"/>
      <c r="AP47" s="188"/>
      <c r="AQ47" s="187"/>
    </row>
    <row r="48" spans="1:43" ht="18" customHeight="1" x14ac:dyDescent="0.25">
      <c r="A48" s="181"/>
      <c r="B48" s="191">
        <v>3258105</v>
      </c>
      <c r="C48" s="126" t="s">
        <v>64</v>
      </c>
      <c r="D48" s="192"/>
      <c r="E48" s="193" t="s">
        <v>143</v>
      </c>
      <c r="F48" s="604">
        <v>1.22</v>
      </c>
      <c r="G48" s="605">
        <v>1.22</v>
      </c>
      <c r="H48" s="606"/>
      <c r="I48" s="605">
        <v>0</v>
      </c>
      <c r="J48" s="605">
        <v>0</v>
      </c>
      <c r="K48" s="184"/>
      <c r="L48" s="185"/>
      <c r="M48" s="186"/>
      <c r="N48" s="94"/>
      <c r="O48" s="194" t="s">
        <v>143</v>
      </c>
      <c r="P48" s="618">
        <v>2</v>
      </c>
      <c r="Q48" s="624">
        <v>2</v>
      </c>
      <c r="R48" s="188"/>
      <c r="S48" s="624">
        <v>0</v>
      </c>
      <c r="T48" s="624">
        <v>0</v>
      </c>
      <c r="U48" s="188"/>
      <c r="V48" s="188"/>
      <c r="W48" s="187"/>
      <c r="X48" s="94"/>
      <c r="Y48" s="194" t="s">
        <v>143</v>
      </c>
      <c r="Z48" s="618">
        <v>4.1357999999999997</v>
      </c>
      <c r="AA48" s="624">
        <v>4.1357999999999997</v>
      </c>
      <c r="AB48" s="188"/>
      <c r="AC48" s="624">
        <v>0</v>
      </c>
      <c r="AD48" s="624">
        <v>0</v>
      </c>
      <c r="AE48" s="188"/>
      <c r="AF48" s="188"/>
      <c r="AG48" s="187"/>
      <c r="AH48" s="94"/>
      <c r="AI48" s="194" t="s">
        <v>143</v>
      </c>
      <c r="AJ48" s="618">
        <v>2.6442000000000001</v>
      </c>
      <c r="AK48" s="632">
        <v>2.6442000000000001</v>
      </c>
      <c r="AL48" s="624"/>
      <c r="AM48" s="624">
        <v>0</v>
      </c>
      <c r="AN48" s="188">
        <v>0</v>
      </c>
      <c r="AO48" s="188"/>
      <c r="AP48" s="188"/>
      <c r="AQ48" s="187"/>
    </row>
    <row r="49" spans="1:43" ht="18" customHeight="1" x14ac:dyDescent="0.25">
      <c r="A49" s="181"/>
      <c r="B49" s="127">
        <v>3258107</v>
      </c>
      <c r="C49" s="126" t="s">
        <v>65</v>
      </c>
      <c r="D49" s="126"/>
      <c r="E49" s="126"/>
      <c r="F49" s="604">
        <v>19.98</v>
      </c>
      <c r="G49" s="605">
        <v>19.98</v>
      </c>
      <c r="H49" s="606"/>
      <c r="I49" s="605">
        <v>0</v>
      </c>
      <c r="J49" s="605">
        <v>0</v>
      </c>
      <c r="K49" s="184"/>
      <c r="L49" s="185"/>
      <c r="M49" s="186"/>
      <c r="N49" s="94"/>
      <c r="O49" s="194" t="s">
        <v>143</v>
      </c>
      <c r="P49" s="618">
        <v>0</v>
      </c>
      <c r="Q49" s="624">
        <v>0</v>
      </c>
      <c r="R49" s="188"/>
      <c r="S49" s="624">
        <v>0</v>
      </c>
      <c r="T49" s="624">
        <v>0</v>
      </c>
      <c r="U49" s="188"/>
      <c r="V49" s="188"/>
      <c r="W49" s="187"/>
      <c r="X49" s="94"/>
      <c r="Y49" s="194" t="s">
        <v>143</v>
      </c>
      <c r="Z49" s="618">
        <v>2.9618000000000002</v>
      </c>
      <c r="AA49" s="624">
        <v>2.9618000000000002</v>
      </c>
      <c r="AB49" s="188"/>
      <c r="AC49" s="624">
        <v>0</v>
      </c>
      <c r="AD49" s="624">
        <v>0</v>
      </c>
      <c r="AE49" s="188"/>
      <c r="AF49" s="188"/>
      <c r="AG49" s="187"/>
      <c r="AH49" s="94"/>
      <c r="AI49" s="194" t="s">
        <v>143</v>
      </c>
      <c r="AJ49" s="618">
        <v>2.0581999999999998</v>
      </c>
      <c r="AK49" s="632">
        <v>2.0581999999999998</v>
      </c>
      <c r="AL49" s="624"/>
      <c r="AM49" s="624">
        <v>0</v>
      </c>
      <c r="AN49" s="188">
        <v>0</v>
      </c>
      <c r="AO49" s="188"/>
      <c r="AP49" s="188"/>
      <c r="AQ49" s="187"/>
    </row>
    <row r="50" spans="1:43" ht="18" customHeight="1" x14ac:dyDescent="0.25">
      <c r="A50" s="181"/>
      <c r="B50" s="127">
        <v>3258106</v>
      </c>
      <c r="C50" s="126" t="s">
        <v>66</v>
      </c>
      <c r="D50" s="126"/>
      <c r="E50" s="126"/>
      <c r="F50" s="604">
        <v>14.53</v>
      </c>
      <c r="G50" s="605">
        <v>14.53</v>
      </c>
      <c r="H50" s="606"/>
      <c r="I50" s="605">
        <v>0</v>
      </c>
      <c r="J50" s="605">
        <v>0</v>
      </c>
      <c r="K50" s="184"/>
      <c r="L50" s="185"/>
      <c r="M50" s="186"/>
      <c r="N50" s="94"/>
      <c r="O50" s="194" t="s">
        <v>143</v>
      </c>
      <c r="P50" s="618">
        <v>5</v>
      </c>
      <c r="Q50" s="624">
        <v>5</v>
      </c>
      <c r="R50" s="188"/>
      <c r="S50" s="624">
        <v>0</v>
      </c>
      <c r="T50" s="624">
        <v>0</v>
      </c>
      <c r="U50" s="188"/>
      <c r="V50" s="188"/>
      <c r="W50" s="187"/>
      <c r="X50" s="94"/>
      <c r="Y50" s="194" t="s">
        <v>143</v>
      </c>
      <c r="Z50" s="618">
        <v>11.8726</v>
      </c>
      <c r="AA50" s="624">
        <v>11.8726</v>
      </c>
      <c r="AB50" s="188"/>
      <c r="AC50" s="624">
        <v>0</v>
      </c>
      <c r="AD50" s="624">
        <v>0</v>
      </c>
      <c r="AE50" s="188"/>
      <c r="AF50" s="188"/>
      <c r="AG50" s="187"/>
      <c r="AH50" s="94"/>
      <c r="AI50" s="194" t="s">
        <v>143</v>
      </c>
      <c r="AJ50" s="618">
        <v>8.5973999999999986</v>
      </c>
      <c r="AK50" s="632">
        <v>8.5973999999999986</v>
      </c>
      <c r="AL50" s="624"/>
      <c r="AM50" s="624">
        <v>0</v>
      </c>
      <c r="AN50" s="188">
        <v>0</v>
      </c>
      <c r="AO50" s="188"/>
      <c r="AP50" s="188"/>
      <c r="AQ50" s="187"/>
    </row>
    <row r="51" spans="1:43" ht="18" customHeight="1" x14ac:dyDescent="0.25">
      <c r="A51" s="181"/>
      <c r="B51" s="191">
        <v>3258105</v>
      </c>
      <c r="C51" s="126" t="s">
        <v>67</v>
      </c>
      <c r="D51" s="192"/>
      <c r="E51" s="193" t="s">
        <v>143</v>
      </c>
      <c r="F51" s="604">
        <v>1.39</v>
      </c>
      <c r="G51" s="605">
        <v>1.39</v>
      </c>
      <c r="H51" s="606"/>
      <c r="I51" s="605">
        <v>0</v>
      </c>
      <c r="J51" s="605">
        <v>0</v>
      </c>
      <c r="K51" s="184"/>
      <c r="L51" s="185"/>
      <c r="M51" s="186"/>
      <c r="N51" s="94"/>
      <c r="O51" s="194" t="s">
        <v>143</v>
      </c>
      <c r="P51" s="618">
        <v>2</v>
      </c>
      <c r="Q51" s="624">
        <v>2</v>
      </c>
      <c r="R51" s="188"/>
      <c r="S51" s="624">
        <v>0</v>
      </c>
      <c r="T51" s="624">
        <v>0</v>
      </c>
      <c r="U51" s="188"/>
      <c r="V51" s="188"/>
      <c r="W51" s="187"/>
      <c r="X51" s="94"/>
      <c r="Y51" s="194" t="s">
        <v>143</v>
      </c>
      <c r="Z51" s="618">
        <v>9.1355000000000004</v>
      </c>
      <c r="AA51" s="624">
        <v>9.1355000000000004</v>
      </c>
      <c r="AB51" s="188"/>
      <c r="AC51" s="624">
        <v>0</v>
      </c>
      <c r="AD51" s="624">
        <v>0</v>
      </c>
      <c r="AE51" s="188"/>
      <c r="AF51" s="188"/>
      <c r="AG51" s="187"/>
      <c r="AH51" s="94"/>
      <c r="AI51" s="194" t="s">
        <v>143</v>
      </c>
      <c r="AJ51" s="618">
        <v>7.4744999999999999</v>
      </c>
      <c r="AK51" s="632">
        <v>7.4744999999999999</v>
      </c>
      <c r="AL51" s="624"/>
      <c r="AM51" s="624">
        <v>0</v>
      </c>
      <c r="AN51" s="188">
        <v>0</v>
      </c>
      <c r="AO51" s="188"/>
      <c r="AP51" s="188"/>
      <c r="AQ51" s="187"/>
    </row>
    <row r="52" spans="1:43" ht="18" customHeight="1" x14ac:dyDescent="0.25">
      <c r="A52" s="181"/>
      <c r="B52" s="196"/>
      <c r="C52" s="133" t="s">
        <v>103</v>
      </c>
      <c r="D52" s="131"/>
      <c r="E52" s="131"/>
      <c r="F52" s="607"/>
      <c r="G52" s="607"/>
      <c r="H52" s="607"/>
      <c r="I52" s="607"/>
      <c r="J52" s="607"/>
      <c r="K52" s="131"/>
      <c r="L52" s="131"/>
      <c r="M52" s="131"/>
      <c r="N52" s="58"/>
      <c r="O52" s="195"/>
      <c r="P52" s="618">
        <f>SUM(Q52:W52)</f>
        <v>0</v>
      </c>
      <c r="Q52" s="624"/>
      <c r="R52" s="188"/>
      <c r="S52" s="624"/>
      <c r="T52" s="624"/>
      <c r="U52" s="188"/>
      <c r="V52" s="188"/>
      <c r="W52" s="187"/>
      <c r="X52" s="58"/>
      <c r="Y52" s="195"/>
      <c r="Z52" s="618"/>
      <c r="AA52" s="624"/>
      <c r="AB52" s="188"/>
      <c r="AC52" s="624"/>
      <c r="AD52" s="624"/>
      <c r="AE52" s="188"/>
      <c r="AF52" s="188"/>
      <c r="AG52" s="187"/>
      <c r="AH52" s="58"/>
      <c r="AI52" s="195"/>
      <c r="AJ52" s="618"/>
      <c r="AK52" s="632"/>
      <c r="AL52" s="624"/>
      <c r="AM52" s="624"/>
      <c r="AN52" s="188"/>
      <c r="AO52" s="188"/>
      <c r="AP52" s="188"/>
      <c r="AQ52" s="187"/>
    </row>
    <row r="53" spans="1:43" ht="18.75" customHeight="1" x14ac:dyDescent="0.25">
      <c r="A53" s="181"/>
      <c r="B53" s="204">
        <v>3258114</v>
      </c>
      <c r="C53" s="74" t="s">
        <v>68</v>
      </c>
      <c r="D53" s="74" t="s">
        <v>146</v>
      </c>
      <c r="E53" s="193" t="s">
        <v>143</v>
      </c>
      <c r="F53" s="604">
        <v>95.03</v>
      </c>
      <c r="G53" s="605">
        <v>10.83</v>
      </c>
      <c r="H53" s="606"/>
      <c r="I53" s="605">
        <v>84.2</v>
      </c>
      <c r="J53" s="605">
        <v>0</v>
      </c>
      <c r="K53" s="184"/>
      <c r="L53" s="185"/>
      <c r="M53" s="186"/>
      <c r="N53" s="73" t="s">
        <v>146</v>
      </c>
      <c r="O53" s="194" t="s">
        <v>143</v>
      </c>
      <c r="P53" s="618">
        <v>58.25</v>
      </c>
      <c r="Q53" s="624">
        <v>8.5744000000000007</v>
      </c>
      <c r="R53" s="188"/>
      <c r="S53" s="624">
        <v>49.675600000000003</v>
      </c>
      <c r="T53" s="624">
        <v>0</v>
      </c>
      <c r="U53" s="188"/>
      <c r="V53" s="188"/>
      <c r="W53" s="187"/>
      <c r="X53" s="73" t="s">
        <v>146</v>
      </c>
      <c r="Y53" s="194" t="s">
        <v>143</v>
      </c>
      <c r="Z53" s="618">
        <v>88.867799999999988</v>
      </c>
      <c r="AA53" s="624">
        <v>13.08134016</v>
      </c>
      <c r="AB53" s="188"/>
      <c r="AC53" s="624">
        <v>75.786459839999992</v>
      </c>
      <c r="AD53" s="624">
        <v>0</v>
      </c>
      <c r="AE53" s="188"/>
      <c r="AF53" s="188"/>
      <c r="AG53" s="187"/>
      <c r="AH53" s="73"/>
      <c r="AI53" s="194"/>
      <c r="AJ53" s="618">
        <v>52.192199999999993</v>
      </c>
      <c r="AK53" s="632">
        <v>7.6826918399999986</v>
      </c>
      <c r="AL53" s="624"/>
      <c r="AM53" s="624">
        <v>44.509508160000003</v>
      </c>
      <c r="AN53" s="188">
        <v>0</v>
      </c>
      <c r="AO53" s="188"/>
      <c r="AP53" s="188"/>
      <c r="AQ53" s="187"/>
    </row>
    <row r="54" spans="1:43" ht="18" customHeight="1" x14ac:dyDescent="0.25">
      <c r="A54" s="181"/>
      <c r="B54" s="191">
        <v>3258128</v>
      </c>
      <c r="C54" s="126" t="s">
        <v>69</v>
      </c>
      <c r="D54" s="74" t="s">
        <v>146</v>
      </c>
      <c r="E54" s="193" t="s">
        <v>143</v>
      </c>
      <c r="F54" s="604">
        <v>2.39</v>
      </c>
      <c r="G54" s="605">
        <v>2.39</v>
      </c>
      <c r="H54" s="606"/>
      <c r="I54" s="605">
        <v>0</v>
      </c>
      <c r="J54" s="605">
        <v>0</v>
      </c>
      <c r="K54" s="184"/>
      <c r="L54" s="185"/>
      <c r="M54" s="186"/>
      <c r="N54" s="73" t="s">
        <v>146</v>
      </c>
      <c r="O54" s="194" t="s">
        <v>143</v>
      </c>
      <c r="P54" s="618">
        <v>0.75</v>
      </c>
      <c r="Q54" s="624">
        <v>0.75</v>
      </c>
      <c r="R54" s="188"/>
      <c r="S54" s="624">
        <v>0</v>
      </c>
      <c r="T54" s="624">
        <v>0</v>
      </c>
      <c r="U54" s="188"/>
      <c r="V54" s="188"/>
      <c r="W54" s="187"/>
      <c r="X54" s="73" t="s">
        <v>146</v>
      </c>
      <c r="Y54" s="194" t="s">
        <v>143</v>
      </c>
      <c r="Z54" s="618">
        <v>1.1346000000000001</v>
      </c>
      <c r="AA54" s="624">
        <v>1.1346000000000001</v>
      </c>
      <c r="AB54" s="188"/>
      <c r="AC54" s="624">
        <v>0</v>
      </c>
      <c r="AD54" s="624">
        <v>0</v>
      </c>
      <c r="AE54" s="188"/>
      <c r="AF54" s="188"/>
      <c r="AG54" s="187"/>
      <c r="AH54" s="73" t="s">
        <v>146</v>
      </c>
      <c r="AI54" s="194" t="s">
        <v>143</v>
      </c>
      <c r="AJ54" s="618">
        <v>0.72540000000000016</v>
      </c>
      <c r="AK54" s="632">
        <v>0.72540000000000016</v>
      </c>
      <c r="AL54" s="624"/>
      <c r="AM54" s="624">
        <v>0</v>
      </c>
      <c r="AN54" s="188">
        <v>0</v>
      </c>
      <c r="AO54" s="188"/>
      <c r="AP54" s="188"/>
      <c r="AQ54" s="187"/>
    </row>
    <row r="55" spans="1:43" ht="18" customHeight="1" x14ac:dyDescent="0.25">
      <c r="A55" s="181"/>
      <c r="B55" s="127">
        <v>3258107</v>
      </c>
      <c r="C55" s="212" t="s">
        <v>70</v>
      </c>
      <c r="D55" s="126"/>
      <c r="E55" s="126"/>
      <c r="F55" s="489">
        <v>7.48</v>
      </c>
      <c r="G55" s="489">
        <v>7.48</v>
      </c>
      <c r="H55" s="489"/>
      <c r="I55" s="489">
        <v>0</v>
      </c>
      <c r="J55" s="489">
        <v>0</v>
      </c>
      <c r="K55" s="126"/>
      <c r="L55" s="126"/>
      <c r="M55" s="126"/>
      <c r="N55" s="73"/>
      <c r="O55" s="194" t="s">
        <v>143</v>
      </c>
      <c r="P55" s="618">
        <v>3</v>
      </c>
      <c r="Q55" s="624">
        <v>3</v>
      </c>
      <c r="R55" s="188"/>
      <c r="S55" s="624">
        <v>0</v>
      </c>
      <c r="T55" s="624">
        <v>0</v>
      </c>
      <c r="U55" s="188"/>
      <c r="V55" s="188"/>
      <c r="W55" s="187"/>
      <c r="X55" s="73"/>
      <c r="Y55" s="194" t="s">
        <v>143</v>
      </c>
      <c r="Z55" s="618">
        <v>16.531199999999998</v>
      </c>
      <c r="AA55" s="624">
        <v>16.531199999999998</v>
      </c>
      <c r="AB55" s="188"/>
      <c r="AC55" s="624">
        <v>0</v>
      </c>
      <c r="AD55" s="624">
        <v>0</v>
      </c>
      <c r="AE55" s="188"/>
      <c r="AF55" s="188"/>
      <c r="AG55" s="187"/>
      <c r="AH55" s="73"/>
      <c r="AI55" s="194" t="s">
        <v>143</v>
      </c>
      <c r="AJ55" s="618">
        <v>12.988799999999999</v>
      </c>
      <c r="AK55" s="632">
        <v>12.988799999999999</v>
      </c>
      <c r="AL55" s="624"/>
      <c r="AM55" s="624">
        <v>0</v>
      </c>
      <c r="AN55" s="188">
        <v>0</v>
      </c>
      <c r="AO55" s="188"/>
      <c r="AP55" s="188"/>
      <c r="AQ55" s="187"/>
    </row>
    <row r="56" spans="1:43" ht="15" customHeight="1" x14ac:dyDescent="0.25">
      <c r="A56" s="213" t="s">
        <v>147</v>
      </c>
      <c r="B56" s="87"/>
      <c r="C56" s="192"/>
      <c r="D56" s="192"/>
      <c r="E56" s="192"/>
      <c r="F56" s="605">
        <f>SUM(F11:F55)</f>
        <v>10624.849999999999</v>
      </c>
      <c r="G56" s="605">
        <f>SUM(G11:G55)</f>
        <v>3284.6599999999994</v>
      </c>
      <c r="H56" s="605"/>
      <c r="I56" s="605">
        <f>SUM(I11:I55)</f>
        <v>2172.1799999999998</v>
      </c>
      <c r="J56" s="605">
        <f>SUM(J11:J55)</f>
        <v>5168.01</v>
      </c>
      <c r="K56" s="184"/>
      <c r="L56" s="185"/>
      <c r="M56" s="186"/>
      <c r="N56" s="94"/>
      <c r="O56" s="214"/>
      <c r="P56" s="618">
        <f>SUM(Q56:W56)</f>
        <v>2560</v>
      </c>
      <c r="Q56" s="624">
        <f>SUM(Q11:Q55)</f>
        <v>1010.415184</v>
      </c>
      <c r="R56" s="188"/>
      <c r="S56" s="624">
        <f>SUM(S11:S55)</f>
        <v>1049.584816</v>
      </c>
      <c r="T56" s="624">
        <f>SUM(T11:T55)</f>
        <v>500</v>
      </c>
      <c r="U56" s="188"/>
      <c r="V56" s="188"/>
      <c r="W56" s="188"/>
      <c r="X56" s="94"/>
      <c r="Y56" s="214"/>
      <c r="Z56" s="624">
        <f>SUM(Z11:Z55)</f>
        <v>3818.2051999999999</v>
      </c>
      <c r="AA56" s="624">
        <f>SUM(AA11:AA55)</f>
        <v>1248.9823406400001</v>
      </c>
      <c r="AB56" s="188"/>
      <c r="AC56" s="624">
        <f>SUM(AC11:AC55)</f>
        <v>1206.8549593600001</v>
      </c>
      <c r="AD56" s="624">
        <f>SUM(AD11:AD55)</f>
        <v>1362.3679</v>
      </c>
      <c r="AE56" s="188"/>
      <c r="AF56" s="188"/>
      <c r="AG56" s="188"/>
      <c r="AH56" s="94"/>
      <c r="AI56" s="214"/>
      <c r="AJ56" s="624">
        <f>SUM(AJ11:AJ55)</f>
        <v>2379.5547999999994</v>
      </c>
      <c r="AK56" s="632">
        <f>SUM(AK11:AK55)</f>
        <v>881.86036336000018</v>
      </c>
      <c r="AL56" s="624"/>
      <c r="AM56" s="624">
        <f>SUM(AM11:AM55)</f>
        <v>626.67233664000014</v>
      </c>
      <c r="AN56" s="188">
        <f>SUM(AN11:AN55)</f>
        <v>871.0220999999998</v>
      </c>
      <c r="AO56" s="188"/>
      <c r="AP56" s="188"/>
      <c r="AQ56" s="188"/>
    </row>
    <row r="57" spans="1:43" s="86" customFormat="1" ht="14.25" customHeight="1" x14ac:dyDescent="0.25">
      <c r="A57" s="749" t="s">
        <v>73</v>
      </c>
      <c r="B57" s="717"/>
      <c r="C57" s="703"/>
      <c r="D57" s="215"/>
      <c r="E57" s="215"/>
      <c r="F57" s="604"/>
      <c r="G57" s="502"/>
      <c r="H57" s="502"/>
      <c r="I57" s="502"/>
      <c r="J57" s="502"/>
      <c r="M57" s="87"/>
      <c r="N57" s="216"/>
      <c r="O57" s="217"/>
      <c r="P57" s="618"/>
      <c r="Q57" s="625"/>
      <c r="R57" s="689"/>
      <c r="S57" s="629"/>
      <c r="T57" s="629"/>
      <c r="U57" s="689"/>
      <c r="V57" s="689"/>
      <c r="W57" s="187"/>
      <c r="X57" s="216"/>
      <c r="Y57" s="217"/>
      <c r="Z57" s="618"/>
      <c r="AA57" s="629"/>
      <c r="AB57" s="689"/>
      <c r="AC57" s="629"/>
      <c r="AD57" s="629"/>
      <c r="AE57" s="689"/>
      <c r="AF57" s="689"/>
      <c r="AG57" s="187"/>
      <c r="AH57" s="216"/>
      <c r="AI57" s="217"/>
      <c r="AJ57" s="618"/>
      <c r="AK57" s="629"/>
      <c r="AL57" s="629"/>
      <c r="AM57" s="629"/>
      <c r="AN57" s="689"/>
      <c r="AO57" s="689"/>
      <c r="AP57" s="689"/>
      <c r="AQ57" s="187"/>
    </row>
    <row r="58" spans="1:43" s="86" customFormat="1" ht="15" customHeight="1" x14ac:dyDescent="0.25">
      <c r="A58" s="218"/>
      <c r="B58" s="182"/>
      <c r="C58" s="183" t="s">
        <v>74</v>
      </c>
      <c r="D58" s="183"/>
      <c r="E58" s="183"/>
      <c r="F58" s="604"/>
      <c r="G58" s="605"/>
      <c r="H58" s="605"/>
      <c r="I58" s="605"/>
      <c r="J58" s="605"/>
      <c r="K58" s="184"/>
      <c r="L58" s="185"/>
      <c r="M58" s="87"/>
      <c r="N58" s="58"/>
      <c r="O58" s="195"/>
      <c r="P58" s="618"/>
      <c r="Q58" s="624"/>
      <c r="R58" s="188"/>
      <c r="S58" s="624"/>
      <c r="T58" s="624"/>
      <c r="U58" s="188"/>
      <c r="V58" s="188"/>
      <c r="W58" s="187"/>
      <c r="X58" s="58"/>
      <c r="Y58" s="195"/>
      <c r="Z58" s="618"/>
      <c r="AA58" s="632"/>
      <c r="AB58" s="188"/>
      <c r="AC58" s="624"/>
      <c r="AD58" s="624"/>
      <c r="AE58" s="188"/>
      <c r="AF58" s="188"/>
      <c r="AG58" s="187"/>
      <c r="AH58" s="58"/>
      <c r="AI58" s="195"/>
      <c r="AJ58" s="618"/>
      <c r="AK58" s="632"/>
      <c r="AL58" s="624"/>
      <c r="AM58" s="624"/>
      <c r="AN58" s="188"/>
      <c r="AO58" s="188"/>
      <c r="AP58" s="188"/>
      <c r="AQ58" s="187"/>
    </row>
    <row r="59" spans="1:43" s="86" customFormat="1" ht="19.5" customHeight="1" x14ac:dyDescent="0.25">
      <c r="A59" s="219"/>
      <c r="B59" s="199"/>
      <c r="C59" s="720" t="s">
        <v>75</v>
      </c>
      <c r="D59" s="717"/>
      <c r="E59" s="717"/>
      <c r="F59" s="717"/>
      <c r="G59" s="717"/>
      <c r="H59" s="717"/>
      <c r="I59" s="717"/>
      <c r="J59" s="717"/>
      <c r="K59" s="717"/>
      <c r="L59" s="717"/>
      <c r="M59" s="717"/>
      <c r="N59" s="717"/>
      <c r="O59" s="717"/>
      <c r="P59" s="717"/>
      <c r="Q59" s="703"/>
      <c r="R59" s="188"/>
      <c r="S59" s="624"/>
      <c r="T59" s="624"/>
      <c r="U59" s="188"/>
      <c r="V59" s="188"/>
      <c r="W59" s="187"/>
      <c r="X59" s="220"/>
      <c r="Y59" s="195"/>
      <c r="Z59" s="618"/>
      <c r="AA59" s="632"/>
      <c r="AB59" s="188"/>
      <c r="AC59" s="624"/>
      <c r="AD59" s="624"/>
      <c r="AE59" s="188"/>
      <c r="AF59" s="188"/>
      <c r="AG59" s="187"/>
      <c r="AH59" s="220"/>
      <c r="AI59" s="195"/>
      <c r="AJ59" s="618"/>
      <c r="AK59" s="632"/>
      <c r="AL59" s="624"/>
      <c r="AM59" s="624"/>
      <c r="AN59" s="188"/>
      <c r="AO59" s="188"/>
      <c r="AP59" s="188"/>
      <c r="AQ59" s="187"/>
    </row>
    <row r="60" spans="1:43" s="86" customFormat="1" ht="60" customHeight="1" x14ac:dyDescent="0.25">
      <c r="A60" s="181"/>
      <c r="B60" s="191">
        <v>4112101</v>
      </c>
      <c r="C60" s="221" t="s">
        <v>76</v>
      </c>
      <c r="D60" s="222" t="s">
        <v>146</v>
      </c>
      <c r="E60" s="223" t="s">
        <v>148</v>
      </c>
      <c r="F60" s="608">
        <v>606.9</v>
      </c>
      <c r="G60" s="609">
        <v>606.9</v>
      </c>
      <c r="H60" s="606"/>
      <c r="I60" s="609">
        <v>0</v>
      </c>
      <c r="J60" s="609">
        <v>0</v>
      </c>
      <c r="K60" s="188"/>
      <c r="L60" s="224"/>
      <c r="M60" s="92"/>
      <c r="N60" s="222" t="s">
        <v>146</v>
      </c>
      <c r="O60" s="223" t="s">
        <v>149</v>
      </c>
      <c r="P60" s="618">
        <v>95.6</v>
      </c>
      <c r="Q60" s="624">
        <v>95.6</v>
      </c>
      <c r="R60" s="188"/>
      <c r="S60" s="624">
        <v>0</v>
      </c>
      <c r="T60" s="624">
        <v>0</v>
      </c>
      <c r="U60" s="188"/>
      <c r="V60" s="188"/>
      <c r="W60" s="187"/>
      <c r="X60" s="73"/>
      <c r="Y60" s="225"/>
      <c r="Z60" s="618">
        <v>0</v>
      </c>
      <c r="AA60" s="632">
        <v>0</v>
      </c>
      <c r="AB60" s="188"/>
      <c r="AC60" s="624">
        <v>0</v>
      </c>
      <c r="AD60" s="624">
        <v>0</v>
      </c>
      <c r="AE60" s="188"/>
      <c r="AF60" s="188"/>
      <c r="AG60" s="187"/>
      <c r="AH60" s="73"/>
      <c r="AI60" s="225"/>
      <c r="AJ60" s="618">
        <v>0</v>
      </c>
      <c r="AK60" s="632">
        <v>0</v>
      </c>
      <c r="AL60" s="624"/>
      <c r="AM60" s="624">
        <v>0</v>
      </c>
      <c r="AN60" s="188">
        <v>0</v>
      </c>
      <c r="AO60" s="188"/>
      <c r="AP60" s="188"/>
      <c r="AQ60" s="187"/>
    </row>
    <row r="61" spans="1:43" s="86" customFormat="1" ht="30.75" customHeight="1" x14ac:dyDescent="0.25">
      <c r="A61" s="219"/>
      <c r="B61" s="191">
        <v>4112101</v>
      </c>
      <c r="C61" s="226" t="s">
        <v>78</v>
      </c>
      <c r="D61" s="73" t="s">
        <v>146</v>
      </c>
      <c r="E61" s="226" t="s">
        <v>150</v>
      </c>
      <c r="F61" s="604">
        <v>50.22</v>
      </c>
      <c r="G61" s="605">
        <v>50.22</v>
      </c>
      <c r="H61" s="606"/>
      <c r="I61" s="605">
        <v>0</v>
      </c>
      <c r="J61" s="605">
        <v>0</v>
      </c>
      <c r="K61" s="184"/>
      <c r="L61" s="185"/>
      <c r="M61" s="87"/>
      <c r="N61" s="73" t="s">
        <v>146</v>
      </c>
      <c r="O61" s="225" t="s">
        <v>151</v>
      </c>
      <c r="P61" s="618">
        <v>0</v>
      </c>
      <c r="Q61" s="624">
        <v>0</v>
      </c>
      <c r="R61" s="188"/>
      <c r="S61" s="624">
        <v>0</v>
      </c>
      <c r="T61" s="624">
        <v>0</v>
      </c>
      <c r="U61" s="188"/>
      <c r="V61" s="188"/>
      <c r="W61" s="187"/>
      <c r="X61" s="73"/>
      <c r="Y61" s="225"/>
      <c r="Z61" s="618">
        <v>18.03</v>
      </c>
      <c r="AA61" s="624">
        <v>18.03</v>
      </c>
      <c r="AB61" s="188"/>
      <c r="AC61" s="624">
        <v>0</v>
      </c>
      <c r="AD61" s="624">
        <v>0</v>
      </c>
      <c r="AE61" s="188"/>
      <c r="AF61" s="188"/>
      <c r="AG61" s="187"/>
      <c r="AH61" s="73"/>
      <c r="AI61" s="225"/>
      <c r="AJ61" s="618">
        <v>0</v>
      </c>
      <c r="AK61" s="632">
        <v>0</v>
      </c>
      <c r="AL61" s="624"/>
      <c r="AM61" s="624">
        <v>0</v>
      </c>
      <c r="AN61" s="188">
        <v>0</v>
      </c>
      <c r="AO61" s="188"/>
      <c r="AP61" s="188"/>
      <c r="AQ61" s="187"/>
    </row>
    <row r="62" spans="1:43" s="86" customFormat="1" ht="18" customHeight="1" x14ac:dyDescent="0.25">
      <c r="A62" s="181"/>
      <c r="B62" s="199"/>
      <c r="C62" s="720" t="s">
        <v>79</v>
      </c>
      <c r="D62" s="717"/>
      <c r="E62" s="717"/>
      <c r="F62" s="717"/>
      <c r="G62" s="717"/>
      <c r="H62" s="717"/>
      <c r="I62" s="717"/>
      <c r="J62" s="717"/>
      <c r="K62" s="717"/>
      <c r="L62" s="717"/>
      <c r="M62" s="717"/>
      <c r="N62" s="717"/>
      <c r="O62" s="717"/>
      <c r="P62" s="717"/>
      <c r="Q62" s="703"/>
      <c r="R62" s="188"/>
      <c r="S62" s="624"/>
      <c r="T62" s="624"/>
      <c r="U62" s="188"/>
      <c r="V62" s="188"/>
      <c r="W62" s="187"/>
      <c r="X62" s="227"/>
      <c r="Y62" s="228"/>
      <c r="Z62" s="618"/>
      <c r="AA62" s="632"/>
      <c r="AB62" s="188"/>
      <c r="AC62" s="624"/>
      <c r="AD62" s="624"/>
      <c r="AE62" s="188"/>
      <c r="AF62" s="188"/>
      <c r="AG62" s="187"/>
      <c r="AH62" s="227"/>
      <c r="AI62" s="228"/>
      <c r="AJ62" s="618"/>
      <c r="AK62" s="632"/>
      <c r="AL62" s="624"/>
      <c r="AM62" s="624"/>
      <c r="AN62" s="188"/>
      <c r="AO62" s="188"/>
      <c r="AP62" s="188"/>
      <c r="AQ62" s="187"/>
    </row>
    <row r="63" spans="1:43" s="86" customFormat="1" ht="18" customHeight="1" x14ac:dyDescent="0.25">
      <c r="A63" s="181"/>
      <c r="B63" s="191">
        <v>4112102</v>
      </c>
      <c r="C63" s="229" t="s">
        <v>80</v>
      </c>
      <c r="D63" s="73" t="s">
        <v>146</v>
      </c>
      <c r="E63" s="225" t="s">
        <v>152</v>
      </c>
      <c r="F63" s="604">
        <v>61.29</v>
      </c>
      <c r="G63" s="605">
        <v>61.29</v>
      </c>
      <c r="H63" s="606"/>
      <c r="I63" s="605">
        <v>0</v>
      </c>
      <c r="J63" s="605">
        <v>0</v>
      </c>
      <c r="K63" s="184"/>
      <c r="L63" s="185"/>
      <c r="M63" s="87"/>
      <c r="N63" s="73" t="s">
        <v>146</v>
      </c>
      <c r="O63" s="225" t="s">
        <v>149</v>
      </c>
      <c r="P63" s="618">
        <v>0</v>
      </c>
      <c r="Q63" s="624">
        <v>0</v>
      </c>
      <c r="R63" s="188"/>
      <c r="S63" s="624">
        <v>0</v>
      </c>
      <c r="T63" s="624">
        <v>0</v>
      </c>
      <c r="U63" s="188"/>
      <c r="V63" s="188"/>
      <c r="W63" s="187"/>
      <c r="X63" s="73"/>
      <c r="Y63" s="225"/>
      <c r="Z63" s="618">
        <v>28.71</v>
      </c>
      <c r="AA63" s="624">
        <v>28.71</v>
      </c>
      <c r="AB63" s="188"/>
      <c r="AC63" s="624">
        <v>0</v>
      </c>
      <c r="AD63" s="624">
        <v>0</v>
      </c>
      <c r="AE63" s="188"/>
      <c r="AF63" s="188"/>
      <c r="AG63" s="187"/>
      <c r="AH63" s="73"/>
      <c r="AI63" s="225"/>
      <c r="AJ63" s="618">
        <v>0</v>
      </c>
      <c r="AK63" s="632">
        <v>0</v>
      </c>
      <c r="AL63" s="624"/>
      <c r="AM63" s="624">
        <v>0</v>
      </c>
      <c r="AN63" s="188">
        <v>0</v>
      </c>
      <c r="AO63" s="188"/>
      <c r="AP63" s="188"/>
      <c r="AQ63" s="187"/>
    </row>
    <row r="64" spans="1:43" s="86" customFormat="1" ht="18" customHeight="1" x14ac:dyDescent="0.25">
      <c r="A64" s="181"/>
      <c r="B64" s="85"/>
      <c r="C64" s="720" t="s">
        <v>153</v>
      </c>
      <c r="D64" s="717"/>
      <c r="E64" s="717"/>
      <c r="F64" s="717"/>
      <c r="G64" s="717"/>
      <c r="H64" s="717"/>
      <c r="I64" s="717"/>
      <c r="J64" s="717"/>
      <c r="K64" s="717"/>
      <c r="L64" s="717"/>
      <c r="M64" s="717"/>
      <c r="N64" s="717"/>
      <c r="O64" s="717"/>
      <c r="P64" s="717"/>
      <c r="Q64" s="703"/>
      <c r="R64" s="188"/>
      <c r="S64" s="624"/>
      <c r="T64" s="624"/>
      <c r="U64" s="188"/>
      <c r="V64" s="188"/>
      <c r="W64" s="187"/>
      <c r="X64" s="227"/>
      <c r="Y64" s="228"/>
      <c r="Z64" s="618"/>
      <c r="AA64" s="632"/>
      <c r="AB64" s="188"/>
      <c r="AC64" s="624"/>
      <c r="AD64" s="624"/>
      <c r="AE64" s="188"/>
      <c r="AF64" s="188"/>
      <c r="AG64" s="187"/>
      <c r="AH64" s="227"/>
      <c r="AI64" s="228"/>
      <c r="AJ64" s="618"/>
      <c r="AK64" s="632"/>
      <c r="AL64" s="624"/>
      <c r="AM64" s="624"/>
      <c r="AN64" s="188"/>
      <c r="AO64" s="188"/>
      <c r="AP64" s="188"/>
      <c r="AQ64" s="187"/>
    </row>
    <row r="65" spans="1:43" s="86" customFormat="1" ht="33.75" customHeight="1" x14ac:dyDescent="0.25">
      <c r="A65" s="181"/>
      <c r="B65" s="191">
        <v>4112316</v>
      </c>
      <c r="C65" s="226" t="s">
        <v>81</v>
      </c>
      <c r="D65" s="73" t="s">
        <v>146</v>
      </c>
      <c r="E65" s="226" t="s">
        <v>148</v>
      </c>
      <c r="F65" s="604">
        <v>8.9499999999999993</v>
      </c>
      <c r="G65" s="605">
        <v>8.9499999999999993</v>
      </c>
      <c r="H65" s="606"/>
      <c r="I65" s="605">
        <v>0</v>
      </c>
      <c r="J65" s="605">
        <v>0</v>
      </c>
      <c r="K65" s="184"/>
      <c r="L65" s="185"/>
      <c r="M65" s="87"/>
      <c r="N65" s="73" t="s">
        <v>146</v>
      </c>
      <c r="O65" s="225"/>
      <c r="P65" s="618">
        <v>0</v>
      </c>
      <c r="Q65" s="624">
        <v>0</v>
      </c>
      <c r="R65" s="188"/>
      <c r="S65" s="624">
        <v>0</v>
      </c>
      <c r="T65" s="624">
        <v>0</v>
      </c>
      <c r="U65" s="188"/>
      <c r="V65" s="188"/>
      <c r="W65" s="187"/>
      <c r="X65" s="73"/>
      <c r="Y65" s="225"/>
      <c r="Z65" s="618">
        <v>0</v>
      </c>
      <c r="AA65" s="624">
        <v>0</v>
      </c>
      <c r="AB65" s="188"/>
      <c r="AC65" s="624">
        <v>0</v>
      </c>
      <c r="AD65" s="624">
        <v>0</v>
      </c>
      <c r="AE65" s="188"/>
      <c r="AF65" s="188"/>
      <c r="AG65" s="187"/>
      <c r="AH65" s="73"/>
      <c r="AI65" s="225"/>
      <c r="AJ65" s="618">
        <v>0</v>
      </c>
      <c r="AK65" s="632">
        <v>0</v>
      </c>
      <c r="AL65" s="624"/>
      <c r="AM65" s="624">
        <v>0</v>
      </c>
      <c r="AN65" s="188">
        <v>0</v>
      </c>
      <c r="AO65" s="188"/>
      <c r="AP65" s="188"/>
      <c r="AQ65" s="187"/>
    </row>
    <row r="66" spans="1:43" s="86" customFormat="1" ht="18" customHeight="1" x14ac:dyDescent="0.25">
      <c r="A66" s="181"/>
      <c r="B66" s="191">
        <v>4112316</v>
      </c>
      <c r="C66" s="226" t="s">
        <v>82</v>
      </c>
      <c r="D66" s="73" t="s">
        <v>146</v>
      </c>
      <c r="E66" s="226" t="s">
        <v>154</v>
      </c>
      <c r="F66" s="604">
        <v>0.79600000000000004</v>
      </c>
      <c r="G66" s="605">
        <v>0.79600000000000004</v>
      </c>
      <c r="H66" s="606"/>
      <c r="I66" s="605">
        <v>0</v>
      </c>
      <c r="J66" s="605">
        <v>0</v>
      </c>
      <c r="K66" s="184"/>
      <c r="L66" s="185"/>
      <c r="M66" s="87"/>
      <c r="N66" s="73" t="s">
        <v>146</v>
      </c>
      <c r="O66" s="225" t="s">
        <v>151</v>
      </c>
      <c r="P66" s="618">
        <v>0</v>
      </c>
      <c r="Q66" s="624">
        <v>0</v>
      </c>
      <c r="R66" s="188"/>
      <c r="S66" s="624">
        <v>0</v>
      </c>
      <c r="T66" s="624">
        <v>0</v>
      </c>
      <c r="U66" s="188"/>
      <c r="V66" s="188"/>
      <c r="W66" s="187"/>
      <c r="X66" s="73"/>
      <c r="Y66" s="225"/>
      <c r="Z66" s="618">
        <v>0</v>
      </c>
      <c r="AA66" s="624">
        <v>0</v>
      </c>
      <c r="AB66" s="188"/>
      <c r="AC66" s="624">
        <v>0</v>
      </c>
      <c r="AD66" s="624">
        <v>0</v>
      </c>
      <c r="AE66" s="188"/>
      <c r="AF66" s="188"/>
      <c r="AG66" s="187"/>
      <c r="AH66" s="73"/>
      <c r="AI66" s="225"/>
      <c r="AJ66" s="618">
        <v>0</v>
      </c>
      <c r="AK66" s="632">
        <v>0</v>
      </c>
      <c r="AL66" s="624"/>
      <c r="AM66" s="624">
        <v>0</v>
      </c>
      <c r="AN66" s="188">
        <v>0</v>
      </c>
      <c r="AO66" s="188"/>
      <c r="AP66" s="188"/>
      <c r="AQ66" s="187"/>
    </row>
    <row r="67" spans="1:43" s="86" customFormat="1" ht="17.25" customHeight="1" x14ac:dyDescent="0.25">
      <c r="A67" s="181"/>
      <c r="B67" s="85"/>
      <c r="C67" s="750" t="s">
        <v>67</v>
      </c>
      <c r="D67" s="717"/>
      <c r="E67" s="717"/>
      <c r="F67" s="717"/>
      <c r="G67" s="717"/>
      <c r="H67" s="717"/>
      <c r="I67" s="717"/>
      <c r="J67" s="717"/>
      <c r="K67" s="717"/>
      <c r="L67" s="717"/>
      <c r="M67" s="717"/>
      <c r="N67" s="717"/>
      <c r="O67" s="717"/>
      <c r="P67" s="717"/>
      <c r="Q67" s="703"/>
      <c r="R67" s="188"/>
      <c r="S67" s="624"/>
      <c r="T67" s="624"/>
      <c r="U67" s="188"/>
      <c r="V67" s="188"/>
      <c r="W67" s="187"/>
      <c r="X67" s="220"/>
      <c r="Y67" s="230"/>
      <c r="Z67" s="618"/>
      <c r="AA67" s="632"/>
      <c r="AB67" s="188"/>
      <c r="AC67" s="624"/>
      <c r="AD67" s="624"/>
      <c r="AE67" s="188"/>
      <c r="AF67" s="188"/>
      <c r="AG67" s="187"/>
      <c r="AH67" s="220"/>
      <c r="AI67" s="230"/>
      <c r="AJ67" s="618"/>
      <c r="AK67" s="632"/>
      <c r="AL67" s="624"/>
      <c r="AM67" s="624"/>
      <c r="AN67" s="188"/>
      <c r="AO67" s="188"/>
      <c r="AP67" s="188"/>
      <c r="AQ67" s="187"/>
    </row>
    <row r="68" spans="1:43" s="86" customFormat="1" ht="35.25" customHeight="1" x14ac:dyDescent="0.25">
      <c r="A68" s="181"/>
      <c r="B68" s="191">
        <v>4112304</v>
      </c>
      <c r="C68" s="126" t="s">
        <v>83</v>
      </c>
      <c r="D68" s="73" t="s">
        <v>146</v>
      </c>
      <c r="E68" s="226" t="s">
        <v>155</v>
      </c>
      <c r="F68" s="604">
        <v>20.18</v>
      </c>
      <c r="G68" s="605">
        <v>20.18</v>
      </c>
      <c r="H68" s="606"/>
      <c r="I68" s="605">
        <v>0</v>
      </c>
      <c r="J68" s="605">
        <v>0</v>
      </c>
      <c r="K68" s="184"/>
      <c r="L68" s="185"/>
      <c r="M68" s="87"/>
      <c r="N68" s="73" t="s">
        <v>146</v>
      </c>
      <c r="O68" s="225" t="s">
        <v>156</v>
      </c>
      <c r="P68" s="618">
        <v>0</v>
      </c>
      <c r="Q68" s="624">
        <v>0</v>
      </c>
      <c r="R68" s="188"/>
      <c r="S68" s="624">
        <v>0</v>
      </c>
      <c r="T68" s="624">
        <v>0</v>
      </c>
      <c r="U68" s="188"/>
      <c r="V68" s="188"/>
      <c r="W68" s="187"/>
      <c r="X68" s="73"/>
      <c r="Y68" s="225"/>
      <c r="Z68" s="618">
        <v>0</v>
      </c>
      <c r="AA68" s="624">
        <v>0</v>
      </c>
      <c r="AB68" s="188"/>
      <c r="AC68" s="624">
        <v>0</v>
      </c>
      <c r="AD68" s="624">
        <v>0</v>
      </c>
      <c r="AE68" s="188"/>
      <c r="AF68" s="188"/>
      <c r="AG68" s="187"/>
      <c r="AH68" s="73"/>
      <c r="AI68" s="225"/>
      <c r="AJ68" s="618">
        <v>0</v>
      </c>
      <c r="AK68" s="632">
        <v>0</v>
      </c>
      <c r="AL68" s="624"/>
      <c r="AM68" s="624">
        <v>0</v>
      </c>
      <c r="AN68" s="188">
        <v>0</v>
      </c>
      <c r="AO68" s="188"/>
      <c r="AP68" s="188"/>
      <c r="AQ68" s="187"/>
    </row>
    <row r="69" spans="1:43" s="86" customFormat="1" ht="29.25" customHeight="1" x14ac:dyDescent="0.25">
      <c r="A69" s="181"/>
      <c r="B69" s="191">
        <v>4112304</v>
      </c>
      <c r="C69" s="226" t="s">
        <v>84</v>
      </c>
      <c r="D69" s="226"/>
      <c r="E69" s="226"/>
      <c r="F69" s="604">
        <v>2.13</v>
      </c>
      <c r="G69" s="605">
        <v>2.13</v>
      </c>
      <c r="H69" s="606"/>
      <c r="I69" s="605">
        <v>0</v>
      </c>
      <c r="J69" s="605">
        <v>0</v>
      </c>
      <c r="K69" s="184"/>
      <c r="L69" s="185"/>
      <c r="M69" s="87"/>
      <c r="N69" s="73" t="s">
        <v>146</v>
      </c>
      <c r="O69" s="225" t="s">
        <v>156</v>
      </c>
      <c r="P69" s="618">
        <v>0</v>
      </c>
      <c r="Q69" s="624">
        <v>0</v>
      </c>
      <c r="R69" s="188"/>
      <c r="S69" s="624">
        <v>0</v>
      </c>
      <c r="T69" s="624">
        <v>0</v>
      </c>
      <c r="U69" s="188"/>
      <c r="V69" s="188"/>
      <c r="W69" s="187"/>
      <c r="X69" s="73"/>
      <c r="Y69" s="225"/>
      <c r="Z69" s="618">
        <v>0</v>
      </c>
      <c r="AA69" s="624">
        <v>0</v>
      </c>
      <c r="AB69" s="188"/>
      <c r="AC69" s="624">
        <v>0</v>
      </c>
      <c r="AD69" s="624">
        <v>0</v>
      </c>
      <c r="AE69" s="188"/>
      <c r="AF69" s="188"/>
      <c r="AG69" s="187"/>
      <c r="AH69" s="73"/>
      <c r="AI69" s="225"/>
      <c r="AJ69" s="618">
        <v>0</v>
      </c>
      <c r="AK69" s="632">
        <v>0</v>
      </c>
      <c r="AL69" s="624"/>
      <c r="AM69" s="624">
        <v>0</v>
      </c>
      <c r="AN69" s="188">
        <v>0</v>
      </c>
      <c r="AO69" s="188"/>
      <c r="AP69" s="188"/>
      <c r="AQ69" s="187"/>
    </row>
    <row r="70" spans="1:43" s="86" customFormat="1" ht="16.5" customHeight="1" x14ac:dyDescent="0.25">
      <c r="A70" s="181"/>
      <c r="B70" s="191">
        <v>4112304</v>
      </c>
      <c r="C70" s="96" t="s">
        <v>85</v>
      </c>
      <c r="D70" s="226"/>
      <c r="E70" s="226"/>
      <c r="F70" s="604">
        <v>9.49</v>
      </c>
      <c r="G70" s="605">
        <v>9.49</v>
      </c>
      <c r="H70" s="606">
        <f>ROW(C70)</f>
        <v>70</v>
      </c>
      <c r="I70" s="605">
        <v>0</v>
      </c>
      <c r="J70" s="605">
        <v>0</v>
      </c>
      <c r="K70" s="184"/>
      <c r="L70" s="185"/>
      <c r="M70" s="87"/>
      <c r="N70" s="73"/>
      <c r="O70" s="225"/>
      <c r="P70" s="618">
        <v>5</v>
      </c>
      <c r="Q70" s="624">
        <v>5</v>
      </c>
      <c r="R70" s="188"/>
      <c r="S70" s="624">
        <v>0</v>
      </c>
      <c r="T70" s="624">
        <v>0</v>
      </c>
      <c r="U70" s="188"/>
      <c r="V70" s="188"/>
      <c r="W70" s="187"/>
      <c r="X70" s="73"/>
      <c r="Y70" s="225"/>
      <c r="Z70" s="618">
        <v>35.51</v>
      </c>
      <c r="AA70" s="624">
        <v>35.51</v>
      </c>
      <c r="AB70" s="188"/>
      <c r="AC70" s="624">
        <v>0</v>
      </c>
      <c r="AD70" s="624">
        <v>0</v>
      </c>
      <c r="AE70" s="188"/>
      <c r="AF70" s="188"/>
      <c r="AG70" s="187"/>
      <c r="AH70" s="73"/>
      <c r="AI70" s="225"/>
      <c r="AJ70" s="618">
        <v>0</v>
      </c>
      <c r="AK70" s="632">
        <v>0</v>
      </c>
      <c r="AL70" s="624"/>
      <c r="AM70" s="624">
        <v>0</v>
      </c>
      <c r="AN70" s="188">
        <v>0</v>
      </c>
      <c r="AO70" s="188"/>
      <c r="AP70" s="188"/>
      <c r="AQ70" s="187"/>
    </row>
    <row r="71" spans="1:43" s="86" customFormat="1" ht="19.5" customHeight="1" x14ac:dyDescent="0.25">
      <c r="A71" s="181"/>
      <c r="B71" s="85"/>
      <c r="C71" s="720" t="s">
        <v>87</v>
      </c>
      <c r="D71" s="717"/>
      <c r="E71" s="717"/>
      <c r="F71" s="717"/>
      <c r="G71" s="717"/>
      <c r="H71" s="717"/>
      <c r="I71" s="717"/>
      <c r="J71" s="717"/>
      <c r="K71" s="717"/>
      <c r="L71" s="717"/>
      <c r="M71" s="717"/>
      <c r="N71" s="717"/>
      <c r="O71" s="717"/>
      <c r="P71" s="717"/>
      <c r="Q71" s="703"/>
      <c r="R71" s="188"/>
      <c r="S71" s="624"/>
      <c r="T71" s="624"/>
      <c r="U71" s="188"/>
      <c r="V71" s="188"/>
      <c r="W71" s="187"/>
      <c r="X71" s="220"/>
      <c r="Y71" s="230"/>
      <c r="Z71" s="618"/>
      <c r="AA71" s="632"/>
      <c r="AB71" s="188"/>
      <c r="AC71" s="624"/>
      <c r="AD71" s="624"/>
      <c r="AE71" s="188"/>
      <c r="AF71" s="188"/>
      <c r="AG71" s="187"/>
      <c r="AH71" s="220"/>
      <c r="AI71" s="230"/>
      <c r="AJ71" s="618"/>
      <c r="AK71" s="632"/>
      <c r="AL71" s="624"/>
      <c r="AM71" s="624"/>
      <c r="AN71" s="188"/>
      <c r="AO71" s="188"/>
      <c r="AP71" s="188"/>
      <c r="AQ71" s="187"/>
    </row>
    <row r="72" spans="1:43" s="86" customFormat="1" ht="66.75" customHeight="1" x14ac:dyDescent="0.25">
      <c r="A72" s="181"/>
      <c r="B72" s="191">
        <v>4112202</v>
      </c>
      <c r="C72" s="126" t="s">
        <v>88</v>
      </c>
      <c r="D72" s="73" t="s">
        <v>146</v>
      </c>
      <c r="E72" s="226" t="s">
        <v>157</v>
      </c>
      <c r="F72" s="604">
        <v>19.47</v>
      </c>
      <c r="G72" s="605">
        <v>19.47</v>
      </c>
      <c r="H72" s="606">
        <f t="shared" ref="H72:H77" si="0">ROW(C72)</f>
        <v>72</v>
      </c>
      <c r="I72" s="605">
        <v>0</v>
      </c>
      <c r="J72" s="605">
        <v>0</v>
      </c>
      <c r="K72" s="184"/>
      <c r="L72" s="185"/>
      <c r="M72" s="87"/>
      <c r="N72" s="73" t="s">
        <v>146</v>
      </c>
      <c r="O72" s="225" t="s">
        <v>149</v>
      </c>
      <c r="P72" s="618">
        <v>0</v>
      </c>
      <c r="Q72" s="624">
        <v>0</v>
      </c>
      <c r="R72" s="188"/>
      <c r="S72" s="624">
        <v>0</v>
      </c>
      <c r="T72" s="624">
        <v>0</v>
      </c>
      <c r="U72" s="188"/>
      <c r="V72" s="188"/>
      <c r="W72" s="187"/>
      <c r="X72" s="73"/>
      <c r="Y72" s="225"/>
      <c r="Z72" s="618">
        <v>5.0300000000000011</v>
      </c>
      <c r="AA72" s="624">
        <v>5.0300000000000011</v>
      </c>
      <c r="AB72" s="188"/>
      <c r="AC72" s="624">
        <v>0</v>
      </c>
      <c r="AD72" s="624">
        <v>0</v>
      </c>
      <c r="AE72" s="188"/>
      <c r="AF72" s="188"/>
      <c r="AG72" s="187"/>
      <c r="AH72" s="73"/>
      <c r="AI72" s="225"/>
      <c r="AJ72" s="618">
        <v>0</v>
      </c>
      <c r="AK72" s="632">
        <v>0</v>
      </c>
      <c r="AL72" s="624"/>
      <c r="AM72" s="624">
        <v>0</v>
      </c>
      <c r="AN72" s="188">
        <v>0</v>
      </c>
      <c r="AO72" s="188"/>
      <c r="AP72" s="188"/>
      <c r="AQ72" s="187"/>
    </row>
    <row r="73" spans="1:43" s="86" customFormat="1" ht="39" customHeight="1" x14ac:dyDescent="0.25">
      <c r="A73" s="181"/>
      <c r="B73" s="191">
        <v>4112202</v>
      </c>
      <c r="C73" s="126" t="s">
        <v>89</v>
      </c>
      <c r="D73" s="73" t="s">
        <v>146</v>
      </c>
      <c r="E73" s="226" t="s">
        <v>148</v>
      </c>
      <c r="F73" s="604">
        <v>9.8800000000000008</v>
      </c>
      <c r="G73" s="605">
        <v>9.8800000000000008</v>
      </c>
      <c r="H73" s="606">
        <f t="shared" si="0"/>
        <v>73</v>
      </c>
      <c r="I73" s="605">
        <v>0</v>
      </c>
      <c r="J73" s="605">
        <v>0</v>
      </c>
      <c r="K73" s="184"/>
      <c r="L73" s="185"/>
      <c r="M73" s="87"/>
      <c r="N73" s="73" t="s">
        <v>146</v>
      </c>
      <c r="O73" s="225" t="s">
        <v>158</v>
      </c>
      <c r="P73" s="618">
        <v>0</v>
      </c>
      <c r="Q73" s="624">
        <v>0</v>
      </c>
      <c r="R73" s="188"/>
      <c r="S73" s="624">
        <v>0</v>
      </c>
      <c r="T73" s="624">
        <v>0</v>
      </c>
      <c r="U73" s="188"/>
      <c r="V73" s="188"/>
      <c r="W73" s="187"/>
      <c r="X73" s="73"/>
      <c r="Y73" s="225"/>
      <c r="Z73" s="618">
        <v>3.8699999999999992</v>
      </c>
      <c r="AA73" s="624">
        <v>3.8699999999999992</v>
      </c>
      <c r="AB73" s="188"/>
      <c r="AC73" s="624">
        <v>0</v>
      </c>
      <c r="AD73" s="624">
        <v>0</v>
      </c>
      <c r="AE73" s="188"/>
      <c r="AF73" s="188"/>
      <c r="AG73" s="187"/>
      <c r="AH73" s="73"/>
      <c r="AI73" s="225"/>
      <c r="AJ73" s="618">
        <v>0</v>
      </c>
      <c r="AK73" s="632">
        <v>0</v>
      </c>
      <c r="AL73" s="624"/>
      <c r="AM73" s="624">
        <v>0</v>
      </c>
      <c r="AN73" s="188">
        <v>0</v>
      </c>
      <c r="AO73" s="188"/>
      <c r="AP73" s="188"/>
      <c r="AQ73" s="187"/>
    </row>
    <row r="74" spans="1:43" s="86" customFormat="1" ht="17.25" customHeight="1" x14ac:dyDescent="0.25">
      <c r="A74" s="181"/>
      <c r="B74" s="191">
        <v>4112202</v>
      </c>
      <c r="C74" s="126" t="s">
        <v>90</v>
      </c>
      <c r="D74" s="73" t="s">
        <v>146</v>
      </c>
      <c r="E74" s="226" t="s">
        <v>159</v>
      </c>
      <c r="F74" s="604">
        <v>0.2</v>
      </c>
      <c r="G74" s="605">
        <v>0.2</v>
      </c>
      <c r="H74" s="606">
        <f t="shared" si="0"/>
        <v>74</v>
      </c>
      <c r="I74" s="605">
        <v>0</v>
      </c>
      <c r="J74" s="605">
        <v>0</v>
      </c>
      <c r="K74" s="184"/>
      <c r="L74" s="185"/>
      <c r="M74" s="87"/>
      <c r="N74" s="73" t="s">
        <v>160</v>
      </c>
      <c r="O74" s="226" t="s">
        <v>159</v>
      </c>
      <c r="P74" s="618">
        <v>0</v>
      </c>
      <c r="Q74" s="624">
        <v>0</v>
      </c>
      <c r="R74" s="188"/>
      <c r="S74" s="624">
        <v>0</v>
      </c>
      <c r="T74" s="624">
        <v>0</v>
      </c>
      <c r="U74" s="188"/>
      <c r="V74" s="188"/>
      <c r="W74" s="187"/>
      <c r="X74" s="73"/>
      <c r="Y74" s="225"/>
      <c r="Z74" s="618">
        <v>1.3</v>
      </c>
      <c r="AA74" s="624">
        <v>1.3</v>
      </c>
      <c r="AB74" s="188"/>
      <c r="AC74" s="624">
        <v>0</v>
      </c>
      <c r="AD74" s="624">
        <v>0</v>
      </c>
      <c r="AE74" s="188"/>
      <c r="AF74" s="188"/>
      <c r="AG74" s="187"/>
      <c r="AH74" s="73"/>
      <c r="AI74" s="225"/>
      <c r="AJ74" s="618">
        <v>0</v>
      </c>
      <c r="AK74" s="632">
        <v>0</v>
      </c>
      <c r="AL74" s="624"/>
      <c r="AM74" s="624">
        <v>0</v>
      </c>
      <c r="AN74" s="188">
        <v>0</v>
      </c>
      <c r="AO74" s="188"/>
      <c r="AP74" s="188"/>
      <c r="AQ74" s="187"/>
    </row>
    <row r="75" spans="1:43" s="86" customFormat="1" ht="38.25" customHeight="1" x14ac:dyDescent="0.25">
      <c r="A75" s="181"/>
      <c r="B75" s="191">
        <v>4112202</v>
      </c>
      <c r="C75" s="126" t="s">
        <v>91</v>
      </c>
      <c r="D75" s="73" t="s">
        <v>146</v>
      </c>
      <c r="E75" s="226" t="s">
        <v>148</v>
      </c>
      <c r="F75" s="604">
        <v>4.08</v>
      </c>
      <c r="G75" s="605">
        <v>4.08</v>
      </c>
      <c r="H75" s="606">
        <f t="shared" si="0"/>
        <v>75</v>
      </c>
      <c r="I75" s="605">
        <v>0</v>
      </c>
      <c r="J75" s="605">
        <v>0</v>
      </c>
      <c r="K75" s="184"/>
      <c r="L75" s="185"/>
      <c r="M75" s="87"/>
      <c r="N75" s="73" t="s">
        <v>146</v>
      </c>
      <c r="O75" s="225" t="s">
        <v>158</v>
      </c>
      <c r="P75" s="618">
        <v>0</v>
      </c>
      <c r="Q75" s="624">
        <v>0</v>
      </c>
      <c r="R75" s="188"/>
      <c r="S75" s="624">
        <v>0</v>
      </c>
      <c r="T75" s="624">
        <v>0</v>
      </c>
      <c r="U75" s="188"/>
      <c r="V75" s="188"/>
      <c r="W75" s="187"/>
      <c r="X75" s="73"/>
      <c r="Y75" s="231"/>
      <c r="Z75" s="618">
        <v>1.17</v>
      </c>
      <c r="AA75" s="624">
        <v>1.17</v>
      </c>
      <c r="AB75" s="188"/>
      <c r="AC75" s="624">
        <v>0</v>
      </c>
      <c r="AD75" s="624">
        <v>0</v>
      </c>
      <c r="AE75" s="188"/>
      <c r="AF75" s="188"/>
      <c r="AG75" s="187"/>
      <c r="AH75" s="73"/>
      <c r="AI75" s="231"/>
      <c r="AJ75" s="618">
        <v>0</v>
      </c>
      <c r="AK75" s="632">
        <v>0</v>
      </c>
      <c r="AL75" s="624"/>
      <c r="AM75" s="624">
        <v>0</v>
      </c>
      <c r="AN75" s="188">
        <v>0</v>
      </c>
      <c r="AO75" s="188"/>
      <c r="AP75" s="188"/>
      <c r="AQ75" s="187"/>
    </row>
    <row r="76" spans="1:43" s="86" customFormat="1" ht="17.25" customHeight="1" x14ac:dyDescent="0.25">
      <c r="A76" s="181"/>
      <c r="B76" s="654">
        <v>4112314</v>
      </c>
      <c r="C76" s="126" t="s">
        <v>62</v>
      </c>
      <c r="D76" s="226"/>
      <c r="E76" s="193" t="s">
        <v>143</v>
      </c>
      <c r="F76" s="604">
        <v>45.32</v>
      </c>
      <c r="G76" s="605">
        <v>45.32</v>
      </c>
      <c r="H76" s="606">
        <f t="shared" si="0"/>
        <v>76</v>
      </c>
      <c r="I76" s="605">
        <v>0</v>
      </c>
      <c r="J76" s="605">
        <v>0</v>
      </c>
      <c r="K76" s="184"/>
      <c r="L76" s="185"/>
      <c r="M76" s="87"/>
      <c r="N76" s="202"/>
      <c r="O76" s="194" t="s">
        <v>143</v>
      </c>
      <c r="P76" s="618">
        <v>0</v>
      </c>
      <c r="Q76" s="624">
        <v>0</v>
      </c>
      <c r="R76" s="188"/>
      <c r="S76" s="624">
        <v>0</v>
      </c>
      <c r="T76" s="624">
        <v>0</v>
      </c>
      <c r="U76" s="188"/>
      <c r="V76" s="188"/>
      <c r="W76" s="187"/>
      <c r="X76" s="202"/>
      <c r="Y76" s="194" t="s">
        <v>143</v>
      </c>
      <c r="Z76" s="618">
        <v>2.9016000000000002</v>
      </c>
      <c r="AA76" s="624">
        <v>2.9016000000000002</v>
      </c>
      <c r="AB76" s="188"/>
      <c r="AC76" s="624">
        <v>0</v>
      </c>
      <c r="AD76" s="624">
        <v>0</v>
      </c>
      <c r="AE76" s="188"/>
      <c r="AF76" s="188"/>
      <c r="AG76" s="187"/>
      <c r="AH76" s="202"/>
      <c r="AI76" s="194" t="s">
        <v>143</v>
      </c>
      <c r="AJ76" s="618">
        <v>1.7784</v>
      </c>
      <c r="AK76" s="632">
        <v>1.7784</v>
      </c>
      <c r="AL76" s="624"/>
      <c r="AM76" s="624">
        <v>0</v>
      </c>
      <c r="AN76" s="188">
        <v>0</v>
      </c>
      <c r="AO76" s="188"/>
      <c r="AP76" s="188"/>
      <c r="AQ76" s="187"/>
    </row>
    <row r="77" spans="1:43" s="86" customFormat="1" ht="16.5" customHeight="1" x14ac:dyDescent="0.25">
      <c r="A77" s="181"/>
      <c r="B77" s="654">
        <v>4112303</v>
      </c>
      <c r="C77" s="126" t="s">
        <v>93</v>
      </c>
      <c r="D77" s="73" t="s">
        <v>146</v>
      </c>
      <c r="E77" s="226" t="s">
        <v>158</v>
      </c>
      <c r="F77" s="604">
        <v>9.73</v>
      </c>
      <c r="G77" s="605">
        <v>9.73</v>
      </c>
      <c r="H77" s="606">
        <f t="shared" si="0"/>
        <v>77</v>
      </c>
      <c r="I77" s="605">
        <v>0</v>
      </c>
      <c r="J77" s="605">
        <v>0</v>
      </c>
      <c r="K77" s="184"/>
      <c r="L77" s="185"/>
      <c r="M77" s="87"/>
      <c r="N77" s="73" t="s">
        <v>146</v>
      </c>
      <c r="O77" s="226" t="s">
        <v>156</v>
      </c>
      <c r="P77" s="618">
        <v>4</v>
      </c>
      <c r="Q77" s="624">
        <v>4</v>
      </c>
      <c r="R77" s="188"/>
      <c r="S77" s="624">
        <v>0</v>
      </c>
      <c r="T77" s="624">
        <v>0</v>
      </c>
      <c r="U77" s="188"/>
      <c r="V77" s="188"/>
      <c r="W77" s="187"/>
      <c r="X77" s="73" t="s">
        <v>146</v>
      </c>
      <c r="Y77" s="226" t="s">
        <v>151</v>
      </c>
      <c r="Z77" s="618">
        <v>0.77469999999999972</v>
      </c>
      <c r="AA77" s="624">
        <v>0.77469999999999972</v>
      </c>
      <c r="AB77" s="188"/>
      <c r="AC77" s="624">
        <v>0</v>
      </c>
      <c r="AD77" s="624">
        <v>0</v>
      </c>
      <c r="AE77" s="188"/>
      <c r="AF77" s="188"/>
      <c r="AG77" s="187"/>
      <c r="AH77" s="202"/>
      <c r="AI77" s="194"/>
      <c r="AJ77" s="618">
        <v>0.49529999999999991</v>
      </c>
      <c r="AK77" s="632">
        <v>0.49529999999999991</v>
      </c>
      <c r="AL77" s="624"/>
      <c r="AM77" s="624">
        <v>0</v>
      </c>
      <c r="AN77" s="188">
        <v>0</v>
      </c>
      <c r="AO77" s="188"/>
      <c r="AP77" s="188"/>
      <c r="AQ77" s="187"/>
    </row>
    <row r="78" spans="1:43" s="86" customFormat="1" ht="18" customHeight="1" x14ac:dyDescent="0.25">
      <c r="A78" s="181"/>
      <c r="B78" s="182"/>
      <c r="C78" s="232" t="s">
        <v>97</v>
      </c>
      <c r="D78" s="232"/>
      <c r="E78" s="232"/>
      <c r="F78" s="604"/>
      <c r="G78" s="605"/>
      <c r="H78" s="605"/>
      <c r="I78" s="605"/>
      <c r="J78" s="605"/>
      <c r="K78" s="184"/>
      <c r="L78" s="185"/>
      <c r="M78" s="87"/>
      <c r="N78" s="232"/>
      <c r="O78" s="232"/>
      <c r="P78" s="618"/>
      <c r="Q78" s="624"/>
      <c r="R78" s="188"/>
      <c r="S78" s="624"/>
      <c r="T78" s="624"/>
      <c r="U78" s="188"/>
      <c r="V78" s="188"/>
      <c r="W78" s="187"/>
      <c r="X78" s="232"/>
      <c r="Y78" s="232"/>
      <c r="Z78" s="618"/>
      <c r="AA78" s="632"/>
      <c r="AB78" s="188"/>
      <c r="AC78" s="624"/>
      <c r="AD78" s="624"/>
      <c r="AE78" s="188"/>
      <c r="AF78" s="188"/>
      <c r="AG78" s="187"/>
      <c r="AH78" s="232"/>
      <c r="AI78" s="232"/>
      <c r="AJ78" s="618"/>
      <c r="AK78" s="632"/>
      <c r="AL78" s="624"/>
      <c r="AM78" s="624"/>
      <c r="AN78" s="188"/>
      <c r="AO78" s="188"/>
      <c r="AP78" s="188"/>
      <c r="AQ78" s="187"/>
    </row>
    <row r="79" spans="1:43" s="86" customFormat="1" ht="15" customHeight="1" x14ac:dyDescent="0.25">
      <c r="A79" s="181"/>
      <c r="B79" s="191">
        <v>4141101</v>
      </c>
      <c r="C79" s="229" t="s">
        <v>98</v>
      </c>
      <c r="D79" s="229"/>
      <c r="E79" s="229"/>
      <c r="F79" s="604">
        <v>14323.6</v>
      </c>
      <c r="G79" s="605">
        <v>14323.6</v>
      </c>
      <c r="H79" s="606">
        <f>ROW(C79)</f>
        <v>79</v>
      </c>
      <c r="I79" s="605">
        <v>0</v>
      </c>
      <c r="J79" s="605">
        <v>0</v>
      </c>
      <c r="K79" s="184"/>
      <c r="L79" s="185"/>
      <c r="M79" s="87"/>
      <c r="N79" s="73" t="s">
        <v>161</v>
      </c>
      <c r="O79" s="194" t="s">
        <v>143</v>
      </c>
      <c r="P79" s="618">
        <v>2049.42</v>
      </c>
      <c r="Q79" s="618">
        <v>2049.42</v>
      </c>
      <c r="R79" s="188"/>
      <c r="S79" s="624">
        <v>0</v>
      </c>
      <c r="T79" s="624">
        <v>0</v>
      </c>
      <c r="U79" s="188"/>
      <c r="V79" s="188"/>
      <c r="W79" s="187"/>
      <c r="X79" s="73" t="s">
        <v>161</v>
      </c>
      <c r="Y79" s="194" t="s">
        <v>143</v>
      </c>
      <c r="Z79" s="618">
        <v>6476.98</v>
      </c>
      <c r="AA79" s="632">
        <v>6476.98</v>
      </c>
      <c r="AB79" s="188"/>
      <c r="AC79" s="624">
        <v>0</v>
      </c>
      <c r="AD79" s="624">
        <v>0</v>
      </c>
      <c r="AE79" s="188"/>
      <c r="AF79" s="188"/>
      <c r="AG79" s="187"/>
      <c r="AH79" s="73" t="s">
        <v>161</v>
      </c>
      <c r="AI79" s="194"/>
      <c r="AJ79" s="618">
        <v>0</v>
      </c>
      <c r="AK79" s="632">
        <v>0</v>
      </c>
      <c r="AL79" s="624"/>
      <c r="AM79" s="624">
        <v>0</v>
      </c>
      <c r="AN79" s="188">
        <v>0</v>
      </c>
      <c r="AO79" s="188"/>
      <c r="AP79" s="188"/>
      <c r="AQ79" s="187"/>
    </row>
    <row r="80" spans="1:43" s="86" customFormat="1" ht="15.75" customHeight="1" x14ac:dyDescent="0.25">
      <c r="A80" s="181"/>
      <c r="B80" s="182"/>
      <c r="C80" s="676" t="s">
        <v>100</v>
      </c>
      <c r="D80" s="228"/>
      <c r="E80" s="228"/>
      <c r="F80" s="604"/>
      <c r="G80" s="605"/>
      <c r="H80" s="605"/>
      <c r="I80" s="605"/>
      <c r="J80" s="605"/>
      <c r="K80" s="184"/>
      <c r="L80" s="185"/>
      <c r="M80" s="87"/>
      <c r="N80" s="220"/>
      <c r="O80" s="84"/>
      <c r="P80" s="619"/>
      <c r="Q80" s="626"/>
      <c r="R80" s="188"/>
      <c r="S80" s="624"/>
      <c r="T80" s="624"/>
      <c r="U80" s="188"/>
      <c r="V80" s="188"/>
      <c r="W80" s="187"/>
      <c r="X80" s="220"/>
      <c r="Y80" s="228"/>
      <c r="Z80" s="618"/>
      <c r="AA80" s="632"/>
      <c r="AB80" s="188"/>
      <c r="AC80" s="624"/>
      <c r="AD80" s="624"/>
      <c r="AE80" s="188"/>
      <c r="AF80" s="188"/>
      <c r="AG80" s="187"/>
      <c r="AH80" s="220"/>
      <c r="AI80" s="228"/>
      <c r="AJ80" s="618"/>
      <c r="AK80" s="632"/>
      <c r="AL80" s="624"/>
      <c r="AM80" s="624"/>
      <c r="AN80" s="188"/>
      <c r="AO80" s="188"/>
      <c r="AP80" s="188"/>
      <c r="AQ80" s="187"/>
    </row>
    <row r="81" spans="1:43" s="86" customFormat="1" ht="15.75" customHeight="1" x14ac:dyDescent="0.25">
      <c r="A81" s="181"/>
      <c r="B81" s="196"/>
      <c r="C81" s="676" t="s">
        <v>162</v>
      </c>
      <c r="D81" s="228"/>
      <c r="E81" s="228"/>
      <c r="F81" s="604"/>
      <c r="G81" s="605"/>
      <c r="H81" s="605"/>
      <c r="I81" s="605"/>
      <c r="J81" s="605"/>
      <c r="K81" s="184"/>
      <c r="L81" s="185"/>
      <c r="M81" s="87"/>
      <c r="N81" s="220"/>
      <c r="O81" s="84"/>
      <c r="P81" s="619"/>
      <c r="Q81" s="626"/>
      <c r="R81" s="188"/>
      <c r="S81" s="624"/>
      <c r="T81" s="624"/>
      <c r="U81" s="188"/>
      <c r="V81" s="188"/>
      <c r="W81" s="187"/>
      <c r="X81" s="220"/>
      <c r="Y81" s="228"/>
      <c r="Z81" s="618"/>
      <c r="AA81" s="624"/>
      <c r="AB81" s="188"/>
      <c r="AC81" s="624"/>
      <c r="AD81" s="624"/>
      <c r="AE81" s="188"/>
      <c r="AF81" s="188"/>
      <c r="AG81" s="187"/>
      <c r="AH81" s="220"/>
      <c r="AI81" s="228"/>
      <c r="AJ81" s="618"/>
      <c r="AK81" s="632"/>
      <c r="AL81" s="624"/>
      <c r="AM81" s="624"/>
      <c r="AN81" s="188"/>
      <c r="AO81" s="188"/>
      <c r="AP81" s="188"/>
      <c r="AQ81" s="187"/>
    </row>
    <row r="82" spans="1:43" s="86" customFormat="1" ht="17.25" customHeight="1" x14ac:dyDescent="0.25">
      <c r="A82" s="181"/>
      <c r="B82" s="204">
        <v>4111306</v>
      </c>
      <c r="C82" s="74" t="s">
        <v>102</v>
      </c>
      <c r="D82" s="74"/>
      <c r="E82" s="74"/>
      <c r="F82" s="604">
        <v>116.72</v>
      </c>
      <c r="G82" s="605">
        <v>16.34</v>
      </c>
      <c r="H82" s="606">
        <f>ROW(C82)</f>
        <v>82</v>
      </c>
      <c r="I82" s="605">
        <v>100.38</v>
      </c>
      <c r="J82" s="605">
        <v>0</v>
      </c>
      <c r="K82" s="184"/>
      <c r="L82" s="185"/>
      <c r="M82" s="87"/>
      <c r="N82" s="73"/>
      <c r="O82" s="194"/>
      <c r="P82" s="618">
        <v>490.33</v>
      </c>
      <c r="Q82" s="624">
        <v>68.646200000000007</v>
      </c>
      <c r="R82" s="188"/>
      <c r="S82" s="624">
        <v>421.68380000000002</v>
      </c>
      <c r="T82" s="624">
        <v>0</v>
      </c>
      <c r="U82" s="188"/>
      <c r="V82" s="188"/>
      <c r="W82" s="187"/>
      <c r="X82" s="73" t="s">
        <v>146</v>
      </c>
      <c r="Y82" s="194">
        <v>131</v>
      </c>
      <c r="Z82" s="618">
        <v>333.57499999999999</v>
      </c>
      <c r="AA82" s="624">
        <v>46.700500000000012</v>
      </c>
      <c r="AB82" s="188"/>
      <c r="AC82" s="624">
        <v>286.87450000000001</v>
      </c>
      <c r="AD82" s="624">
        <v>0</v>
      </c>
      <c r="AE82" s="188"/>
      <c r="AF82" s="188"/>
      <c r="AG82" s="187"/>
      <c r="AH82" s="73"/>
      <c r="AI82" s="194"/>
      <c r="AJ82" s="618">
        <v>272.92500000000001</v>
      </c>
      <c r="AK82" s="632">
        <v>38.209500000000013</v>
      </c>
      <c r="AL82" s="624"/>
      <c r="AM82" s="624">
        <v>234.71549999999999</v>
      </c>
      <c r="AN82" s="188">
        <v>0</v>
      </c>
      <c r="AO82" s="188"/>
      <c r="AP82" s="188"/>
      <c r="AQ82" s="187"/>
    </row>
    <row r="83" spans="1:43" s="86" customFormat="1" ht="15.75" customHeight="1" x14ac:dyDescent="0.25">
      <c r="A83" s="181"/>
      <c r="B83" s="196"/>
      <c r="C83" s="676" t="s">
        <v>103</v>
      </c>
      <c r="D83" s="228"/>
      <c r="E83" s="228"/>
      <c r="F83" s="604"/>
      <c r="G83" s="605"/>
      <c r="H83" s="605"/>
      <c r="I83" s="605"/>
      <c r="J83" s="605"/>
      <c r="K83" s="184"/>
      <c r="L83" s="185"/>
      <c r="M83" s="87"/>
      <c r="N83" s="220"/>
      <c r="O83" s="84"/>
      <c r="P83" s="619"/>
      <c r="Q83" s="626"/>
      <c r="R83" s="188"/>
      <c r="S83" s="624"/>
      <c r="T83" s="624"/>
      <c r="U83" s="188"/>
      <c r="V83" s="188"/>
      <c r="W83" s="187"/>
      <c r="X83" s="220"/>
      <c r="Y83" s="228"/>
      <c r="Z83" s="618"/>
      <c r="AA83" s="624"/>
      <c r="AB83" s="188"/>
      <c r="AC83" s="624"/>
      <c r="AD83" s="624"/>
      <c r="AE83" s="188"/>
      <c r="AF83" s="188"/>
      <c r="AG83" s="187"/>
      <c r="AH83" s="220"/>
      <c r="AI83" s="228"/>
      <c r="AJ83" s="618"/>
      <c r="AK83" s="632"/>
      <c r="AL83" s="624"/>
      <c r="AM83" s="624"/>
      <c r="AN83" s="188"/>
      <c r="AO83" s="188"/>
      <c r="AP83" s="188"/>
      <c r="AQ83" s="187"/>
    </row>
    <row r="84" spans="1:43" s="86" customFormat="1" ht="17.25" customHeight="1" x14ac:dyDescent="0.25">
      <c r="A84" s="181"/>
      <c r="B84" s="191">
        <v>4111307</v>
      </c>
      <c r="C84" s="74" t="s">
        <v>104</v>
      </c>
      <c r="D84" s="74"/>
      <c r="E84" s="74"/>
      <c r="F84" s="604">
        <v>0</v>
      </c>
      <c r="G84" s="605">
        <v>0</v>
      </c>
      <c r="H84" s="606">
        <f>ROW(C84)</f>
        <v>84</v>
      </c>
      <c r="I84" s="605">
        <v>0</v>
      </c>
      <c r="J84" s="605">
        <v>0</v>
      </c>
      <c r="K84" s="184"/>
      <c r="L84" s="185"/>
      <c r="M84" s="87"/>
      <c r="N84" s="73" t="s">
        <v>160</v>
      </c>
      <c r="O84" s="194" t="s">
        <v>143</v>
      </c>
      <c r="P84" s="618">
        <v>0</v>
      </c>
      <c r="Q84" s="624">
        <v>0</v>
      </c>
      <c r="R84" s="188"/>
      <c r="S84" s="624">
        <v>0</v>
      </c>
      <c r="T84" s="624">
        <v>0</v>
      </c>
      <c r="U84" s="188"/>
      <c r="V84" s="188"/>
      <c r="W84" s="187"/>
      <c r="X84" s="73" t="s">
        <v>160</v>
      </c>
      <c r="Y84" s="194" t="s">
        <v>143</v>
      </c>
      <c r="Z84" s="618">
        <v>778.73819999999989</v>
      </c>
      <c r="AA84" s="624">
        <v>109.023348</v>
      </c>
      <c r="AB84" s="188"/>
      <c r="AC84" s="624">
        <v>669.71485199999995</v>
      </c>
      <c r="AD84" s="624">
        <v>0</v>
      </c>
      <c r="AE84" s="188"/>
      <c r="AF84" s="188"/>
      <c r="AG84" s="187"/>
      <c r="AH84" s="73"/>
      <c r="AI84" s="194"/>
      <c r="AJ84" s="618">
        <v>497.8818</v>
      </c>
      <c r="AK84" s="632">
        <v>69.703452000000013</v>
      </c>
      <c r="AL84" s="624"/>
      <c r="AM84" s="624">
        <v>428.17834800000003</v>
      </c>
      <c r="AN84" s="188">
        <v>0</v>
      </c>
      <c r="AO84" s="188"/>
      <c r="AP84" s="188"/>
      <c r="AQ84" s="187"/>
    </row>
    <row r="85" spans="1:43" s="86" customFormat="1" ht="17.25" customHeight="1" x14ac:dyDescent="0.25">
      <c r="A85" s="181"/>
      <c r="B85" s="191">
        <v>4111307</v>
      </c>
      <c r="C85" s="74" t="s">
        <v>106</v>
      </c>
      <c r="D85" s="74"/>
      <c r="E85" s="74"/>
      <c r="F85" s="604">
        <v>6143.66</v>
      </c>
      <c r="G85" s="605">
        <v>889.49</v>
      </c>
      <c r="H85" s="606">
        <f>ROW(C85)</f>
        <v>85</v>
      </c>
      <c r="I85" s="605">
        <v>5254.17</v>
      </c>
      <c r="J85" s="605">
        <v>0</v>
      </c>
      <c r="K85" s="184"/>
      <c r="L85" s="185"/>
      <c r="M85" s="87"/>
      <c r="N85" s="73" t="s">
        <v>146</v>
      </c>
      <c r="O85" s="194" t="s">
        <v>143</v>
      </c>
      <c r="P85" s="618">
        <v>8105.58</v>
      </c>
      <c r="Q85" s="624">
        <v>1134.7811999999999</v>
      </c>
      <c r="R85" s="188"/>
      <c r="S85" s="624">
        <v>6970.7987999999996</v>
      </c>
      <c r="T85" s="624">
        <v>0</v>
      </c>
      <c r="U85" s="188"/>
      <c r="V85" s="188"/>
      <c r="W85" s="187"/>
      <c r="X85" s="73" t="s">
        <v>146</v>
      </c>
      <c r="Y85" s="194" t="s">
        <v>143</v>
      </c>
      <c r="Z85" s="618">
        <v>2229.3669999999988</v>
      </c>
      <c r="AA85" s="624">
        <v>312.11137999999988</v>
      </c>
      <c r="AB85" s="188"/>
      <c r="AC85" s="624">
        <v>1917.255619999999</v>
      </c>
      <c r="AD85" s="624">
        <v>0</v>
      </c>
      <c r="AE85" s="188"/>
      <c r="AF85" s="188"/>
      <c r="AG85" s="187"/>
      <c r="AH85" s="73" t="s">
        <v>146</v>
      </c>
      <c r="AI85" s="194" t="s">
        <v>143</v>
      </c>
      <c r="AJ85" s="618">
        <v>1425.3330000000001</v>
      </c>
      <c r="AK85" s="632">
        <v>199.54661999999999</v>
      </c>
      <c r="AL85" s="624"/>
      <c r="AM85" s="624">
        <v>1225.78638</v>
      </c>
      <c r="AN85" s="188">
        <v>0</v>
      </c>
      <c r="AO85" s="188"/>
      <c r="AP85" s="188"/>
      <c r="AQ85" s="187"/>
    </row>
    <row r="86" spans="1:43" s="86" customFormat="1" ht="19.5" customHeight="1" x14ac:dyDescent="0.25">
      <c r="A86" s="181"/>
      <c r="B86" s="191">
        <v>4111307</v>
      </c>
      <c r="C86" s="74" t="s">
        <v>108</v>
      </c>
      <c r="D86" s="74"/>
      <c r="E86" s="74"/>
      <c r="F86" s="604">
        <v>6011.48</v>
      </c>
      <c r="G86" s="605">
        <v>791.08</v>
      </c>
      <c r="H86" s="606">
        <f>ROW(C86)</f>
        <v>86</v>
      </c>
      <c r="I86" s="605">
        <v>5220.3999999999996</v>
      </c>
      <c r="J86" s="605">
        <v>0</v>
      </c>
      <c r="K86" s="184"/>
      <c r="L86" s="185"/>
      <c r="M86" s="87"/>
      <c r="N86" s="73" t="s">
        <v>163</v>
      </c>
      <c r="O86" s="194" t="s">
        <v>143</v>
      </c>
      <c r="P86" s="618">
        <v>3936.68</v>
      </c>
      <c r="Q86" s="624">
        <v>551.13520000000005</v>
      </c>
      <c r="R86" s="188"/>
      <c r="S86" s="624">
        <v>3385.5448000000001</v>
      </c>
      <c r="T86" s="624">
        <v>0</v>
      </c>
      <c r="U86" s="188"/>
      <c r="V86" s="188"/>
      <c r="W86" s="187"/>
      <c r="X86" s="73" t="s">
        <v>163</v>
      </c>
      <c r="Y86" s="194" t="s">
        <v>143</v>
      </c>
      <c r="Z86" s="618">
        <v>83.299600000000453</v>
      </c>
      <c r="AA86" s="624">
        <v>11.66194400000006</v>
      </c>
      <c r="AB86" s="188"/>
      <c r="AC86" s="624">
        <v>71.637656000000391</v>
      </c>
      <c r="AD86" s="624">
        <v>0</v>
      </c>
      <c r="AE86" s="188"/>
      <c r="AF86" s="188"/>
      <c r="AG86" s="187"/>
      <c r="AH86" s="73" t="s">
        <v>163</v>
      </c>
      <c r="AI86" s="194" t="s">
        <v>143</v>
      </c>
      <c r="AJ86" s="618">
        <v>60.320400000000333</v>
      </c>
      <c r="AK86" s="632">
        <v>8.4448560000000477</v>
      </c>
      <c r="AL86" s="624"/>
      <c r="AM86" s="624">
        <v>51.875544000000289</v>
      </c>
      <c r="AN86" s="188">
        <v>0</v>
      </c>
      <c r="AO86" s="188"/>
      <c r="AP86" s="188"/>
      <c r="AQ86" s="187"/>
    </row>
    <row r="87" spans="1:43" s="86" customFormat="1" ht="15.75" customHeight="1" x14ac:dyDescent="0.25">
      <c r="A87" s="181"/>
      <c r="B87" s="199"/>
      <c r="C87" s="676" t="s">
        <v>164</v>
      </c>
      <c r="D87" s="676"/>
      <c r="E87" s="676"/>
      <c r="F87" s="604"/>
      <c r="G87" s="605"/>
      <c r="H87" s="605"/>
      <c r="I87" s="605"/>
      <c r="J87" s="605"/>
      <c r="K87" s="184"/>
      <c r="L87" s="185"/>
      <c r="M87" s="87"/>
      <c r="N87" s="232"/>
      <c r="O87" s="676"/>
      <c r="P87" s="618"/>
      <c r="Q87" s="624"/>
      <c r="R87" s="188"/>
      <c r="S87" s="624"/>
      <c r="T87" s="624"/>
      <c r="U87" s="188"/>
      <c r="V87" s="188"/>
      <c r="W87" s="187"/>
      <c r="X87" s="232"/>
      <c r="Y87" s="676"/>
      <c r="Z87" s="618"/>
      <c r="AA87" s="632"/>
      <c r="AB87" s="188"/>
      <c r="AC87" s="624"/>
      <c r="AD87" s="624"/>
      <c r="AE87" s="188"/>
      <c r="AF87" s="188"/>
      <c r="AG87" s="187"/>
      <c r="AH87" s="232"/>
      <c r="AI87" s="676"/>
      <c r="AJ87" s="618"/>
      <c r="AK87" s="632"/>
      <c r="AL87" s="624"/>
      <c r="AM87" s="624"/>
      <c r="AN87" s="188"/>
      <c r="AO87" s="188"/>
      <c r="AP87" s="188"/>
      <c r="AQ87" s="187"/>
    </row>
    <row r="88" spans="1:43" s="86" customFormat="1" ht="19.5" customHeight="1" x14ac:dyDescent="0.25">
      <c r="A88" s="181"/>
      <c r="B88" s="191">
        <v>4111201</v>
      </c>
      <c r="C88" s="74" t="s">
        <v>110</v>
      </c>
      <c r="D88" s="74"/>
      <c r="E88" s="74"/>
      <c r="F88" s="604">
        <v>455.04</v>
      </c>
      <c r="G88" s="605">
        <v>64.36</v>
      </c>
      <c r="H88" s="606">
        <f t="shared" ref="H88:H95" si="1">ROW(C88)</f>
        <v>88</v>
      </c>
      <c r="I88" s="605">
        <v>390.68</v>
      </c>
      <c r="J88" s="605">
        <v>0</v>
      </c>
      <c r="K88" s="184"/>
      <c r="L88" s="185"/>
      <c r="M88" s="87"/>
      <c r="N88" s="73" t="s">
        <v>163</v>
      </c>
      <c r="O88" s="194" t="s">
        <v>143</v>
      </c>
      <c r="P88" s="618">
        <v>900.73</v>
      </c>
      <c r="Q88" s="624">
        <v>126.1022</v>
      </c>
      <c r="R88" s="188"/>
      <c r="S88" s="624">
        <v>774.62779999999998</v>
      </c>
      <c r="T88" s="624">
        <v>0</v>
      </c>
      <c r="U88" s="188"/>
      <c r="V88" s="188"/>
      <c r="W88" s="187"/>
      <c r="X88" s="73" t="s">
        <v>163</v>
      </c>
      <c r="Y88" s="194" t="s">
        <v>143</v>
      </c>
      <c r="Z88" s="618">
        <v>1020.3057</v>
      </c>
      <c r="AA88" s="632">
        <v>142.84279799999999</v>
      </c>
      <c r="AB88" s="188"/>
      <c r="AC88" s="624">
        <v>877.46290199999999</v>
      </c>
      <c r="AD88" s="624">
        <v>0</v>
      </c>
      <c r="AE88" s="188"/>
      <c r="AF88" s="188"/>
      <c r="AG88" s="187"/>
      <c r="AH88" s="232"/>
      <c r="AI88" s="676"/>
      <c r="AJ88" s="618">
        <v>769.7043000000001</v>
      </c>
      <c r="AK88" s="632">
        <v>107.758602</v>
      </c>
      <c r="AL88" s="624"/>
      <c r="AM88" s="624">
        <v>661.94569800000011</v>
      </c>
      <c r="AN88" s="188">
        <v>0</v>
      </c>
      <c r="AO88" s="188"/>
      <c r="AP88" s="188"/>
      <c r="AQ88" s="187"/>
    </row>
    <row r="89" spans="1:43" s="86" customFormat="1" ht="31.5" customHeight="1" x14ac:dyDescent="0.25">
      <c r="A89" s="181"/>
      <c r="B89" s="191">
        <v>4111201</v>
      </c>
      <c r="C89" s="74" t="s">
        <v>111</v>
      </c>
      <c r="D89" s="74"/>
      <c r="E89" s="74"/>
      <c r="F89" s="604">
        <v>452.46</v>
      </c>
      <c r="G89" s="605">
        <v>63.49</v>
      </c>
      <c r="H89" s="606">
        <f t="shared" si="1"/>
        <v>89</v>
      </c>
      <c r="I89" s="605">
        <v>388.97</v>
      </c>
      <c r="J89" s="605">
        <v>0</v>
      </c>
      <c r="K89" s="184"/>
      <c r="L89" s="185"/>
      <c r="M89" s="87"/>
      <c r="N89" s="73" t="s">
        <v>163</v>
      </c>
      <c r="O89" s="194" t="s">
        <v>143</v>
      </c>
      <c r="P89" s="618">
        <v>913.26</v>
      </c>
      <c r="Q89" s="624">
        <v>127.85639999999999</v>
      </c>
      <c r="R89" s="188"/>
      <c r="S89" s="624">
        <v>785.40359999999998</v>
      </c>
      <c r="T89" s="624">
        <v>0</v>
      </c>
      <c r="U89" s="188"/>
      <c r="V89" s="188"/>
      <c r="W89" s="187"/>
      <c r="X89" s="73" t="s">
        <v>163</v>
      </c>
      <c r="Y89" s="194" t="s">
        <v>143</v>
      </c>
      <c r="Z89" s="618">
        <v>181.96680000000001</v>
      </c>
      <c r="AA89" s="632">
        <v>25.475352000000001</v>
      </c>
      <c r="AB89" s="188"/>
      <c r="AC89" s="624">
        <v>156.49144799999999</v>
      </c>
      <c r="AD89" s="624">
        <v>0</v>
      </c>
      <c r="AE89" s="188"/>
      <c r="AF89" s="188"/>
      <c r="AG89" s="187"/>
      <c r="AH89" s="232"/>
      <c r="AI89" s="676"/>
      <c r="AJ89" s="618">
        <v>137.2732</v>
      </c>
      <c r="AK89" s="632">
        <v>19.218247999999999</v>
      </c>
      <c r="AL89" s="624"/>
      <c r="AM89" s="624">
        <v>118.054952</v>
      </c>
      <c r="AN89" s="188">
        <v>0</v>
      </c>
      <c r="AO89" s="188"/>
      <c r="AP89" s="188"/>
      <c r="AQ89" s="187"/>
    </row>
    <row r="90" spans="1:43" s="86" customFormat="1" ht="30.75" customHeight="1" x14ac:dyDescent="0.25">
      <c r="A90" s="181"/>
      <c r="B90" s="191">
        <v>4111201</v>
      </c>
      <c r="C90" s="74" t="s">
        <v>112</v>
      </c>
      <c r="D90" s="74"/>
      <c r="E90" s="74"/>
      <c r="F90" s="604">
        <v>341.85</v>
      </c>
      <c r="G90" s="605">
        <v>48.84</v>
      </c>
      <c r="H90" s="606">
        <f t="shared" si="1"/>
        <v>90</v>
      </c>
      <c r="I90" s="605">
        <v>293.01</v>
      </c>
      <c r="J90" s="605">
        <v>0</v>
      </c>
      <c r="K90" s="184"/>
      <c r="L90" s="185"/>
      <c r="M90" s="87"/>
      <c r="N90" s="73" t="s">
        <v>163</v>
      </c>
      <c r="O90" s="194" t="s">
        <v>143</v>
      </c>
      <c r="P90" s="618">
        <v>657.55</v>
      </c>
      <c r="Q90" s="624">
        <v>92.057000000000002</v>
      </c>
      <c r="R90" s="188"/>
      <c r="S90" s="624">
        <v>565.49299999999994</v>
      </c>
      <c r="T90" s="624">
        <v>0</v>
      </c>
      <c r="U90" s="188"/>
      <c r="V90" s="188"/>
      <c r="W90" s="187"/>
      <c r="X90" s="73" t="s">
        <v>163</v>
      </c>
      <c r="Y90" s="194" t="s">
        <v>143</v>
      </c>
      <c r="Z90" s="618">
        <v>358.26209999999998</v>
      </c>
      <c r="AA90" s="632">
        <v>50.156694000000002</v>
      </c>
      <c r="AB90" s="188"/>
      <c r="AC90" s="624">
        <v>308.10540600000002</v>
      </c>
      <c r="AD90" s="624">
        <v>0</v>
      </c>
      <c r="AE90" s="188"/>
      <c r="AF90" s="188"/>
      <c r="AG90" s="187"/>
      <c r="AH90" s="232"/>
      <c r="AI90" s="676"/>
      <c r="AJ90" s="618">
        <v>210.40790000000001</v>
      </c>
      <c r="AK90" s="632">
        <v>29.457106</v>
      </c>
      <c r="AL90" s="624"/>
      <c r="AM90" s="624">
        <v>180.950794</v>
      </c>
      <c r="AN90" s="188">
        <v>0</v>
      </c>
      <c r="AO90" s="188"/>
      <c r="AP90" s="188"/>
      <c r="AQ90" s="187"/>
    </row>
    <row r="91" spans="1:43" s="86" customFormat="1" ht="16.5" customHeight="1" x14ac:dyDescent="0.25">
      <c r="A91" s="181"/>
      <c r="B91" s="191">
        <v>4111201</v>
      </c>
      <c r="C91" s="74" t="s">
        <v>113</v>
      </c>
      <c r="D91" s="74"/>
      <c r="E91" s="74"/>
      <c r="F91" s="604">
        <v>6127.06</v>
      </c>
      <c r="G91" s="605">
        <v>779.02</v>
      </c>
      <c r="H91" s="606">
        <f t="shared" si="1"/>
        <v>91</v>
      </c>
      <c r="I91" s="605">
        <v>5348.04</v>
      </c>
      <c r="J91" s="605">
        <v>0</v>
      </c>
      <c r="K91" s="184"/>
      <c r="L91" s="185"/>
      <c r="M91" s="87"/>
      <c r="N91" s="73" t="s">
        <v>163</v>
      </c>
      <c r="O91" s="194" t="s">
        <v>143</v>
      </c>
      <c r="P91" s="618">
        <v>4650.7700000000004</v>
      </c>
      <c r="Q91" s="624">
        <v>651.10780000000011</v>
      </c>
      <c r="R91" s="188"/>
      <c r="S91" s="624">
        <v>3999.6622000000002</v>
      </c>
      <c r="T91" s="624">
        <v>0</v>
      </c>
      <c r="U91" s="188"/>
      <c r="V91" s="188"/>
      <c r="W91" s="187"/>
      <c r="X91" s="73" t="s">
        <v>163</v>
      </c>
      <c r="Y91" s="194" t="s">
        <v>143</v>
      </c>
      <c r="Z91" s="618">
        <v>4208.0117999999993</v>
      </c>
      <c r="AA91" s="624">
        <v>589.12165199999993</v>
      </c>
      <c r="AB91" s="188"/>
      <c r="AC91" s="624">
        <v>3618.890147999999</v>
      </c>
      <c r="AD91" s="624">
        <v>0</v>
      </c>
      <c r="AE91" s="188"/>
      <c r="AF91" s="188"/>
      <c r="AG91" s="187"/>
      <c r="AH91" s="73" t="s">
        <v>163</v>
      </c>
      <c r="AI91" s="194"/>
      <c r="AJ91" s="618">
        <v>2690.3681999999999</v>
      </c>
      <c r="AK91" s="632">
        <v>376.65154799999999</v>
      </c>
      <c r="AL91" s="624"/>
      <c r="AM91" s="624">
        <v>2313.7166520000001</v>
      </c>
      <c r="AN91" s="188">
        <v>0</v>
      </c>
      <c r="AO91" s="188"/>
      <c r="AP91" s="188"/>
      <c r="AQ91" s="187"/>
    </row>
    <row r="92" spans="1:43" s="86" customFormat="1" ht="16.5" customHeight="1" x14ac:dyDescent="0.25">
      <c r="A92" s="181"/>
      <c r="B92" s="191">
        <v>4111201</v>
      </c>
      <c r="C92" s="74" t="s">
        <v>114</v>
      </c>
      <c r="D92" s="74"/>
      <c r="E92" s="74"/>
      <c r="F92" s="604">
        <v>73.260000000000005</v>
      </c>
      <c r="G92" s="605">
        <v>9.77</v>
      </c>
      <c r="H92" s="606">
        <f t="shared" si="1"/>
        <v>92</v>
      </c>
      <c r="I92" s="605">
        <v>63.49</v>
      </c>
      <c r="J92" s="605">
        <v>0</v>
      </c>
      <c r="K92" s="184"/>
      <c r="L92" s="185"/>
      <c r="M92" s="87"/>
      <c r="N92" s="73" t="s">
        <v>146</v>
      </c>
      <c r="O92" s="680"/>
      <c r="P92" s="618">
        <v>0</v>
      </c>
      <c r="Q92" s="624">
        <v>0</v>
      </c>
      <c r="R92" s="188"/>
      <c r="S92" s="624">
        <v>0</v>
      </c>
      <c r="T92" s="624">
        <v>0</v>
      </c>
      <c r="U92" s="188"/>
      <c r="V92" s="188"/>
      <c r="W92" s="187"/>
      <c r="X92" s="73" t="s">
        <v>146</v>
      </c>
      <c r="Y92" s="194"/>
      <c r="Z92" s="618">
        <v>50.133200000000002</v>
      </c>
      <c r="AA92" s="624">
        <v>7.0186480000000007</v>
      </c>
      <c r="AB92" s="188"/>
      <c r="AC92" s="624">
        <v>43.114552000000003</v>
      </c>
      <c r="AD92" s="624">
        <v>0</v>
      </c>
      <c r="AE92" s="188"/>
      <c r="AF92" s="188"/>
      <c r="AG92" s="187"/>
      <c r="AH92" s="73" t="s">
        <v>146</v>
      </c>
      <c r="AI92" s="194"/>
      <c r="AJ92" s="618">
        <v>30.726800000000001</v>
      </c>
      <c r="AK92" s="632">
        <v>4.3017519999999996</v>
      </c>
      <c r="AL92" s="624"/>
      <c r="AM92" s="624">
        <v>26.425048</v>
      </c>
      <c r="AN92" s="188">
        <v>0</v>
      </c>
      <c r="AO92" s="188"/>
      <c r="AP92" s="188"/>
      <c r="AQ92" s="187"/>
    </row>
    <row r="93" spans="1:43" s="86" customFormat="1" ht="16.5" customHeight="1" x14ac:dyDescent="0.25">
      <c r="A93" s="181"/>
      <c r="B93" s="191">
        <v>4111201</v>
      </c>
      <c r="C93" s="74" t="s">
        <v>115</v>
      </c>
      <c r="D93" s="74"/>
      <c r="E93" s="74"/>
      <c r="F93" s="604">
        <v>0</v>
      </c>
      <c r="G93" s="605">
        <v>0</v>
      </c>
      <c r="H93" s="606">
        <f t="shared" si="1"/>
        <v>93</v>
      </c>
      <c r="I93" s="605">
        <v>0</v>
      </c>
      <c r="J93" s="605">
        <v>0</v>
      </c>
      <c r="K93" s="184"/>
      <c r="L93" s="185"/>
      <c r="M93" s="87"/>
      <c r="N93" s="73"/>
      <c r="O93" s="680"/>
      <c r="P93" s="618">
        <v>0</v>
      </c>
      <c r="Q93" s="624">
        <v>0</v>
      </c>
      <c r="R93" s="188"/>
      <c r="S93" s="624">
        <v>0</v>
      </c>
      <c r="T93" s="624">
        <v>0</v>
      </c>
      <c r="U93" s="188"/>
      <c r="V93" s="188"/>
      <c r="W93" s="187"/>
      <c r="X93" s="73"/>
      <c r="Y93" s="194"/>
      <c r="Z93" s="618">
        <v>549</v>
      </c>
      <c r="AA93" s="624">
        <v>76.860000000000014</v>
      </c>
      <c r="AB93" s="188"/>
      <c r="AC93" s="624">
        <v>472.14</v>
      </c>
      <c r="AD93" s="624">
        <v>0</v>
      </c>
      <c r="AE93" s="188"/>
      <c r="AF93" s="188"/>
      <c r="AG93" s="187"/>
      <c r="AH93" s="73"/>
      <c r="AI93" s="194"/>
      <c r="AJ93" s="618">
        <v>351</v>
      </c>
      <c r="AK93" s="632">
        <v>49.140000000000008</v>
      </c>
      <c r="AL93" s="624"/>
      <c r="AM93" s="624">
        <v>301.86</v>
      </c>
      <c r="AN93" s="188">
        <v>0</v>
      </c>
      <c r="AO93" s="188"/>
      <c r="AP93" s="188"/>
      <c r="AQ93" s="187"/>
    </row>
    <row r="94" spans="1:43" s="86" customFormat="1" ht="16.5" customHeight="1" x14ac:dyDescent="0.25">
      <c r="A94" s="181"/>
      <c r="B94" s="191">
        <v>4111201</v>
      </c>
      <c r="C94" s="74" t="s">
        <v>116</v>
      </c>
      <c r="D94" s="74"/>
      <c r="E94" s="74"/>
      <c r="F94" s="604">
        <v>42.09</v>
      </c>
      <c r="G94" s="605">
        <v>5.47</v>
      </c>
      <c r="H94" s="606">
        <f t="shared" si="1"/>
        <v>94</v>
      </c>
      <c r="I94" s="605">
        <v>36.619999999999997</v>
      </c>
      <c r="J94" s="605">
        <v>0</v>
      </c>
      <c r="K94" s="184"/>
      <c r="L94" s="185"/>
      <c r="M94" s="87"/>
      <c r="N94" s="73" t="s">
        <v>146</v>
      </c>
      <c r="O94" s="194" t="s">
        <v>143</v>
      </c>
      <c r="P94" s="618">
        <v>348.14</v>
      </c>
      <c r="Q94" s="624">
        <v>48.739600000000003</v>
      </c>
      <c r="R94" s="188"/>
      <c r="S94" s="624">
        <v>299.40039999999999</v>
      </c>
      <c r="T94" s="624">
        <v>0</v>
      </c>
      <c r="U94" s="188"/>
      <c r="V94" s="188"/>
      <c r="W94" s="187"/>
      <c r="X94" s="73" t="s">
        <v>146</v>
      </c>
      <c r="Y94" s="194"/>
      <c r="Z94" s="618">
        <v>1008.7643</v>
      </c>
      <c r="AA94" s="624">
        <v>141.227002</v>
      </c>
      <c r="AB94" s="188"/>
      <c r="AC94" s="624">
        <v>867.53729799999996</v>
      </c>
      <c r="AD94" s="624">
        <v>0</v>
      </c>
      <c r="AE94" s="188"/>
      <c r="AF94" s="188"/>
      <c r="AG94" s="187"/>
      <c r="AH94" s="73" t="s">
        <v>146</v>
      </c>
      <c r="AI94" s="194"/>
      <c r="AJ94" s="618">
        <v>701.00569999999993</v>
      </c>
      <c r="AK94" s="632">
        <v>98.140798000000004</v>
      </c>
      <c r="AL94" s="624"/>
      <c r="AM94" s="624">
        <v>602.86490199999992</v>
      </c>
      <c r="AN94" s="188">
        <v>0</v>
      </c>
      <c r="AO94" s="188"/>
      <c r="AP94" s="188"/>
      <c r="AQ94" s="187"/>
    </row>
    <row r="95" spans="1:43" s="86" customFormat="1" ht="16.5" customHeight="1" x14ac:dyDescent="0.25">
      <c r="A95" s="181"/>
      <c r="B95" s="191">
        <v>4111201</v>
      </c>
      <c r="C95" s="74" t="s">
        <v>117</v>
      </c>
      <c r="D95" s="74"/>
      <c r="E95" s="74"/>
      <c r="F95" s="604">
        <v>0</v>
      </c>
      <c r="G95" s="605">
        <v>0</v>
      </c>
      <c r="H95" s="606">
        <f t="shared" si="1"/>
        <v>95</v>
      </c>
      <c r="I95" s="605">
        <v>0</v>
      </c>
      <c r="J95" s="605">
        <v>0</v>
      </c>
      <c r="K95" s="184"/>
      <c r="L95" s="185"/>
      <c r="M95" s="87"/>
      <c r="N95" s="73"/>
      <c r="O95" s="194"/>
      <c r="P95" s="618">
        <v>0</v>
      </c>
      <c r="Q95" s="624">
        <v>0</v>
      </c>
      <c r="R95" s="188"/>
      <c r="S95" s="624">
        <v>0</v>
      </c>
      <c r="T95" s="624">
        <v>0</v>
      </c>
      <c r="U95" s="188"/>
      <c r="V95" s="188"/>
      <c r="W95" s="187"/>
      <c r="X95" s="73"/>
      <c r="Y95" s="194" t="s">
        <v>143</v>
      </c>
      <c r="Z95" s="618">
        <v>341.99999999999989</v>
      </c>
      <c r="AA95" s="624">
        <v>47.88</v>
      </c>
      <c r="AB95" s="188"/>
      <c r="AC95" s="624">
        <v>294.11999999999989</v>
      </c>
      <c r="AD95" s="624">
        <v>0</v>
      </c>
      <c r="AE95" s="188"/>
      <c r="AF95" s="188"/>
      <c r="AG95" s="187"/>
      <c r="AH95" s="73"/>
      <c r="AI95" s="194"/>
      <c r="AJ95" s="618">
        <v>258</v>
      </c>
      <c r="AK95" s="632">
        <v>36.119999999999997</v>
      </c>
      <c r="AL95" s="624"/>
      <c r="AM95" s="624">
        <v>221.88</v>
      </c>
      <c r="AN95" s="188">
        <v>0</v>
      </c>
      <c r="AO95" s="188"/>
      <c r="AP95" s="188"/>
      <c r="AQ95" s="187"/>
    </row>
    <row r="96" spans="1:43" s="86" customFormat="1" ht="15.75" customHeight="1" x14ac:dyDescent="0.25">
      <c r="A96" s="751" t="s">
        <v>165</v>
      </c>
      <c r="B96" s="717"/>
      <c r="C96" s="703"/>
      <c r="D96" s="233"/>
      <c r="E96" s="233"/>
      <c r="F96" s="604">
        <f>SUM(F60:F95)</f>
        <v>34935.856</v>
      </c>
      <c r="G96" s="604">
        <f>SUM(G60:G95)</f>
        <v>17840.096000000005</v>
      </c>
      <c r="H96" s="604"/>
      <c r="I96" s="604">
        <f>SUM(I60:I95)</f>
        <v>17095.760000000002</v>
      </c>
      <c r="J96" s="604">
        <f>SUM(J60:J95)</f>
        <v>0</v>
      </c>
      <c r="K96" s="441"/>
      <c r="L96" s="234"/>
      <c r="M96" s="87"/>
      <c r="N96" s="235"/>
      <c r="O96" s="187"/>
      <c r="P96" s="620">
        <f>SUM(P60:P95)</f>
        <v>22157.059999999998</v>
      </c>
      <c r="Q96" s="620">
        <f>SUM(Q60:Q95)</f>
        <v>4954.4455999999991</v>
      </c>
      <c r="R96" s="236"/>
      <c r="S96" s="620">
        <f>SUM(S60:S95)</f>
        <v>17202.614399999999</v>
      </c>
      <c r="T96" s="620">
        <f>SUM(T60:T95)</f>
        <v>0</v>
      </c>
      <c r="U96" s="236"/>
      <c r="V96" s="236"/>
      <c r="W96" s="236"/>
      <c r="X96" s="237"/>
      <c r="Y96" s="236"/>
      <c r="Z96" s="620">
        <f>SUM(Z60:Z95)</f>
        <v>17717.699999999997</v>
      </c>
      <c r="AA96" s="620">
        <f>SUM(AA60:AA95)</f>
        <v>8134.3556179999996</v>
      </c>
      <c r="AB96" s="236"/>
      <c r="AC96" s="620">
        <f>SUM(AC60:AC95)</f>
        <v>9583.3443819999957</v>
      </c>
      <c r="AD96" s="620">
        <f>SUM(AD60:AD95)</f>
        <v>0</v>
      </c>
      <c r="AE96" s="236"/>
      <c r="AF96" s="236"/>
      <c r="AG96" s="236"/>
      <c r="AH96" s="237"/>
      <c r="AI96" s="236"/>
      <c r="AJ96" s="620">
        <f>SUM(AJ60:AJ95)</f>
        <v>7407.2200000000012</v>
      </c>
      <c r="AK96" s="635">
        <f>SUM(AK60:AK95)</f>
        <v>1038.9661820000001</v>
      </c>
      <c r="AL96" s="620"/>
      <c r="AM96" s="620">
        <f>SUM(AM60:AM95)</f>
        <v>6368.253818000001</v>
      </c>
      <c r="AN96" s="236">
        <f>SUM(AN60:AN95)</f>
        <v>0</v>
      </c>
      <c r="AO96" s="187"/>
      <c r="AP96" s="187"/>
      <c r="AQ96" s="187"/>
    </row>
    <row r="97" spans="1:43" s="239" customFormat="1" ht="15.75" customHeight="1" x14ac:dyDescent="0.25">
      <c r="A97" s="751" t="s">
        <v>120</v>
      </c>
      <c r="B97" s="717"/>
      <c r="C97" s="703"/>
      <c r="D97" s="233"/>
      <c r="E97" s="233"/>
      <c r="F97" s="605">
        <f>F56+F96</f>
        <v>45560.705999999998</v>
      </c>
      <c r="G97" s="605">
        <f>+G56+G96</f>
        <v>21124.756000000005</v>
      </c>
      <c r="H97" s="605"/>
      <c r="I97" s="605">
        <f>+I56+I96</f>
        <v>19267.940000000002</v>
      </c>
      <c r="J97" s="605">
        <f>+J56+J96</f>
        <v>5168.01</v>
      </c>
      <c r="K97" s="184"/>
      <c r="L97" s="185"/>
      <c r="M97" s="213"/>
      <c r="N97" s="235"/>
      <c r="O97" s="187"/>
      <c r="P97" s="620">
        <f>SUM(P56+P96)</f>
        <v>24717.059999999998</v>
      </c>
      <c r="Q97" s="627">
        <f>+Q56+Q96</f>
        <v>5964.8607839999986</v>
      </c>
      <c r="R97" s="236"/>
      <c r="S97" s="627">
        <f>+S56+S96</f>
        <v>18252.199215999997</v>
      </c>
      <c r="T97" s="627">
        <f>+T56+T96</f>
        <v>500</v>
      </c>
      <c r="U97" s="238"/>
      <c r="V97" s="238"/>
      <c r="W97" s="236"/>
      <c r="X97" s="237"/>
      <c r="Y97" s="236"/>
      <c r="Z97" s="620">
        <f>SUM(Z56+Z96)</f>
        <v>21535.905199999997</v>
      </c>
      <c r="AA97" s="627">
        <f>+AA56+AA96</f>
        <v>9383.3379586400006</v>
      </c>
      <c r="AB97" s="236"/>
      <c r="AC97" s="627">
        <f>+AC56+AC96</f>
        <v>10790.199341359996</v>
      </c>
      <c r="AD97" s="627">
        <f>+AD56+AD96</f>
        <v>1362.3679</v>
      </c>
      <c r="AE97" s="238"/>
      <c r="AF97" s="238"/>
      <c r="AG97" s="236"/>
      <c r="AH97" s="237"/>
      <c r="AI97" s="238"/>
      <c r="AJ97" s="636">
        <f>+AJ56+AJ96</f>
        <v>9786.7748000000011</v>
      </c>
      <c r="AK97" s="636">
        <f>+AK56+AK96</f>
        <v>1920.8265453600002</v>
      </c>
      <c r="AL97" s="627"/>
      <c r="AM97" s="627">
        <f>+AM56+AM96</f>
        <v>6994.9261546400012</v>
      </c>
      <c r="AN97" s="238">
        <f>+AN56+AN96</f>
        <v>871.0220999999998</v>
      </c>
      <c r="AO97" s="188"/>
      <c r="AP97" s="188"/>
      <c r="AQ97" s="187"/>
    </row>
    <row r="98" spans="1:43" s="239" customFormat="1" ht="15" customHeight="1" x14ac:dyDescent="0.25">
      <c r="B98" s="656">
        <v>0</v>
      </c>
      <c r="C98" s="655" t="s">
        <v>121</v>
      </c>
      <c r="D98" s="240"/>
      <c r="E98" s="240"/>
      <c r="F98" s="604">
        <v>0</v>
      </c>
      <c r="G98" s="605">
        <v>0</v>
      </c>
      <c r="H98" s="606" t="e">
        <f>ROW(#REF!)</f>
        <v>#REF!</v>
      </c>
      <c r="I98" s="605">
        <v>0</v>
      </c>
      <c r="J98" s="605">
        <v>0</v>
      </c>
      <c r="K98" s="184"/>
      <c r="L98" s="185"/>
      <c r="M98" s="213"/>
      <c r="N98" s="235"/>
      <c r="O98" s="187"/>
      <c r="P98" s="618">
        <v>0</v>
      </c>
      <c r="Q98" s="624">
        <v>0</v>
      </c>
      <c r="R98" s="188"/>
      <c r="S98" s="624">
        <v>0</v>
      </c>
      <c r="T98" s="624">
        <v>0</v>
      </c>
      <c r="U98" s="188"/>
      <c r="V98" s="188"/>
      <c r="W98" s="187"/>
      <c r="X98" s="237"/>
      <c r="Y98" s="187"/>
      <c r="Z98" s="618">
        <v>162.54</v>
      </c>
      <c r="AA98" s="624">
        <v>162.54</v>
      </c>
      <c r="AB98" s="188"/>
      <c r="AC98" s="624">
        <v>0</v>
      </c>
      <c r="AD98" s="624">
        <v>0</v>
      </c>
      <c r="AE98" s="188"/>
      <c r="AF98" s="188"/>
      <c r="AG98" s="187"/>
      <c r="AH98" s="237"/>
      <c r="AI98" s="92"/>
      <c r="AJ98" s="618">
        <v>95.46</v>
      </c>
      <c r="AK98" s="632">
        <v>95.46</v>
      </c>
      <c r="AL98" s="624"/>
      <c r="AM98" s="624">
        <v>0</v>
      </c>
      <c r="AN98" s="188">
        <v>0</v>
      </c>
      <c r="AO98" s="188"/>
      <c r="AP98" s="188"/>
      <c r="AQ98" s="187"/>
    </row>
    <row r="99" spans="1:43" s="239" customFormat="1" ht="18" customHeight="1" x14ac:dyDescent="0.25">
      <c r="B99" s="656">
        <v>0</v>
      </c>
      <c r="C99" s="655" t="s">
        <v>123</v>
      </c>
      <c r="D99" s="240"/>
      <c r="E99" s="240"/>
      <c r="F99" s="604">
        <v>0</v>
      </c>
      <c r="G99" s="605">
        <v>0</v>
      </c>
      <c r="H99" s="606" t="e">
        <f>ROW(#REF!)</f>
        <v>#REF!</v>
      </c>
      <c r="I99" s="605">
        <v>0</v>
      </c>
      <c r="J99" s="605">
        <v>0</v>
      </c>
      <c r="K99" s="184"/>
      <c r="L99" s="185"/>
      <c r="M99" s="213"/>
      <c r="N99" s="235"/>
      <c r="O99" s="187"/>
      <c r="P99" s="618">
        <v>0</v>
      </c>
      <c r="Q99" s="624">
        <v>0</v>
      </c>
      <c r="R99" s="188"/>
      <c r="S99" s="624">
        <v>0</v>
      </c>
      <c r="T99" s="624">
        <v>0</v>
      </c>
      <c r="U99" s="188"/>
      <c r="V99" s="188"/>
      <c r="W99" s="187"/>
      <c r="X99" s="237"/>
      <c r="Y99" s="187"/>
      <c r="Z99" s="618">
        <v>221.17699999999999</v>
      </c>
      <c r="AA99" s="624">
        <v>221.17699999999999</v>
      </c>
      <c r="AB99" s="188"/>
      <c r="AC99" s="624">
        <v>0</v>
      </c>
      <c r="AD99" s="624">
        <v>0</v>
      </c>
      <c r="AE99" s="188"/>
      <c r="AF99" s="188"/>
      <c r="AG99" s="187"/>
      <c r="AH99" s="237"/>
      <c r="AI99" s="92"/>
      <c r="AJ99" s="618">
        <v>180.96299999999999</v>
      </c>
      <c r="AK99" s="632">
        <v>180.96299999999999</v>
      </c>
      <c r="AL99" s="624"/>
      <c r="AM99" s="624">
        <v>0</v>
      </c>
      <c r="AN99" s="188">
        <v>0</v>
      </c>
      <c r="AO99" s="188"/>
      <c r="AP99" s="188"/>
      <c r="AQ99" s="187"/>
    </row>
    <row r="100" spans="1:43" s="86" customFormat="1" ht="18" customHeight="1" x14ac:dyDescent="0.25">
      <c r="A100" s="747" t="s">
        <v>166</v>
      </c>
      <c r="B100" s="717"/>
      <c r="C100" s="703"/>
      <c r="D100" s="241"/>
      <c r="E100" s="242">
        <v>0.16</v>
      </c>
      <c r="F100" s="604">
        <f>SUM(F97:F99)</f>
        <v>45560.705999999998</v>
      </c>
      <c r="G100" s="605">
        <f>SUM(G97:G99)</f>
        <v>21124.756000000005</v>
      </c>
      <c r="H100" s="605"/>
      <c r="I100" s="605">
        <f>SUM(I97:I99)</f>
        <v>19267.940000000002</v>
      </c>
      <c r="J100" s="605">
        <f>SUM(J97:J99)</f>
        <v>5168.01</v>
      </c>
      <c r="K100" s="184"/>
      <c r="L100" s="185"/>
      <c r="M100" s="87"/>
      <c r="N100" s="243"/>
      <c r="O100" s="244"/>
      <c r="P100" s="621">
        <f>SUM(P97:P99)</f>
        <v>24717.059999999998</v>
      </c>
      <c r="Q100" s="621">
        <f>SUM(Q97:Q99)</f>
        <v>5964.8607839999986</v>
      </c>
      <c r="R100" s="245"/>
      <c r="S100" s="621">
        <f>SUM(S97:S99)</f>
        <v>18252.199215999997</v>
      </c>
      <c r="T100" s="621">
        <f>SUM(T97:T99)</f>
        <v>500</v>
      </c>
      <c r="U100" s="245"/>
      <c r="V100" s="245"/>
      <c r="W100" s="245"/>
      <c r="X100" s="243"/>
      <c r="Y100" s="246"/>
      <c r="Z100" s="621">
        <f>SUM(Z97:Z99)</f>
        <v>21919.622199999998</v>
      </c>
      <c r="AA100" s="621">
        <f>SUM(AA97:AA99)</f>
        <v>9767.0549586400011</v>
      </c>
      <c r="AB100" s="245"/>
      <c r="AC100" s="621">
        <f>SUM(AC97:AC99)</f>
        <v>10790.199341359996</v>
      </c>
      <c r="AD100" s="621">
        <f>SUM(AD97:AD99)</f>
        <v>1362.3679</v>
      </c>
      <c r="AE100" s="245"/>
      <c r="AF100" s="245"/>
      <c r="AG100" s="245"/>
      <c r="AH100" s="243"/>
      <c r="AI100" s="247"/>
      <c r="AJ100" s="621">
        <f>SUM(AJ97:AJ99)</f>
        <v>10063.1978</v>
      </c>
      <c r="AK100" s="637">
        <f>SUM(AK97:AK99)</f>
        <v>2197.2495453600004</v>
      </c>
      <c r="AL100" s="621"/>
      <c r="AM100" s="621">
        <f>SUM(AM97:AM99)</f>
        <v>6994.9261546400012</v>
      </c>
      <c r="AN100" s="245">
        <f>SUM(AN97:AN99)</f>
        <v>871.0220999999998</v>
      </c>
      <c r="AO100" s="244"/>
      <c r="AP100" s="244"/>
      <c r="AQ100" s="244"/>
    </row>
    <row r="103" spans="1:43" ht="17.25" customHeight="1" x14ac:dyDescent="0.25">
      <c r="A103" s="166" t="s">
        <v>167</v>
      </c>
      <c r="C103" s="248"/>
      <c r="D103" s="248"/>
      <c r="E103" s="248"/>
      <c r="F103" s="610"/>
      <c r="G103" s="611"/>
      <c r="M103" s="249"/>
    </row>
    <row r="105" spans="1:43" ht="15.75" customHeight="1" x14ac:dyDescent="0.25">
      <c r="C105" s="250"/>
      <c r="D105" s="250"/>
      <c r="E105" s="250"/>
      <c r="F105" s="612"/>
      <c r="I105" s="611"/>
      <c r="J105" s="611"/>
    </row>
    <row r="106" spans="1:43" ht="15.75" customHeight="1" x14ac:dyDescent="0.25">
      <c r="C106" s="250"/>
      <c r="D106" s="250"/>
      <c r="E106" s="250"/>
      <c r="F106" s="612"/>
    </row>
    <row r="107" spans="1:43" ht="15.75" customHeight="1" x14ac:dyDescent="0.25">
      <c r="C107" s="250"/>
      <c r="D107" s="250"/>
      <c r="E107" s="250"/>
      <c r="F107" s="612"/>
    </row>
    <row r="108" spans="1:43" ht="15.75" customHeight="1" x14ac:dyDescent="0.25">
      <c r="C108" s="250"/>
      <c r="D108" s="250"/>
      <c r="E108" s="250"/>
      <c r="F108" s="612"/>
    </row>
    <row r="109" spans="1:43" ht="15.75" customHeight="1" x14ac:dyDescent="0.25">
      <c r="C109" s="250"/>
      <c r="D109" s="250"/>
      <c r="E109" s="250"/>
      <c r="F109" s="612"/>
    </row>
    <row r="110" spans="1:43" ht="15.75" customHeight="1" x14ac:dyDescent="0.25">
      <c r="C110" s="250"/>
      <c r="D110" s="250"/>
      <c r="E110" s="250"/>
      <c r="F110" s="612"/>
    </row>
    <row r="111" spans="1:43" ht="15" customHeight="1" x14ac:dyDescent="0.25">
      <c r="C111" s="250"/>
      <c r="D111" s="250"/>
      <c r="E111" s="250"/>
      <c r="F111" s="612"/>
    </row>
    <row r="112" spans="1:43" ht="15.75" customHeight="1" x14ac:dyDescent="0.25">
      <c r="C112" s="250"/>
      <c r="D112" s="250"/>
      <c r="E112" s="250"/>
      <c r="F112" s="612"/>
    </row>
  </sheetData>
  <mergeCells count="60">
    <mergeCell ref="T1:W1"/>
    <mergeCell ref="AK1:AN1"/>
    <mergeCell ref="S2:W2"/>
    <mergeCell ref="AM2:AQ2"/>
    <mergeCell ref="A3:A7"/>
    <mergeCell ref="B3:B7"/>
    <mergeCell ref="C3:C7"/>
    <mergeCell ref="D3:M3"/>
    <mergeCell ref="N3:W3"/>
    <mergeCell ref="X3:AG3"/>
    <mergeCell ref="AH3:AQ3"/>
    <mergeCell ref="D4:D7"/>
    <mergeCell ref="E4:E7"/>
    <mergeCell ref="F4:M4"/>
    <mergeCell ref="N4:N7"/>
    <mergeCell ref="O4:O7"/>
    <mergeCell ref="P4:W4"/>
    <mergeCell ref="X4:X7"/>
    <mergeCell ref="Y4:Y7"/>
    <mergeCell ref="Z4:AG4"/>
    <mergeCell ref="F5:F7"/>
    <mergeCell ref="H5:K5"/>
    <mergeCell ref="L5:L7"/>
    <mergeCell ref="M5:M7"/>
    <mergeCell ref="P5:P7"/>
    <mergeCell ref="AP5:AP7"/>
    <mergeCell ref="AQ5:AQ7"/>
    <mergeCell ref="AL6:AM6"/>
    <mergeCell ref="AN6:AO6"/>
    <mergeCell ref="V5:V7"/>
    <mergeCell ref="W5:W7"/>
    <mergeCell ref="Z5:Z7"/>
    <mergeCell ref="AA5:AA7"/>
    <mergeCell ref="AB5:AE5"/>
    <mergeCell ref="AF5:AF7"/>
    <mergeCell ref="AH4:AH7"/>
    <mergeCell ref="AI4:AI7"/>
    <mergeCell ref="AJ4:AQ4"/>
    <mergeCell ref="AD6:AE6"/>
    <mergeCell ref="AG5:AG7"/>
    <mergeCell ref="AJ5:AJ7"/>
    <mergeCell ref="AK5:AK7"/>
    <mergeCell ref="AL5:AO5"/>
    <mergeCell ref="H6:I6"/>
    <mergeCell ref="J6:K6"/>
    <mergeCell ref="R6:S6"/>
    <mergeCell ref="T6:U6"/>
    <mergeCell ref="AB6:AC6"/>
    <mergeCell ref="Q5:Q7"/>
    <mergeCell ref="R5:U5"/>
    <mergeCell ref="A100:C100"/>
    <mergeCell ref="A9:C9"/>
    <mergeCell ref="A57:C57"/>
    <mergeCell ref="C59:Q59"/>
    <mergeCell ref="C62:Q62"/>
    <mergeCell ref="C64:Q64"/>
    <mergeCell ref="C67:Q67"/>
    <mergeCell ref="C71:Q71"/>
    <mergeCell ref="A96:C96"/>
    <mergeCell ref="A97:C97"/>
  </mergeCells>
  <printOptions horizontalCentered="1"/>
  <pageMargins left="0.15" right="0.17" top="0.44" bottom="0" header="0.17" footer="0"/>
  <pageSetup paperSize="9" scale="51" firstPageNumber="6" orientation="landscape" useFirstPageNumber="1" r:id="rId1"/>
  <headerFooter alignWithMargins="0">
    <oddFooter>&amp;L                  †  Year 1 is FY 2014-15, Year 2 is FY 2015-16 and Year 3 is FY 2016-17 &amp;C&amp;20 P - &amp;P</oddFooter>
  </headerFooter>
  <rowBreaks count="1" manualBreakCount="1">
    <brk id="5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6"/>
  <sheetViews>
    <sheetView view="pageBreakPreview" topLeftCell="A79" zoomScale="85" zoomScaleNormal="100" zoomScaleSheetLayoutView="85" workbookViewId="0">
      <selection activeCell="D94" sqref="D94"/>
    </sheetView>
  </sheetViews>
  <sheetFormatPr defaultColWidth="9.140625" defaultRowHeight="12.75" x14ac:dyDescent="0.25"/>
  <cols>
    <col min="1" max="1" width="8" style="661" customWidth="1"/>
    <col min="2" max="2" width="9.7109375" style="661" customWidth="1"/>
    <col min="3" max="3" width="94.85546875" style="316" customWidth="1"/>
    <col min="4" max="4" width="7.42578125" style="662" customWidth="1"/>
    <col min="5" max="5" width="7.5703125" style="661" customWidth="1"/>
    <col min="6" max="6" width="8.42578125" style="661" customWidth="1"/>
    <col min="7" max="7" width="9.7109375" style="663" customWidth="1"/>
    <col min="8" max="8" width="8.85546875" style="683" customWidth="1"/>
    <col min="9" max="9" width="8.140625" style="663" customWidth="1"/>
    <col min="10" max="10" width="6.7109375" style="663" customWidth="1"/>
    <col min="11" max="11" width="6.85546875" style="683" customWidth="1"/>
    <col min="12" max="12" width="8.42578125" style="663" customWidth="1"/>
    <col min="13" max="13" width="6.7109375" style="663" customWidth="1"/>
    <col min="14" max="14" width="6.85546875" style="683" customWidth="1"/>
    <col min="15" max="15" width="8.42578125" style="591" customWidth="1"/>
    <col min="16" max="16" width="6.7109375" style="663" customWidth="1"/>
    <col min="17" max="17" width="7.28515625" style="683" customWidth="1"/>
    <col min="18" max="18" width="8.42578125" style="663" customWidth="1"/>
    <col min="19" max="19" width="6.7109375" style="663" customWidth="1"/>
    <col min="20" max="20" width="7.85546875" style="683" customWidth="1"/>
    <col min="21" max="21" width="8.42578125" style="663" customWidth="1"/>
    <col min="22" max="22" width="6.7109375" style="663" customWidth="1"/>
    <col min="23" max="23" width="8.140625" style="683" customWidth="1"/>
    <col min="24" max="24" width="8.42578125" style="578" customWidth="1"/>
    <col min="25" max="25" width="6.7109375" style="661" customWidth="1"/>
    <col min="26" max="26" width="8.42578125" style="661" customWidth="1"/>
    <col min="27" max="27" width="8.42578125" style="582" customWidth="1"/>
    <col min="28" max="28" width="6.7109375" style="661" customWidth="1"/>
    <col min="29" max="29" width="7.140625" style="661" customWidth="1"/>
    <col min="30" max="30" width="8.42578125" style="661" customWidth="1"/>
    <col min="31" max="31" width="6.7109375" style="661" customWidth="1"/>
    <col min="32" max="32" width="8.28515625" style="661" customWidth="1"/>
    <col min="33" max="34" width="9.140625" style="661" customWidth="1"/>
    <col min="35" max="35" width="8.140625" style="661" customWidth="1"/>
    <col min="36" max="36" width="10.28515625" style="661" customWidth="1"/>
    <col min="37" max="112" width="9.140625" style="661" customWidth="1"/>
    <col min="113" max="16384" width="9.140625" style="661"/>
  </cols>
  <sheetData>
    <row r="1" spans="1:37" ht="24.75" customHeight="1" x14ac:dyDescent="0.25">
      <c r="A1" s="252" t="s">
        <v>168</v>
      </c>
      <c r="B1" s="252"/>
      <c r="C1" s="252"/>
      <c r="D1" s="252"/>
      <c r="E1" s="252"/>
      <c r="F1" s="252"/>
      <c r="G1" s="252"/>
      <c r="H1" s="252"/>
      <c r="I1" s="252"/>
      <c r="J1" s="252"/>
      <c r="L1" s="252"/>
      <c r="M1" s="252"/>
      <c r="O1" s="588"/>
      <c r="P1" s="252"/>
      <c r="Q1" s="682"/>
      <c r="R1" s="776" t="s">
        <v>169</v>
      </c>
      <c r="S1" s="715"/>
      <c r="T1" s="769"/>
      <c r="Z1" s="682"/>
      <c r="AD1" s="776" t="s">
        <v>169</v>
      </c>
      <c r="AE1" s="714"/>
      <c r="AF1" s="714"/>
    </row>
    <row r="2" spans="1:37" s="684" customFormat="1" ht="16.5" customHeight="1" x14ac:dyDescent="0.2">
      <c r="A2" s="777" t="s">
        <v>170</v>
      </c>
      <c r="B2" s="778"/>
      <c r="C2" s="778"/>
      <c r="D2" s="778"/>
      <c r="E2" s="778"/>
      <c r="F2" s="778"/>
      <c r="G2" s="778"/>
      <c r="H2" s="778"/>
      <c r="I2" s="253"/>
      <c r="J2" s="253"/>
      <c r="K2" s="253"/>
      <c r="L2" s="253"/>
      <c r="M2" s="253"/>
      <c r="N2" s="253"/>
      <c r="O2" s="589"/>
      <c r="P2" s="254"/>
      <c r="Q2" s="254"/>
      <c r="R2" s="254"/>
      <c r="S2" s="254"/>
      <c r="T2" s="254"/>
      <c r="U2" s="254"/>
      <c r="V2" s="254"/>
      <c r="W2" s="254"/>
      <c r="X2" s="273"/>
      <c r="AA2" s="583"/>
    </row>
    <row r="3" spans="1:37" s="684" customFormat="1" ht="14.25" customHeight="1" x14ac:dyDescent="0.25">
      <c r="A3" s="779" t="s">
        <v>171</v>
      </c>
      <c r="B3" s="707"/>
      <c r="C3" s="707"/>
      <c r="D3" s="707"/>
      <c r="E3" s="707"/>
      <c r="F3" s="707"/>
      <c r="G3" s="707"/>
      <c r="H3" s="707"/>
      <c r="I3" s="255"/>
      <c r="J3" s="256"/>
      <c r="K3" s="430"/>
      <c r="L3" s="255"/>
      <c r="M3" s="256"/>
      <c r="N3" s="430"/>
      <c r="O3" s="590"/>
      <c r="P3" s="256"/>
      <c r="Q3" s="257"/>
      <c r="R3" s="256"/>
      <c r="S3" s="256"/>
      <c r="T3" s="257"/>
      <c r="U3" s="255"/>
      <c r="V3" s="255"/>
      <c r="W3" s="430"/>
      <c r="X3" s="273"/>
      <c r="Z3" s="257"/>
      <c r="AA3" s="583"/>
      <c r="AF3" s="257"/>
    </row>
    <row r="4" spans="1:37" s="684" customFormat="1" ht="16.5" customHeight="1" x14ac:dyDescent="0.25">
      <c r="A4" s="770" t="s">
        <v>2</v>
      </c>
      <c r="B4" s="770" t="s">
        <v>172</v>
      </c>
      <c r="C4" s="770" t="s">
        <v>173</v>
      </c>
      <c r="D4" s="780" t="s">
        <v>174</v>
      </c>
      <c r="E4" s="717"/>
      <c r="F4" s="717"/>
      <c r="G4" s="717"/>
      <c r="H4" s="703"/>
      <c r="I4" s="770" t="s">
        <v>175</v>
      </c>
      <c r="J4" s="717"/>
      <c r="K4" s="703"/>
      <c r="L4" s="770" t="s">
        <v>176</v>
      </c>
      <c r="M4" s="717"/>
      <c r="N4" s="703"/>
      <c r="O4" s="770" t="s">
        <v>177</v>
      </c>
      <c r="P4" s="717"/>
      <c r="Q4" s="703"/>
      <c r="R4" s="770" t="s">
        <v>178</v>
      </c>
      <c r="S4" s="717"/>
      <c r="T4" s="703"/>
      <c r="U4" s="770" t="s">
        <v>179</v>
      </c>
      <c r="V4" s="717"/>
      <c r="W4" s="703"/>
      <c r="X4" s="770" t="s">
        <v>180</v>
      </c>
      <c r="Y4" s="717"/>
      <c r="Z4" s="703"/>
      <c r="AA4" s="770" t="s">
        <v>137</v>
      </c>
      <c r="AB4" s="717"/>
      <c r="AC4" s="703"/>
      <c r="AD4" s="770" t="s">
        <v>181</v>
      </c>
      <c r="AE4" s="717"/>
      <c r="AF4" s="703"/>
    </row>
    <row r="5" spans="1:37" s="684" customFormat="1" ht="12.75" customHeight="1" x14ac:dyDescent="0.25">
      <c r="A5" s="705"/>
      <c r="B5" s="705"/>
      <c r="C5" s="705"/>
      <c r="D5" s="770" t="s">
        <v>8</v>
      </c>
      <c r="E5" s="770" t="s">
        <v>182</v>
      </c>
      <c r="F5" s="770" t="s">
        <v>183</v>
      </c>
      <c r="G5" s="771" t="s">
        <v>184</v>
      </c>
      <c r="H5" s="775" t="s">
        <v>185</v>
      </c>
      <c r="I5" s="771" t="s">
        <v>186</v>
      </c>
      <c r="J5" s="770" t="s">
        <v>187</v>
      </c>
      <c r="K5" s="703"/>
      <c r="L5" s="771" t="s">
        <v>186</v>
      </c>
      <c r="M5" s="770" t="s">
        <v>187</v>
      </c>
      <c r="N5" s="703"/>
      <c r="O5" s="771" t="s">
        <v>186</v>
      </c>
      <c r="P5" s="770" t="s">
        <v>187</v>
      </c>
      <c r="Q5" s="703"/>
      <c r="R5" s="771" t="s">
        <v>186</v>
      </c>
      <c r="S5" s="770" t="s">
        <v>187</v>
      </c>
      <c r="T5" s="703"/>
      <c r="U5" s="771" t="s">
        <v>186</v>
      </c>
      <c r="V5" s="770" t="s">
        <v>187</v>
      </c>
      <c r="W5" s="703"/>
      <c r="X5" s="771" t="s">
        <v>186</v>
      </c>
      <c r="Y5" s="770" t="s">
        <v>187</v>
      </c>
      <c r="Z5" s="703"/>
      <c r="AA5" s="774" t="s">
        <v>186</v>
      </c>
      <c r="AB5" s="770" t="s">
        <v>187</v>
      </c>
      <c r="AC5" s="703"/>
      <c r="AD5" s="771" t="s">
        <v>186</v>
      </c>
      <c r="AE5" s="770" t="s">
        <v>187</v>
      </c>
      <c r="AF5" s="703"/>
    </row>
    <row r="6" spans="1:37" s="684" customFormat="1" ht="42.75" customHeight="1" x14ac:dyDescent="0.25">
      <c r="A6" s="702"/>
      <c r="B6" s="702"/>
      <c r="C6" s="702"/>
      <c r="D6" s="702"/>
      <c r="E6" s="702"/>
      <c r="F6" s="702"/>
      <c r="G6" s="702"/>
      <c r="H6" s="702"/>
      <c r="I6" s="702"/>
      <c r="J6" s="258" t="s">
        <v>188</v>
      </c>
      <c r="K6" s="431" t="s">
        <v>189</v>
      </c>
      <c r="L6" s="702"/>
      <c r="M6" s="258" t="s">
        <v>188</v>
      </c>
      <c r="N6" s="431" t="s">
        <v>189</v>
      </c>
      <c r="O6" s="702"/>
      <c r="P6" s="258" t="s">
        <v>188</v>
      </c>
      <c r="Q6" s="431" t="s">
        <v>189</v>
      </c>
      <c r="R6" s="702"/>
      <c r="S6" s="258" t="s">
        <v>188</v>
      </c>
      <c r="T6" s="431" t="s">
        <v>189</v>
      </c>
      <c r="U6" s="702"/>
      <c r="V6" s="258" t="s">
        <v>188</v>
      </c>
      <c r="W6" s="431" t="s">
        <v>189</v>
      </c>
      <c r="X6" s="702"/>
      <c r="Y6" s="258" t="s">
        <v>188</v>
      </c>
      <c r="Z6" s="431" t="s">
        <v>189</v>
      </c>
      <c r="AA6" s="702"/>
      <c r="AB6" s="258" t="s">
        <v>188</v>
      </c>
      <c r="AC6" s="431" t="s">
        <v>189</v>
      </c>
      <c r="AD6" s="702"/>
      <c r="AE6" s="258" t="s">
        <v>188</v>
      </c>
      <c r="AF6" s="431" t="s">
        <v>189</v>
      </c>
    </row>
    <row r="7" spans="1:37" s="684" customFormat="1" ht="12.75" customHeight="1" x14ac:dyDescent="0.25">
      <c r="A7" s="259">
        <v>1</v>
      </c>
      <c r="B7" s="260">
        <v>2</v>
      </c>
      <c r="C7" s="261">
        <v>3</v>
      </c>
      <c r="D7" s="681">
        <v>4</v>
      </c>
      <c r="E7" s="681">
        <v>5</v>
      </c>
      <c r="F7" s="681">
        <v>6</v>
      </c>
      <c r="G7" s="262">
        <v>7</v>
      </c>
      <c r="H7" s="262">
        <v>8</v>
      </c>
      <c r="I7" s="262">
        <v>9</v>
      </c>
      <c r="J7" s="263">
        <v>10</v>
      </c>
      <c r="K7" s="263">
        <v>11</v>
      </c>
      <c r="L7" s="262">
        <v>12</v>
      </c>
      <c r="M7" s="263">
        <v>13</v>
      </c>
      <c r="N7" s="263">
        <v>14</v>
      </c>
      <c r="O7" s="262">
        <v>15</v>
      </c>
      <c r="P7" s="263">
        <v>16</v>
      </c>
      <c r="Q7" s="263">
        <v>17</v>
      </c>
      <c r="R7" s="262">
        <v>18</v>
      </c>
      <c r="S7" s="263">
        <v>19</v>
      </c>
      <c r="T7" s="263">
        <v>20</v>
      </c>
      <c r="U7" s="262">
        <v>21</v>
      </c>
      <c r="V7" s="263">
        <v>22</v>
      </c>
      <c r="W7" s="263">
        <v>23</v>
      </c>
      <c r="X7" s="262">
        <v>24</v>
      </c>
      <c r="Y7" s="263">
        <v>25</v>
      </c>
      <c r="Z7" s="263">
        <v>26</v>
      </c>
      <c r="AA7" s="584">
        <v>27</v>
      </c>
      <c r="AB7" s="263">
        <v>28</v>
      </c>
      <c r="AC7" s="263">
        <v>29</v>
      </c>
      <c r="AD7" s="262">
        <v>30</v>
      </c>
      <c r="AE7" s="263">
        <v>31</v>
      </c>
      <c r="AF7" s="263">
        <v>32</v>
      </c>
    </row>
    <row r="8" spans="1:37" s="684" customFormat="1" ht="10.5" customHeight="1" x14ac:dyDescent="0.25">
      <c r="A8" s="264" t="s">
        <v>20</v>
      </c>
      <c r="B8" s="265"/>
      <c r="C8" s="266"/>
      <c r="D8" s="100"/>
      <c r="E8" s="100"/>
      <c r="F8" s="100"/>
      <c r="G8" s="100"/>
      <c r="H8" s="100"/>
      <c r="I8" s="100"/>
      <c r="J8" s="100"/>
      <c r="K8" s="267"/>
      <c r="L8" s="100"/>
      <c r="M8" s="100"/>
      <c r="N8" s="267"/>
      <c r="O8" s="579"/>
      <c r="P8" s="100"/>
      <c r="Q8" s="267"/>
      <c r="R8" s="268"/>
      <c r="S8" s="100"/>
      <c r="T8" s="267"/>
      <c r="U8" s="268"/>
      <c r="V8" s="100"/>
      <c r="W8" s="267"/>
      <c r="X8" s="579"/>
      <c r="Y8" s="100"/>
      <c r="Z8" s="267"/>
      <c r="AA8" s="585"/>
      <c r="AB8" s="100"/>
      <c r="AC8" s="267"/>
      <c r="AD8" s="268"/>
      <c r="AE8" s="100"/>
      <c r="AF8" s="267"/>
    </row>
    <row r="9" spans="1:37" s="684" customFormat="1" ht="14.25" customHeight="1" x14ac:dyDescent="0.25">
      <c r="A9" s="269"/>
      <c r="B9" s="270"/>
      <c r="C9" s="271" t="s">
        <v>21</v>
      </c>
      <c r="D9" s="272"/>
      <c r="E9" s="179"/>
      <c r="F9" s="273"/>
      <c r="G9" s="237"/>
      <c r="H9" s="432"/>
      <c r="I9" s="237"/>
      <c r="J9" s="237"/>
      <c r="K9" s="432"/>
      <c r="L9" s="237"/>
      <c r="M9" s="237"/>
      <c r="N9" s="432"/>
      <c r="O9" s="277"/>
      <c r="P9" s="274"/>
      <c r="Q9" s="432"/>
      <c r="R9" s="237"/>
      <c r="S9" s="274"/>
      <c r="T9" s="432"/>
      <c r="U9" s="237"/>
      <c r="V9" s="274"/>
      <c r="W9" s="432"/>
      <c r="X9" s="277"/>
      <c r="Y9" s="274"/>
      <c r="Z9" s="432"/>
      <c r="AA9" s="586"/>
      <c r="AB9" s="274"/>
      <c r="AC9" s="432"/>
      <c r="AD9" s="237"/>
      <c r="AE9" s="274"/>
      <c r="AF9" s="432"/>
      <c r="AG9" s="255"/>
    </row>
    <row r="10" spans="1:37" s="684" customFormat="1" ht="14.25" customHeight="1" x14ac:dyDescent="0.25">
      <c r="A10" s="269"/>
      <c r="B10" s="275">
        <v>3111302</v>
      </c>
      <c r="C10" s="276" t="s">
        <v>22</v>
      </c>
      <c r="D10" s="173" t="s">
        <v>122</v>
      </c>
      <c r="E10" s="277">
        <v>5</v>
      </c>
      <c r="F10" s="278" t="s">
        <v>23</v>
      </c>
      <c r="G10" s="237">
        <v>5</v>
      </c>
      <c r="H10" s="432">
        <v>5.0000000000000002E-5</v>
      </c>
      <c r="I10" s="237">
        <v>0</v>
      </c>
      <c r="J10" s="237">
        <f>I10/G10*100</f>
        <v>0</v>
      </c>
      <c r="K10" s="432">
        <f>J10*$H10</f>
        <v>0</v>
      </c>
      <c r="L10" s="237">
        <v>0.3</v>
      </c>
      <c r="M10" s="237">
        <f>L10/G10*100</f>
        <v>6</v>
      </c>
      <c r="N10" s="432">
        <f>M10*$H10</f>
        <v>3.0000000000000003E-4</v>
      </c>
      <c r="O10" s="277">
        <v>0.13</v>
      </c>
      <c r="P10" s="274">
        <f>O10/G10*100</f>
        <v>2.6</v>
      </c>
      <c r="Q10" s="432">
        <f>P10*$H10</f>
        <v>1.3000000000000002E-4</v>
      </c>
      <c r="R10" s="237">
        <v>0.28000000000000003</v>
      </c>
      <c r="S10" s="274">
        <f>R10/G10*100</f>
        <v>5.6000000000000005</v>
      </c>
      <c r="T10" s="432">
        <f>S10*$H10</f>
        <v>2.8000000000000003E-4</v>
      </c>
      <c r="U10" s="237">
        <v>0.3</v>
      </c>
      <c r="V10" s="274">
        <f>U10/G10*100</f>
        <v>6</v>
      </c>
      <c r="W10" s="432">
        <f>V10*$H10</f>
        <v>3.0000000000000003E-4</v>
      </c>
      <c r="X10" s="277">
        <v>0.5</v>
      </c>
      <c r="Y10" s="274">
        <f>X10/G10*100</f>
        <v>10</v>
      </c>
      <c r="Z10" s="432">
        <f>Y10*$H10</f>
        <v>5.0000000000000001E-4</v>
      </c>
      <c r="AA10" s="586">
        <v>2.0242</v>
      </c>
      <c r="AB10" s="274">
        <f>AA10/G10*100</f>
        <v>40.483999999999995</v>
      </c>
      <c r="AC10" s="432">
        <f>AB10*$H10</f>
        <v>2.0241999999999999E-3</v>
      </c>
      <c r="AD10" s="237">
        <v>1.4658</v>
      </c>
      <c r="AE10" s="274">
        <f>AD10/G10*100</f>
        <v>29.315999999999999</v>
      </c>
      <c r="AF10" s="432">
        <f>AE10*$H10</f>
        <v>1.4658E-3</v>
      </c>
      <c r="AG10" s="255">
        <f>SUM(AE10+AB10+Y10+V10+S10+P10+M10+J10)</f>
        <v>99.999999999999986</v>
      </c>
      <c r="AH10" s="430">
        <f>N10+Q10+T10+W10+Z10+AC10+AF10</f>
        <v>5.0000000000000001E-3</v>
      </c>
      <c r="AI10" s="684">
        <f>ROW(AH10)</f>
        <v>10</v>
      </c>
    </row>
    <row r="11" spans="1:37" s="684" customFormat="1" ht="14.25" customHeight="1" x14ac:dyDescent="0.25">
      <c r="A11" s="269"/>
      <c r="B11" s="275">
        <v>3111327</v>
      </c>
      <c r="C11" s="276" t="s">
        <v>24</v>
      </c>
      <c r="D11" s="173" t="s">
        <v>122</v>
      </c>
      <c r="E11" s="277">
        <v>10</v>
      </c>
      <c r="F11" s="278" t="s">
        <v>23</v>
      </c>
      <c r="G11" s="237">
        <v>10</v>
      </c>
      <c r="H11" s="432">
        <v>1E-4</v>
      </c>
      <c r="I11" s="237">
        <v>0</v>
      </c>
      <c r="J11" s="237">
        <f>I11/E11</f>
        <v>0</v>
      </c>
      <c r="K11" s="432">
        <f>J11*$H11</f>
        <v>0</v>
      </c>
      <c r="L11" s="237">
        <v>0</v>
      </c>
      <c r="M11" s="237">
        <f>L11/G11*100</f>
        <v>0</v>
      </c>
      <c r="N11" s="432">
        <f>M11*$H11</f>
        <v>0</v>
      </c>
      <c r="O11" s="277">
        <v>0</v>
      </c>
      <c r="P11" s="274">
        <f>O11/G11*100</f>
        <v>0</v>
      </c>
      <c r="Q11" s="432">
        <f>P11*$H11</f>
        <v>0</v>
      </c>
      <c r="R11" s="237">
        <v>0</v>
      </c>
      <c r="S11" s="274">
        <f>R11/G11*100</f>
        <v>0</v>
      </c>
      <c r="T11" s="432">
        <f>S11*$H11</f>
        <v>0</v>
      </c>
      <c r="U11" s="237">
        <v>0</v>
      </c>
      <c r="V11" s="274">
        <f>U11/G11*100</f>
        <v>0</v>
      </c>
      <c r="W11" s="432">
        <f>V11*$H11</f>
        <v>0</v>
      </c>
      <c r="X11" s="277">
        <v>0</v>
      </c>
      <c r="Y11" s="274">
        <f>X11/G11*100</f>
        <v>0</v>
      </c>
      <c r="Z11" s="432">
        <f>Y11*$H11</f>
        <v>0</v>
      </c>
      <c r="AA11" s="586">
        <v>6.3</v>
      </c>
      <c r="AB11" s="274">
        <f>AA11/G11*100</f>
        <v>63</v>
      </c>
      <c r="AC11" s="432">
        <f>AB11*$H11</f>
        <v>6.3E-3</v>
      </c>
      <c r="AD11" s="237">
        <v>3.7</v>
      </c>
      <c r="AE11" s="274">
        <f>AD11/G11*100</f>
        <v>37</v>
      </c>
      <c r="AF11" s="432">
        <f>AE11*$H11</f>
        <v>3.7000000000000002E-3</v>
      </c>
      <c r="AG11" s="255">
        <f>SUM(AE11+AB11+Y11+V11+S11+P11+M11+J11)</f>
        <v>100</v>
      </c>
      <c r="AH11" s="430">
        <f>N11+Q11+T11+W11+Z11+AC11+AF11</f>
        <v>0.01</v>
      </c>
      <c r="AI11" s="684">
        <f>ROW(AH11)</f>
        <v>11</v>
      </c>
    </row>
    <row r="12" spans="1:37" s="684" customFormat="1" ht="14.25" customHeight="1" x14ac:dyDescent="0.25">
      <c r="A12" s="269"/>
      <c r="B12" s="275">
        <v>3111338</v>
      </c>
      <c r="C12" s="276" t="s">
        <v>25</v>
      </c>
      <c r="D12" s="173" t="s">
        <v>122</v>
      </c>
      <c r="E12" s="277">
        <v>140</v>
      </c>
      <c r="F12" s="278" t="s">
        <v>23</v>
      </c>
      <c r="G12" s="237">
        <v>140</v>
      </c>
      <c r="H12" s="432">
        <v>1.3699999999999999E-3</v>
      </c>
      <c r="I12" s="237">
        <v>0</v>
      </c>
      <c r="J12" s="237">
        <f>I12/G12*100</f>
        <v>0</v>
      </c>
      <c r="K12" s="432">
        <f>J12*$H12</f>
        <v>0</v>
      </c>
      <c r="L12" s="237">
        <v>0</v>
      </c>
      <c r="M12" s="237">
        <f>L12/G12*100</f>
        <v>0</v>
      </c>
      <c r="N12" s="432">
        <f>M12*$H12</f>
        <v>0</v>
      </c>
      <c r="O12" s="277">
        <v>0</v>
      </c>
      <c r="P12" s="274">
        <f>O12/G12*100</f>
        <v>0</v>
      </c>
      <c r="Q12" s="432">
        <f>P12*$H12</f>
        <v>0</v>
      </c>
      <c r="R12" s="237">
        <v>25</v>
      </c>
      <c r="S12" s="274">
        <f>R12/G12*100</f>
        <v>17.857142857142858</v>
      </c>
      <c r="T12" s="432">
        <f>S12*$H12</f>
        <v>2.4464285714285713E-2</v>
      </c>
      <c r="U12" s="237">
        <v>11.61</v>
      </c>
      <c r="V12" s="274">
        <f>U12/G12*100</f>
        <v>8.2928571428571427</v>
      </c>
      <c r="W12" s="432">
        <f>V12*$H12</f>
        <v>1.1361214285714285E-2</v>
      </c>
      <c r="X12" s="277">
        <v>14</v>
      </c>
      <c r="Y12" s="274">
        <f>X12/G12*100</f>
        <v>10</v>
      </c>
      <c r="Z12" s="432">
        <f>Y12*$H12</f>
        <v>1.3699999999999999E-2</v>
      </c>
      <c r="AA12" s="586">
        <v>53.634</v>
      </c>
      <c r="AB12" s="274">
        <f>AA12/G12*100</f>
        <v>38.31</v>
      </c>
      <c r="AC12" s="432">
        <f>AB12*$H12</f>
        <v>5.2484700000000002E-2</v>
      </c>
      <c r="AD12" s="237">
        <v>35.756</v>
      </c>
      <c r="AE12" s="274">
        <f>AD12/G12*100</f>
        <v>25.540000000000003</v>
      </c>
      <c r="AF12" s="432">
        <f>AE12*$H12</f>
        <v>3.4989800000000001E-2</v>
      </c>
      <c r="AG12" s="255">
        <f>SUM(AE12+AB12+Y12+V12+S12+P12+M12+J12)</f>
        <v>100.00000000000001</v>
      </c>
      <c r="AH12" s="430">
        <f>N12+Q12+T12+W12+Z12+AC12+AF12</f>
        <v>0.13700000000000001</v>
      </c>
      <c r="AI12" s="684">
        <f>ROW(AH12)</f>
        <v>12</v>
      </c>
    </row>
    <row r="13" spans="1:37" s="684" customFormat="1" ht="14.25" customHeight="1" x14ac:dyDescent="0.25">
      <c r="A13" s="269"/>
      <c r="B13" s="270"/>
      <c r="C13" s="271" t="s">
        <v>144</v>
      </c>
      <c r="D13" s="173"/>
      <c r="E13" s="277"/>
      <c r="F13" s="278"/>
      <c r="G13" s="237"/>
      <c r="H13" s="432"/>
      <c r="I13" s="237"/>
      <c r="J13" s="237"/>
      <c r="K13" s="432"/>
      <c r="L13" s="237"/>
      <c r="M13" s="237"/>
      <c r="N13" s="432"/>
      <c r="O13" s="277"/>
      <c r="P13" s="274"/>
      <c r="Q13" s="432"/>
      <c r="R13" s="237"/>
      <c r="S13" s="274"/>
      <c r="T13" s="432"/>
      <c r="U13" s="237"/>
      <c r="V13" s="274"/>
      <c r="W13" s="432"/>
      <c r="X13" s="277"/>
      <c r="Y13" s="274"/>
      <c r="Z13" s="432"/>
      <c r="AA13" s="586"/>
      <c r="AB13" s="274"/>
      <c r="AC13" s="432"/>
      <c r="AD13" s="237"/>
      <c r="AE13" s="274"/>
      <c r="AF13" s="432"/>
      <c r="AG13" s="255"/>
    </row>
    <row r="14" spans="1:37" s="684" customFormat="1" ht="17.25" customHeight="1" x14ac:dyDescent="0.25">
      <c r="A14" s="269"/>
      <c r="B14" s="275">
        <v>3241101</v>
      </c>
      <c r="C14" s="276" t="s">
        <v>27</v>
      </c>
      <c r="D14" s="173" t="s">
        <v>122</v>
      </c>
      <c r="E14" s="277">
        <v>120</v>
      </c>
      <c r="F14" s="278" t="s">
        <v>23</v>
      </c>
      <c r="G14" s="237">
        <v>120</v>
      </c>
      <c r="H14" s="432">
        <v>1.17E-3</v>
      </c>
      <c r="I14" s="237">
        <v>0.99099999999999999</v>
      </c>
      <c r="J14" s="237">
        <f t="shared" ref="J14:J28" si="0">I14/G14*100</f>
        <v>0.82583333333333331</v>
      </c>
      <c r="K14" s="432">
        <f t="shared" ref="K14:K28" si="1">J14*$H14</f>
        <v>9.6622500000000003E-4</v>
      </c>
      <c r="L14" s="237">
        <v>11.909000000000001</v>
      </c>
      <c r="M14" s="237">
        <f t="shared" ref="M14:M28" si="2">L14/G14*100</f>
        <v>9.9241666666666681</v>
      </c>
      <c r="N14" s="432">
        <f t="shared" ref="N14:N28" si="3">M14*$H14</f>
        <v>1.1611275000000002E-2</v>
      </c>
      <c r="O14" s="277">
        <v>14.98</v>
      </c>
      <c r="P14" s="274">
        <f t="shared" ref="P14:P28" si="4">O14/G14*100</f>
        <v>12.483333333333334</v>
      </c>
      <c r="Q14" s="432">
        <f t="shared" ref="Q14:Q28" si="5">P14*$H14</f>
        <v>1.4605500000000002E-2</v>
      </c>
      <c r="R14" s="237">
        <v>17.96</v>
      </c>
      <c r="S14" s="274">
        <f t="shared" ref="S14:S28" si="6">R14/G14*100</f>
        <v>14.966666666666667</v>
      </c>
      <c r="T14" s="432">
        <f t="shared" ref="T14:T28" si="7">S14*$H14</f>
        <v>1.7511000000000002E-2</v>
      </c>
      <c r="U14" s="237">
        <v>12.7</v>
      </c>
      <c r="V14" s="274">
        <f t="shared" ref="V14:V28" si="8">U14/G14*100</f>
        <v>10.583333333333332</v>
      </c>
      <c r="W14" s="432">
        <f t="shared" ref="W14:W28" si="9">V14*$H14</f>
        <v>1.2382499999999999E-2</v>
      </c>
      <c r="X14" s="277">
        <v>15</v>
      </c>
      <c r="Y14" s="274">
        <f t="shared" ref="Y14:Y28" si="10">X14/G14*100</f>
        <v>12.5</v>
      </c>
      <c r="Z14" s="432">
        <f t="shared" ref="Z14:Z28" si="11">Y14*$H14</f>
        <v>1.4625000000000001E-2</v>
      </c>
      <c r="AA14" s="586">
        <v>28.805199999999999</v>
      </c>
      <c r="AB14" s="274">
        <f t="shared" ref="AB14:AB28" si="12">AA14/G14*100</f>
        <v>24.004333333333332</v>
      </c>
      <c r="AC14" s="432">
        <f t="shared" ref="AC14:AC28" si="13">AB14*$H14</f>
        <v>2.808507E-2</v>
      </c>
      <c r="AD14" s="237">
        <v>17.654800000000002</v>
      </c>
      <c r="AE14" s="274">
        <f t="shared" ref="AE14:AE28" si="14">AD14/G14*100</f>
        <v>14.712333333333335</v>
      </c>
      <c r="AF14" s="432">
        <f t="shared" ref="AF14:AF28" si="15">AE14*$H14</f>
        <v>1.7213430000000002E-2</v>
      </c>
      <c r="AG14" s="255">
        <f t="shared" ref="AG14:AG28" si="16">SUM(AE14+AB14+Y14+V14+S14+P14+M14+J14)</f>
        <v>100</v>
      </c>
      <c r="AH14" s="430">
        <f t="shared" ref="AH14:AH28" si="17">N14+Q14+T14+W14+Z14+AC14+AF14</f>
        <v>0.11603377500000002</v>
      </c>
      <c r="AI14" s="684">
        <f t="shared" ref="AI14:AI28" si="18">ROW(AH14)</f>
        <v>14</v>
      </c>
    </row>
    <row r="15" spans="1:37" s="684" customFormat="1" ht="15.75" customHeight="1" x14ac:dyDescent="0.25">
      <c r="A15" s="269"/>
      <c r="B15" s="275">
        <v>3211129</v>
      </c>
      <c r="C15" s="276" t="s">
        <v>28</v>
      </c>
      <c r="D15" s="173" t="s">
        <v>190</v>
      </c>
      <c r="E15" s="277">
        <v>245</v>
      </c>
      <c r="F15" s="278" t="s">
        <v>23</v>
      </c>
      <c r="G15" s="237">
        <v>245</v>
      </c>
      <c r="H15" s="432">
        <v>2.3999999999999998E-3</v>
      </c>
      <c r="I15" s="237">
        <v>0</v>
      </c>
      <c r="J15" s="237">
        <f t="shared" si="0"/>
        <v>0</v>
      </c>
      <c r="K15" s="432">
        <f t="shared" si="1"/>
        <v>0</v>
      </c>
      <c r="L15" s="237">
        <v>16.25</v>
      </c>
      <c r="M15" s="237">
        <f t="shared" si="2"/>
        <v>6.6326530612244898</v>
      </c>
      <c r="N15" s="432">
        <f t="shared" si="3"/>
        <v>1.5918367346938776E-2</v>
      </c>
      <c r="O15" s="277">
        <v>31.35</v>
      </c>
      <c r="P15" s="274">
        <f t="shared" si="4"/>
        <v>12.795918367346939</v>
      </c>
      <c r="Q15" s="432">
        <f t="shared" si="5"/>
        <v>3.071020408163265E-2</v>
      </c>
      <c r="R15" s="237">
        <v>34.86</v>
      </c>
      <c r="S15" s="274">
        <f t="shared" si="6"/>
        <v>14.22857142857143</v>
      </c>
      <c r="T15" s="432">
        <f t="shared" si="7"/>
        <v>3.4148571428571431E-2</v>
      </c>
      <c r="U15" s="237">
        <v>34.21</v>
      </c>
      <c r="V15" s="274">
        <f t="shared" si="8"/>
        <v>13.96326530612245</v>
      </c>
      <c r="W15" s="432">
        <f t="shared" si="9"/>
        <v>3.3511836734693878E-2</v>
      </c>
      <c r="X15" s="277">
        <v>34.25</v>
      </c>
      <c r="Y15" s="274">
        <f t="shared" si="10"/>
        <v>13.979591836734695</v>
      </c>
      <c r="Z15" s="432">
        <f t="shared" si="11"/>
        <v>3.3551020408163268E-2</v>
      </c>
      <c r="AA15" s="586">
        <v>58.329599999999992</v>
      </c>
      <c r="AB15" s="274">
        <f t="shared" si="12"/>
        <v>23.807999999999996</v>
      </c>
      <c r="AC15" s="432">
        <f t="shared" si="13"/>
        <v>5.7139199999999987E-2</v>
      </c>
      <c r="AD15" s="237">
        <v>35.750399999999992</v>
      </c>
      <c r="AE15" s="274">
        <f t="shared" si="14"/>
        <v>14.591999999999997</v>
      </c>
      <c r="AF15" s="432">
        <f t="shared" si="15"/>
        <v>3.5020799999999991E-2</v>
      </c>
      <c r="AG15" s="255">
        <f t="shared" si="16"/>
        <v>100</v>
      </c>
      <c r="AH15" s="430">
        <f t="shared" si="17"/>
        <v>0.23999999999999996</v>
      </c>
      <c r="AI15" s="684">
        <f t="shared" si="18"/>
        <v>15</v>
      </c>
      <c r="AJ15" s="255">
        <f>I15+L15+O15+R15+U15+X15+AA15+AD15</f>
        <v>245</v>
      </c>
      <c r="AK15" s="255">
        <f>J15+M15+P15+S15+V15+Y15+AB15+AE15</f>
        <v>100</v>
      </c>
    </row>
    <row r="16" spans="1:37" s="684" customFormat="1" ht="16.5" customHeight="1" x14ac:dyDescent="0.25">
      <c r="A16" s="269"/>
      <c r="B16" s="275">
        <v>3821103</v>
      </c>
      <c r="C16" s="276" t="s">
        <v>29</v>
      </c>
      <c r="D16" s="173" t="s">
        <v>122</v>
      </c>
      <c r="E16" s="277">
        <v>2596.27</v>
      </c>
      <c r="F16" s="278" t="s">
        <v>23</v>
      </c>
      <c r="G16" s="237">
        <v>2596.27</v>
      </c>
      <c r="H16" s="432">
        <v>2.5389999999999999E-2</v>
      </c>
      <c r="I16" s="237">
        <v>223.74600000000001</v>
      </c>
      <c r="J16" s="237">
        <f t="shared" si="0"/>
        <v>8.6179788696861266</v>
      </c>
      <c r="K16" s="432">
        <f t="shared" si="1"/>
        <v>0.21881048350133075</v>
      </c>
      <c r="L16" s="237">
        <v>464.654</v>
      </c>
      <c r="M16" s="237">
        <f t="shared" si="2"/>
        <v>17.896982979428181</v>
      </c>
      <c r="N16" s="432">
        <f t="shared" si="3"/>
        <v>0.4544043978476815</v>
      </c>
      <c r="O16" s="277">
        <v>327.7</v>
      </c>
      <c r="P16" s="274">
        <f t="shared" si="4"/>
        <v>12.62195380295578</v>
      </c>
      <c r="Q16" s="432">
        <f t="shared" si="5"/>
        <v>0.32047140705704724</v>
      </c>
      <c r="R16" s="237">
        <v>337.33</v>
      </c>
      <c r="S16" s="274">
        <f t="shared" si="6"/>
        <v>12.992870541199489</v>
      </c>
      <c r="T16" s="432">
        <f t="shared" si="7"/>
        <v>0.32988898304105502</v>
      </c>
      <c r="U16" s="237">
        <v>249.75</v>
      </c>
      <c r="V16" s="274">
        <f t="shared" si="8"/>
        <v>9.619569613329892</v>
      </c>
      <c r="W16" s="432">
        <f t="shared" si="9"/>
        <v>0.24424087248244594</v>
      </c>
      <c r="X16" s="277">
        <v>359.08</v>
      </c>
      <c r="Y16" s="274">
        <f t="shared" si="10"/>
        <v>13.830610837855847</v>
      </c>
      <c r="Z16" s="432">
        <f t="shared" si="11"/>
        <v>0.35115920917315996</v>
      </c>
      <c r="AA16" s="586">
        <v>367.72580000000011</v>
      </c>
      <c r="AB16" s="274">
        <f t="shared" si="12"/>
        <v>14.163619346215922</v>
      </c>
      <c r="AC16" s="432">
        <f t="shared" si="13"/>
        <v>0.35961429520042226</v>
      </c>
      <c r="AD16" s="237">
        <v>266.28420000000011</v>
      </c>
      <c r="AE16" s="274">
        <f t="shared" si="14"/>
        <v>10.256414009328772</v>
      </c>
      <c r="AF16" s="432">
        <f t="shared" si="15"/>
        <v>0.2604103516968575</v>
      </c>
      <c r="AG16" s="255">
        <f t="shared" si="16"/>
        <v>100.00000000000001</v>
      </c>
      <c r="AH16" s="430">
        <f t="shared" si="17"/>
        <v>2.3201895164986697</v>
      </c>
      <c r="AI16" s="684">
        <f t="shared" si="18"/>
        <v>16</v>
      </c>
    </row>
    <row r="17" spans="1:35" s="684" customFormat="1" ht="15.75" customHeight="1" x14ac:dyDescent="0.25">
      <c r="A17" s="269"/>
      <c r="B17" s="275">
        <v>3211119</v>
      </c>
      <c r="C17" s="276" t="s">
        <v>30</v>
      </c>
      <c r="D17" s="173" t="s">
        <v>122</v>
      </c>
      <c r="E17" s="277">
        <v>5</v>
      </c>
      <c r="F17" s="278" t="s">
        <v>23</v>
      </c>
      <c r="G17" s="237">
        <v>5</v>
      </c>
      <c r="H17" s="432">
        <v>5.0000000000000002E-5</v>
      </c>
      <c r="I17" s="237">
        <v>0</v>
      </c>
      <c r="J17" s="237">
        <f t="shared" si="0"/>
        <v>0</v>
      </c>
      <c r="K17" s="432">
        <f t="shared" si="1"/>
        <v>0</v>
      </c>
      <c r="L17" s="237">
        <v>0.05</v>
      </c>
      <c r="M17" s="237">
        <f t="shared" si="2"/>
        <v>1</v>
      </c>
      <c r="N17" s="432">
        <f t="shared" si="3"/>
        <v>5.0000000000000002E-5</v>
      </c>
      <c r="O17" s="277">
        <v>0.13</v>
      </c>
      <c r="P17" s="274">
        <f t="shared" si="4"/>
        <v>2.6</v>
      </c>
      <c r="Q17" s="432">
        <f t="shared" si="5"/>
        <v>1.3000000000000002E-4</v>
      </c>
      <c r="R17" s="237">
        <v>0.22</v>
      </c>
      <c r="S17" s="274">
        <f t="shared" si="6"/>
        <v>4.3999999999999995</v>
      </c>
      <c r="T17" s="432">
        <f t="shared" si="7"/>
        <v>2.1999999999999998E-4</v>
      </c>
      <c r="U17" s="237">
        <v>0.37</v>
      </c>
      <c r="V17" s="274">
        <f t="shared" si="8"/>
        <v>7.3999999999999995</v>
      </c>
      <c r="W17" s="432">
        <f t="shared" si="9"/>
        <v>3.6999999999999999E-4</v>
      </c>
      <c r="X17" s="277">
        <v>0.5</v>
      </c>
      <c r="Y17" s="274">
        <f t="shared" si="10"/>
        <v>10</v>
      </c>
      <c r="Z17" s="432">
        <f t="shared" si="11"/>
        <v>5.0000000000000001E-4</v>
      </c>
      <c r="AA17" s="586">
        <v>2.1634000000000002</v>
      </c>
      <c r="AB17" s="274">
        <f t="shared" si="12"/>
        <v>43.268000000000008</v>
      </c>
      <c r="AC17" s="432">
        <f t="shared" si="13"/>
        <v>2.1634000000000007E-3</v>
      </c>
      <c r="AD17" s="237">
        <v>1.5666</v>
      </c>
      <c r="AE17" s="274">
        <f t="shared" si="14"/>
        <v>31.331999999999997</v>
      </c>
      <c r="AF17" s="432">
        <f t="shared" si="15"/>
        <v>1.5666E-3</v>
      </c>
      <c r="AG17" s="255">
        <f t="shared" si="16"/>
        <v>100.00000000000001</v>
      </c>
      <c r="AH17" s="430">
        <f t="shared" si="17"/>
        <v>5.000000000000001E-3</v>
      </c>
      <c r="AI17" s="684">
        <f t="shared" si="18"/>
        <v>17</v>
      </c>
    </row>
    <row r="18" spans="1:35" s="684" customFormat="1" ht="15.75" customHeight="1" x14ac:dyDescent="0.25">
      <c r="A18" s="269"/>
      <c r="B18" s="275">
        <v>3211120</v>
      </c>
      <c r="C18" s="276" t="s">
        <v>31</v>
      </c>
      <c r="D18" s="173" t="s">
        <v>122</v>
      </c>
      <c r="E18" s="277">
        <v>5</v>
      </c>
      <c r="F18" s="278" t="s">
        <v>23</v>
      </c>
      <c r="G18" s="237">
        <v>5</v>
      </c>
      <c r="H18" s="432">
        <v>5.0000000000000002E-5</v>
      </c>
      <c r="I18" s="237">
        <v>0.21</v>
      </c>
      <c r="J18" s="237">
        <f t="shared" si="0"/>
        <v>4.1999999999999993</v>
      </c>
      <c r="K18" s="432">
        <f t="shared" si="1"/>
        <v>2.0999999999999998E-4</v>
      </c>
      <c r="L18" s="237">
        <v>0.24</v>
      </c>
      <c r="M18" s="237">
        <f t="shared" si="2"/>
        <v>4.8</v>
      </c>
      <c r="N18" s="432">
        <f t="shared" si="3"/>
        <v>2.4000000000000001E-4</v>
      </c>
      <c r="O18" s="277">
        <v>0.28999999999999998</v>
      </c>
      <c r="P18" s="274">
        <f t="shared" si="4"/>
        <v>5.8</v>
      </c>
      <c r="Q18" s="432">
        <f t="shared" si="5"/>
        <v>2.9E-4</v>
      </c>
      <c r="R18" s="237">
        <v>0.15</v>
      </c>
      <c r="S18" s="274">
        <f t="shared" si="6"/>
        <v>3</v>
      </c>
      <c r="T18" s="432">
        <f t="shared" si="7"/>
        <v>1.5000000000000001E-4</v>
      </c>
      <c r="U18" s="237">
        <v>0.08</v>
      </c>
      <c r="V18" s="274">
        <f t="shared" si="8"/>
        <v>1.6</v>
      </c>
      <c r="W18" s="432">
        <f t="shared" si="9"/>
        <v>8.0000000000000007E-5</v>
      </c>
      <c r="X18" s="277">
        <v>0.2</v>
      </c>
      <c r="Y18" s="274">
        <f t="shared" si="10"/>
        <v>4</v>
      </c>
      <c r="Z18" s="432">
        <f t="shared" si="11"/>
        <v>2.0000000000000001E-4</v>
      </c>
      <c r="AA18" s="586">
        <v>2.3363</v>
      </c>
      <c r="AB18" s="274">
        <f t="shared" si="12"/>
        <v>46.725999999999999</v>
      </c>
      <c r="AC18" s="432">
        <f t="shared" si="13"/>
        <v>2.3362999999999999E-3</v>
      </c>
      <c r="AD18" s="237">
        <v>1.4937</v>
      </c>
      <c r="AE18" s="274">
        <f t="shared" si="14"/>
        <v>29.874000000000002</v>
      </c>
      <c r="AF18" s="432">
        <f t="shared" si="15"/>
        <v>1.4937000000000001E-3</v>
      </c>
      <c r="AG18" s="255">
        <f t="shared" si="16"/>
        <v>99.999999999999986</v>
      </c>
      <c r="AH18" s="430">
        <f t="shared" si="17"/>
        <v>4.79E-3</v>
      </c>
      <c r="AI18" s="684">
        <f t="shared" si="18"/>
        <v>18</v>
      </c>
    </row>
    <row r="19" spans="1:35" s="684" customFormat="1" ht="15.75" customHeight="1" x14ac:dyDescent="0.25">
      <c r="A19" s="269"/>
      <c r="B19" s="275">
        <v>3211117</v>
      </c>
      <c r="C19" s="276" t="s">
        <v>32</v>
      </c>
      <c r="D19" s="173" t="s">
        <v>122</v>
      </c>
      <c r="E19" s="277">
        <v>5</v>
      </c>
      <c r="F19" s="278" t="s">
        <v>23</v>
      </c>
      <c r="G19" s="237">
        <v>5</v>
      </c>
      <c r="H19" s="432">
        <v>5.0000000000000002E-5</v>
      </c>
      <c r="I19" s="237">
        <v>0.249</v>
      </c>
      <c r="J19" s="237">
        <f t="shared" si="0"/>
        <v>4.9799999999999995</v>
      </c>
      <c r="K19" s="432">
        <f t="shared" si="1"/>
        <v>2.4899999999999998E-4</v>
      </c>
      <c r="L19" s="237">
        <v>1E-3</v>
      </c>
      <c r="M19" s="237">
        <f t="shared" si="2"/>
        <v>0.02</v>
      </c>
      <c r="N19" s="432">
        <f t="shared" si="3"/>
        <v>1.0000000000000002E-6</v>
      </c>
      <c r="O19" s="277">
        <v>0.09</v>
      </c>
      <c r="P19" s="274">
        <f t="shared" si="4"/>
        <v>1.7999999999999998</v>
      </c>
      <c r="Q19" s="432">
        <f t="shared" si="5"/>
        <v>8.9999999999999992E-5</v>
      </c>
      <c r="R19" s="237">
        <v>0.05</v>
      </c>
      <c r="S19" s="274">
        <f t="shared" si="6"/>
        <v>1</v>
      </c>
      <c r="T19" s="432">
        <f t="shared" si="7"/>
        <v>5.0000000000000002E-5</v>
      </c>
      <c r="U19" s="237">
        <v>0.05</v>
      </c>
      <c r="V19" s="274">
        <f t="shared" si="8"/>
        <v>1</v>
      </c>
      <c r="W19" s="432">
        <f t="shared" si="9"/>
        <v>5.0000000000000002E-5</v>
      </c>
      <c r="X19" s="277">
        <v>0.2</v>
      </c>
      <c r="Y19" s="274">
        <f t="shared" si="10"/>
        <v>4</v>
      </c>
      <c r="Z19" s="432">
        <f t="shared" si="11"/>
        <v>2.0000000000000001E-4</v>
      </c>
      <c r="AA19" s="586">
        <v>2.4416000000000002</v>
      </c>
      <c r="AB19" s="274">
        <f t="shared" si="12"/>
        <v>48.832000000000001</v>
      </c>
      <c r="AC19" s="432">
        <f t="shared" si="13"/>
        <v>2.4416000000000004E-3</v>
      </c>
      <c r="AD19" s="237">
        <v>1.9184000000000001</v>
      </c>
      <c r="AE19" s="274">
        <f t="shared" si="14"/>
        <v>38.368000000000002</v>
      </c>
      <c r="AF19" s="432">
        <f t="shared" si="15"/>
        <v>1.9184000000000002E-3</v>
      </c>
      <c r="AG19" s="255">
        <f t="shared" si="16"/>
        <v>100</v>
      </c>
      <c r="AH19" s="430">
        <f t="shared" si="17"/>
        <v>4.751E-3</v>
      </c>
      <c r="AI19" s="684">
        <f t="shared" si="18"/>
        <v>19</v>
      </c>
    </row>
    <row r="20" spans="1:35" s="684" customFormat="1" ht="15.75" customHeight="1" x14ac:dyDescent="0.25">
      <c r="A20" s="269"/>
      <c r="B20" s="275">
        <v>3221104</v>
      </c>
      <c r="C20" s="276" t="s">
        <v>33</v>
      </c>
      <c r="D20" s="173" t="s">
        <v>122</v>
      </c>
      <c r="E20" s="277">
        <v>20</v>
      </c>
      <c r="F20" s="278" t="s">
        <v>23</v>
      </c>
      <c r="G20" s="237">
        <v>20</v>
      </c>
      <c r="H20" s="432">
        <v>2.0000000000000001E-4</v>
      </c>
      <c r="I20" s="237">
        <v>1.1000000000000001</v>
      </c>
      <c r="J20" s="237">
        <f t="shared" si="0"/>
        <v>5.5000000000000009</v>
      </c>
      <c r="K20" s="432">
        <f t="shared" si="1"/>
        <v>1.1000000000000003E-3</v>
      </c>
      <c r="L20" s="237">
        <v>8.3699999999999992</v>
      </c>
      <c r="M20" s="237">
        <f t="shared" si="2"/>
        <v>41.85</v>
      </c>
      <c r="N20" s="432">
        <f t="shared" si="3"/>
        <v>8.3700000000000007E-3</v>
      </c>
      <c r="O20" s="277">
        <v>0.08</v>
      </c>
      <c r="P20" s="274">
        <f t="shared" si="4"/>
        <v>0.4</v>
      </c>
      <c r="Q20" s="432">
        <f t="shared" si="5"/>
        <v>8.0000000000000007E-5</v>
      </c>
      <c r="R20" s="237">
        <v>0</v>
      </c>
      <c r="S20" s="274">
        <f t="shared" si="6"/>
        <v>0</v>
      </c>
      <c r="T20" s="432">
        <f t="shared" si="7"/>
        <v>0</v>
      </c>
      <c r="U20" s="237">
        <v>2.37</v>
      </c>
      <c r="V20" s="274">
        <f t="shared" si="8"/>
        <v>11.850000000000001</v>
      </c>
      <c r="W20" s="432">
        <f t="shared" si="9"/>
        <v>2.3700000000000006E-3</v>
      </c>
      <c r="X20" s="277">
        <v>1</v>
      </c>
      <c r="Y20" s="274">
        <f t="shared" si="10"/>
        <v>5</v>
      </c>
      <c r="Z20" s="432">
        <f t="shared" si="11"/>
        <v>1E-3</v>
      </c>
      <c r="AA20" s="586">
        <v>4.4604000000000008</v>
      </c>
      <c r="AB20" s="274">
        <f t="shared" si="12"/>
        <v>22.302000000000007</v>
      </c>
      <c r="AC20" s="432">
        <f t="shared" si="13"/>
        <v>4.4604000000000015E-3</v>
      </c>
      <c r="AD20" s="237">
        <v>2.619600000000001</v>
      </c>
      <c r="AE20" s="274">
        <f t="shared" si="14"/>
        <v>13.098000000000004</v>
      </c>
      <c r="AF20" s="432">
        <f t="shared" si="15"/>
        <v>2.619600000000001E-3</v>
      </c>
      <c r="AG20" s="255">
        <f t="shared" si="16"/>
        <v>100.00000000000001</v>
      </c>
      <c r="AH20" s="430">
        <f t="shared" si="17"/>
        <v>1.89E-2</v>
      </c>
      <c r="AI20" s="684">
        <f t="shared" si="18"/>
        <v>20</v>
      </c>
    </row>
    <row r="21" spans="1:35" s="684" customFormat="1" ht="15.75" customHeight="1" x14ac:dyDescent="0.25">
      <c r="A21" s="269"/>
      <c r="B21" s="275">
        <v>3211115</v>
      </c>
      <c r="C21" s="276" t="s">
        <v>34</v>
      </c>
      <c r="D21" s="173" t="s">
        <v>122</v>
      </c>
      <c r="E21" s="277">
        <v>5</v>
      </c>
      <c r="F21" s="278" t="s">
        <v>23</v>
      </c>
      <c r="G21" s="237">
        <v>5</v>
      </c>
      <c r="H21" s="432">
        <v>5.0000000000000002E-5</v>
      </c>
      <c r="I21" s="237">
        <v>0</v>
      </c>
      <c r="J21" s="237">
        <f t="shared" si="0"/>
        <v>0</v>
      </c>
      <c r="K21" s="432">
        <f t="shared" si="1"/>
        <v>0</v>
      </c>
      <c r="L21" s="237">
        <v>0.11</v>
      </c>
      <c r="M21" s="237">
        <f t="shared" si="2"/>
        <v>2.1999999999999997</v>
      </c>
      <c r="N21" s="432">
        <f t="shared" si="3"/>
        <v>1.0999999999999999E-4</v>
      </c>
      <c r="O21" s="277">
        <v>0.23</v>
      </c>
      <c r="P21" s="274">
        <f t="shared" si="4"/>
        <v>4.5999999999999996</v>
      </c>
      <c r="Q21" s="432">
        <f t="shared" si="5"/>
        <v>2.2999999999999998E-4</v>
      </c>
      <c r="R21" s="237">
        <v>0.37</v>
      </c>
      <c r="S21" s="274">
        <f t="shared" si="6"/>
        <v>7.3999999999999995</v>
      </c>
      <c r="T21" s="432">
        <f t="shared" si="7"/>
        <v>3.6999999999999999E-4</v>
      </c>
      <c r="U21" s="237">
        <v>0.4</v>
      </c>
      <c r="V21" s="274">
        <f t="shared" si="8"/>
        <v>8</v>
      </c>
      <c r="W21" s="432">
        <f t="shared" si="9"/>
        <v>4.0000000000000002E-4</v>
      </c>
      <c r="X21" s="277">
        <v>0.45</v>
      </c>
      <c r="Y21" s="274">
        <f t="shared" si="10"/>
        <v>9</v>
      </c>
      <c r="Z21" s="432">
        <f t="shared" si="11"/>
        <v>4.5000000000000004E-4</v>
      </c>
      <c r="AA21" s="586">
        <v>2.0983999999999998</v>
      </c>
      <c r="AB21" s="274">
        <f t="shared" si="12"/>
        <v>41.967999999999996</v>
      </c>
      <c r="AC21" s="432">
        <f t="shared" si="13"/>
        <v>2.0983999999999998E-3</v>
      </c>
      <c r="AD21" s="237">
        <v>1.3415999999999999</v>
      </c>
      <c r="AE21" s="274">
        <f t="shared" si="14"/>
        <v>26.832000000000001</v>
      </c>
      <c r="AF21" s="432">
        <f t="shared" si="15"/>
        <v>1.3416000000000001E-3</v>
      </c>
      <c r="AG21" s="255">
        <f t="shared" si="16"/>
        <v>100</v>
      </c>
      <c r="AH21" s="430">
        <f t="shared" si="17"/>
        <v>5.0000000000000001E-3</v>
      </c>
      <c r="AI21" s="684">
        <f t="shared" si="18"/>
        <v>21</v>
      </c>
    </row>
    <row r="22" spans="1:35" s="684" customFormat="1" ht="15.75" customHeight="1" x14ac:dyDescent="0.25">
      <c r="A22" s="269"/>
      <c r="B22" s="275">
        <v>3211113</v>
      </c>
      <c r="C22" s="276" t="s">
        <v>35</v>
      </c>
      <c r="D22" s="173" t="s">
        <v>122</v>
      </c>
      <c r="E22" s="277">
        <v>20</v>
      </c>
      <c r="F22" s="278" t="s">
        <v>23</v>
      </c>
      <c r="G22" s="237">
        <v>20</v>
      </c>
      <c r="H22" s="432">
        <v>2.0000000000000001E-4</v>
      </c>
      <c r="I22" s="237">
        <v>0.187</v>
      </c>
      <c r="J22" s="237">
        <f t="shared" si="0"/>
        <v>0.93500000000000005</v>
      </c>
      <c r="K22" s="432">
        <f t="shared" si="1"/>
        <v>1.8700000000000002E-4</v>
      </c>
      <c r="L22" s="237">
        <v>1.6830000000000001</v>
      </c>
      <c r="M22" s="237">
        <f t="shared" si="2"/>
        <v>8.4150000000000009</v>
      </c>
      <c r="N22" s="432">
        <f t="shared" si="3"/>
        <v>1.6830000000000003E-3</v>
      </c>
      <c r="O22" s="277">
        <v>1.78</v>
      </c>
      <c r="P22" s="274">
        <f t="shared" si="4"/>
        <v>8.9</v>
      </c>
      <c r="Q22" s="432">
        <f t="shared" si="5"/>
        <v>1.7800000000000001E-3</v>
      </c>
      <c r="R22" s="237">
        <v>2.31</v>
      </c>
      <c r="S22" s="274">
        <f t="shared" si="6"/>
        <v>11.55</v>
      </c>
      <c r="T22" s="432">
        <f t="shared" si="7"/>
        <v>2.3100000000000004E-3</v>
      </c>
      <c r="U22" s="237">
        <v>2.78</v>
      </c>
      <c r="V22" s="274">
        <f t="shared" si="8"/>
        <v>13.899999999999999</v>
      </c>
      <c r="W22" s="432">
        <f t="shared" si="9"/>
        <v>2.7799999999999999E-3</v>
      </c>
      <c r="X22" s="277">
        <v>3.5</v>
      </c>
      <c r="Y22" s="274">
        <f t="shared" si="10"/>
        <v>17.5</v>
      </c>
      <c r="Z22" s="432">
        <f t="shared" si="11"/>
        <v>3.5000000000000001E-3</v>
      </c>
      <c r="AA22" s="586">
        <v>4.2679999999999998</v>
      </c>
      <c r="AB22" s="274">
        <f t="shared" si="12"/>
        <v>21.339999999999996</v>
      </c>
      <c r="AC22" s="432">
        <f t="shared" si="13"/>
        <v>4.2679999999999992E-3</v>
      </c>
      <c r="AD22" s="237">
        <v>3.492</v>
      </c>
      <c r="AE22" s="274">
        <f t="shared" si="14"/>
        <v>17.46</v>
      </c>
      <c r="AF22" s="432">
        <f t="shared" si="15"/>
        <v>3.4920000000000003E-3</v>
      </c>
      <c r="AG22" s="255">
        <f t="shared" si="16"/>
        <v>100</v>
      </c>
      <c r="AH22" s="430">
        <f t="shared" si="17"/>
        <v>1.9812999999999997E-2</v>
      </c>
      <c r="AI22" s="684">
        <f t="shared" si="18"/>
        <v>22</v>
      </c>
    </row>
    <row r="23" spans="1:35" s="684" customFormat="1" ht="15.75" customHeight="1" x14ac:dyDescent="0.25">
      <c r="A23" s="269"/>
      <c r="B23" s="275">
        <v>3243102</v>
      </c>
      <c r="C23" s="276" t="s">
        <v>36</v>
      </c>
      <c r="D23" s="173" t="s">
        <v>122</v>
      </c>
      <c r="E23" s="277">
        <v>100</v>
      </c>
      <c r="F23" s="278" t="s">
        <v>23</v>
      </c>
      <c r="G23" s="237">
        <v>100</v>
      </c>
      <c r="H23" s="432">
        <v>9.7999999999999997E-4</v>
      </c>
      <c r="I23" s="237">
        <v>0.93799999999999994</v>
      </c>
      <c r="J23" s="237">
        <f t="shared" si="0"/>
        <v>0.93799999999999994</v>
      </c>
      <c r="K23" s="432">
        <f t="shared" si="1"/>
        <v>9.1923999999999988E-4</v>
      </c>
      <c r="L23" s="237">
        <v>3.6920000000000002</v>
      </c>
      <c r="M23" s="237">
        <f t="shared" si="2"/>
        <v>3.6920000000000002</v>
      </c>
      <c r="N23" s="432">
        <f t="shared" si="3"/>
        <v>3.61816E-3</v>
      </c>
      <c r="O23" s="277">
        <v>3</v>
      </c>
      <c r="P23" s="274">
        <f t="shared" si="4"/>
        <v>3</v>
      </c>
      <c r="Q23" s="432">
        <f t="shared" si="5"/>
        <v>2.9399999999999999E-3</v>
      </c>
      <c r="R23" s="237">
        <v>4</v>
      </c>
      <c r="S23" s="274">
        <f t="shared" si="6"/>
        <v>4</v>
      </c>
      <c r="T23" s="432">
        <f t="shared" si="7"/>
        <v>3.9199999999999999E-3</v>
      </c>
      <c r="U23" s="237">
        <v>5.89</v>
      </c>
      <c r="V23" s="274">
        <f t="shared" si="8"/>
        <v>5.89</v>
      </c>
      <c r="W23" s="432">
        <f t="shared" si="9"/>
        <v>5.7721999999999999E-3</v>
      </c>
      <c r="X23" s="277">
        <v>6</v>
      </c>
      <c r="Y23" s="274">
        <f t="shared" si="10"/>
        <v>6</v>
      </c>
      <c r="Z23" s="432">
        <f t="shared" si="11"/>
        <v>5.8799999999999998E-3</v>
      </c>
      <c r="AA23" s="586">
        <v>46.652799999999999</v>
      </c>
      <c r="AB23" s="274">
        <f t="shared" si="12"/>
        <v>46.652799999999999</v>
      </c>
      <c r="AC23" s="432">
        <f t="shared" si="13"/>
        <v>4.5719744E-2</v>
      </c>
      <c r="AD23" s="237">
        <v>29.827200000000001</v>
      </c>
      <c r="AE23" s="274">
        <f t="shared" si="14"/>
        <v>29.827200000000005</v>
      </c>
      <c r="AF23" s="432">
        <f t="shared" si="15"/>
        <v>2.9230656000000004E-2</v>
      </c>
      <c r="AG23" s="255">
        <f t="shared" si="16"/>
        <v>100.00000000000001</v>
      </c>
      <c r="AH23" s="430">
        <f t="shared" si="17"/>
        <v>9.7080760000000002E-2</v>
      </c>
      <c r="AI23" s="684">
        <f t="shared" si="18"/>
        <v>23</v>
      </c>
    </row>
    <row r="24" spans="1:35" s="684" customFormat="1" ht="17.25" customHeight="1" x14ac:dyDescent="0.25">
      <c r="A24" s="269"/>
      <c r="B24" s="275">
        <v>3243101</v>
      </c>
      <c r="C24" s="276" t="s">
        <v>37</v>
      </c>
      <c r="D24" s="173" t="s">
        <v>122</v>
      </c>
      <c r="E24" s="277">
        <v>200</v>
      </c>
      <c r="F24" s="278" t="s">
        <v>23</v>
      </c>
      <c r="G24" s="237">
        <v>200</v>
      </c>
      <c r="H24" s="432">
        <v>1.9599999999999999E-3</v>
      </c>
      <c r="I24" s="237">
        <v>0.625</v>
      </c>
      <c r="J24" s="237">
        <f t="shared" si="0"/>
        <v>0.3125</v>
      </c>
      <c r="K24" s="432">
        <f t="shared" si="1"/>
        <v>6.1249999999999998E-4</v>
      </c>
      <c r="L24" s="237">
        <v>6.9950000000000001</v>
      </c>
      <c r="M24" s="237">
        <f t="shared" si="2"/>
        <v>3.4975000000000001</v>
      </c>
      <c r="N24" s="432">
        <f t="shared" si="3"/>
        <v>6.8551000000000003E-3</v>
      </c>
      <c r="O24" s="277">
        <v>18.97</v>
      </c>
      <c r="P24" s="274">
        <f t="shared" si="4"/>
        <v>9.4849999999999994</v>
      </c>
      <c r="Q24" s="432">
        <f t="shared" si="5"/>
        <v>1.8590599999999999E-2</v>
      </c>
      <c r="R24" s="237">
        <v>18</v>
      </c>
      <c r="S24" s="274">
        <f t="shared" si="6"/>
        <v>9</v>
      </c>
      <c r="T24" s="432">
        <f t="shared" si="7"/>
        <v>1.7639999999999999E-2</v>
      </c>
      <c r="U24" s="237">
        <v>20</v>
      </c>
      <c r="V24" s="274">
        <f t="shared" si="8"/>
        <v>10</v>
      </c>
      <c r="W24" s="432">
        <f t="shared" si="9"/>
        <v>1.9599999999999999E-2</v>
      </c>
      <c r="X24" s="277">
        <v>20</v>
      </c>
      <c r="Y24" s="274">
        <f t="shared" si="10"/>
        <v>10</v>
      </c>
      <c r="Z24" s="432">
        <f t="shared" si="11"/>
        <v>1.9599999999999999E-2</v>
      </c>
      <c r="AA24" s="586">
        <v>65.783699999999996</v>
      </c>
      <c r="AB24" s="274">
        <f t="shared" si="12"/>
        <v>32.891849999999998</v>
      </c>
      <c r="AC24" s="432">
        <f t="shared" si="13"/>
        <v>6.4468025999999998E-2</v>
      </c>
      <c r="AD24" s="237">
        <v>49.626300000000001</v>
      </c>
      <c r="AE24" s="274">
        <f t="shared" si="14"/>
        <v>24.81315</v>
      </c>
      <c r="AF24" s="432">
        <f t="shared" si="15"/>
        <v>4.8633773999999998E-2</v>
      </c>
      <c r="AG24" s="255">
        <f t="shared" si="16"/>
        <v>100</v>
      </c>
      <c r="AH24" s="430">
        <f t="shared" si="17"/>
        <v>0.19538749999999996</v>
      </c>
      <c r="AI24" s="684">
        <f t="shared" si="18"/>
        <v>24</v>
      </c>
    </row>
    <row r="25" spans="1:35" s="684" customFormat="1" ht="18.75" customHeight="1" x14ac:dyDescent="0.25">
      <c r="A25" s="269"/>
      <c r="B25" s="275">
        <v>3221108</v>
      </c>
      <c r="C25" s="276" t="s">
        <v>38</v>
      </c>
      <c r="D25" s="173" t="s">
        <v>122</v>
      </c>
      <c r="E25" s="277">
        <v>3</v>
      </c>
      <c r="F25" s="278" t="s">
        <v>23</v>
      </c>
      <c r="G25" s="237">
        <v>3</v>
      </c>
      <c r="H25" s="432">
        <v>3.0000000000000001E-5</v>
      </c>
      <c r="I25" s="237">
        <v>8.1000000000000003E-2</v>
      </c>
      <c r="J25" s="237">
        <f t="shared" si="0"/>
        <v>2.7</v>
      </c>
      <c r="K25" s="432">
        <f t="shared" si="1"/>
        <v>8.1000000000000004E-5</v>
      </c>
      <c r="L25" s="237">
        <v>0.749</v>
      </c>
      <c r="M25" s="237">
        <f t="shared" si="2"/>
        <v>24.966666666666669</v>
      </c>
      <c r="N25" s="432">
        <f t="shared" si="3"/>
        <v>7.490000000000001E-4</v>
      </c>
      <c r="O25" s="277">
        <v>0.01</v>
      </c>
      <c r="P25" s="274">
        <f t="shared" si="4"/>
        <v>0.33333333333333337</v>
      </c>
      <c r="Q25" s="432">
        <f t="shared" si="5"/>
        <v>1.0000000000000001E-5</v>
      </c>
      <c r="R25" s="237">
        <v>0.22</v>
      </c>
      <c r="S25" s="274">
        <f t="shared" si="6"/>
        <v>7.333333333333333</v>
      </c>
      <c r="T25" s="432">
        <f t="shared" si="7"/>
        <v>2.2000000000000001E-4</v>
      </c>
      <c r="U25" s="237">
        <v>0.1</v>
      </c>
      <c r="V25" s="274">
        <f t="shared" si="8"/>
        <v>3.3333333333333335</v>
      </c>
      <c r="W25" s="432">
        <f t="shared" si="9"/>
        <v>1E-4</v>
      </c>
      <c r="X25" s="277">
        <v>0.15</v>
      </c>
      <c r="Y25" s="274">
        <f t="shared" si="10"/>
        <v>5</v>
      </c>
      <c r="Z25" s="432">
        <f t="shared" si="11"/>
        <v>1.5000000000000001E-4</v>
      </c>
      <c r="AA25" s="586">
        <v>0.92949999999999999</v>
      </c>
      <c r="AB25" s="274">
        <f t="shared" si="12"/>
        <v>30.983333333333334</v>
      </c>
      <c r="AC25" s="432">
        <f t="shared" si="13"/>
        <v>9.295000000000001E-4</v>
      </c>
      <c r="AD25" s="237">
        <v>0.76049999999999995</v>
      </c>
      <c r="AE25" s="274">
        <f t="shared" si="14"/>
        <v>25.35</v>
      </c>
      <c r="AF25" s="432">
        <f t="shared" si="15"/>
        <v>7.6050000000000011E-4</v>
      </c>
      <c r="AG25" s="255">
        <f t="shared" si="16"/>
        <v>100</v>
      </c>
      <c r="AH25" s="430">
        <f t="shared" si="17"/>
        <v>2.9190000000000006E-3</v>
      </c>
      <c r="AI25" s="684">
        <f t="shared" si="18"/>
        <v>25</v>
      </c>
    </row>
    <row r="26" spans="1:35" s="684" customFormat="1" ht="17.25" customHeight="1" x14ac:dyDescent="0.25">
      <c r="A26" s="269"/>
      <c r="B26" s="275">
        <v>3255102</v>
      </c>
      <c r="C26" s="276" t="s">
        <v>39</v>
      </c>
      <c r="D26" s="173" t="s">
        <v>122</v>
      </c>
      <c r="E26" s="277">
        <v>50</v>
      </c>
      <c r="F26" s="278" t="s">
        <v>23</v>
      </c>
      <c r="G26" s="237">
        <v>50</v>
      </c>
      <c r="H26" s="432">
        <v>4.8999999999999998E-4</v>
      </c>
      <c r="I26" s="237">
        <v>0.19600000000000001</v>
      </c>
      <c r="J26" s="237">
        <f t="shared" si="0"/>
        <v>0.39200000000000002</v>
      </c>
      <c r="K26" s="432">
        <f t="shared" si="1"/>
        <v>1.9207999999999999E-4</v>
      </c>
      <c r="L26" s="237">
        <v>6.9939999999999998</v>
      </c>
      <c r="M26" s="237">
        <f t="shared" si="2"/>
        <v>13.988</v>
      </c>
      <c r="N26" s="432">
        <f t="shared" si="3"/>
        <v>6.8541199999999991E-3</v>
      </c>
      <c r="O26" s="277">
        <v>16.989999999999998</v>
      </c>
      <c r="P26" s="274">
        <f t="shared" si="4"/>
        <v>33.979999999999997</v>
      </c>
      <c r="Q26" s="432">
        <f t="shared" si="5"/>
        <v>1.6650199999999997E-2</v>
      </c>
      <c r="R26" s="237">
        <v>6</v>
      </c>
      <c r="S26" s="274">
        <f t="shared" si="6"/>
        <v>12</v>
      </c>
      <c r="T26" s="432">
        <f t="shared" si="7"/>
        <v>5.8799999999999998E-3</v>
      </c>
      <c r="U26" s="237">
        <v>3.98</v>
      </c>
      <c r="V26" s="274">
        <f t="shared" si="8"/>
        <v>7.9600000000000009</v>
      </c>
      <c r="W26" s="432">
        <f t="shared" si="9"/>
        <v>3.9004000000000005E-3</v>
      </c>
      <c r="X26" s="277">
        <v>0.5</v>
      </c>
      <c r="Y26" s="274">
        <f t="shared" si="10"/>
        <v>1</v>
      </c>
      <c r="Z26" s="432">
        <f t="shared" si="11"/>
        <v>4.8999999999999998E-4</v>
      </c>
      <c r="AA26" s="586">
        <v>9.3574000000000019</v>
      </c>
      <c r="AB26" s="274">
        <f t="shared" si="12"/>
        <v>18.714800000000004</v>
      </c>
      <c r="AC26" s="432">
        <f t="shared" si="13"/>
        <v>9.170252000000002E-3</v>
      </c>
      <c r="AD26" s="237">
        <v>5.9826000000000006</v>
      </c>
      <c r="AE26" s="274">
        <f t="shared" si="14"/>
        <v>11.965200000000001</v>
      </c>
      <c r="AF26" s="432">
        <f t="shared" si="15"/>
        <v>5.8629480000000006E-3</v>
      </c>
      <c r="AG26" s="255">
        <f t="shared" si="16"/>
        <v>100</v>
      </c>
      <c r="AH26" s="430">
        <f t="shared" si="17"/>
        <v>4.8807919999999998E-2</v>
      </c>
      <c r="AI26" s="684">
        <f t="shared" si="18"/>
        <v>26</v>
      </c>
    </row>
    <row r="27" spans="1:35" s="684" customFormat="1" ht="18" customHeight="1" x14ac:dyDescent="0.25">
      <c r="A27" s="269"/>
      <c r="B27" s="275">
        <v>3255104</v>
      </c>
      <c r="C27" s="276" t="s">
        <v>40</v>
      </c>
      <c r="D27" s="173" t="s">
        <v>122</v>
      </c>
      <c r="E27" s="277">
        <v>120</v>
      </c>
      <c r="F27" s="278" t="s">
        <v>23</v>
      </c>
      <c r="G27" s="237">
        <v>120</v>
      </c>
      <c r="H27" s="432">
        <v>1.17E-3</v>
      </c>
      <c r="I27" s="237">
        <v>0.96799999999999997</v>
      </c>
      <c r="J27" s="237">
        <f t="shared" si="0"/>
        <v>0.80666666666666664</v>
      </c>
      <c r="K27" s="432">
        <f t="shared" si="1"/>
        <v>9.4379999999999996E-4</v>
      </c>
      <c r="L27" s="237">
        <v>6.9720000000000004</v>
      </c>
      <c r="M27" s="237">
        <f t="shared" si="2"/>
        <v>5.8100000000000005</v>
      </c>
      <c r="N27" s="432">
        <f t="shared" si="3"/>
        <v>6.7977000000000011E-3</v>
      </c>
      <c r="O27" s="277">
        <v>11.2</v>
      </c>
      <c r="P27" s="274">
        <f t="shared" si="4"/>
        <v>9.3333333333333321</v>
      </c>
      <c r="Q27" s="432">
        <f t="shared" si="5"/>
        <v>1.0919999999999999E-2</v>
      </c>
      <c r="R27" s="237">
        <v>12.79</v>
      </c>
      <c r="S27" s="274">
        <f t="shared" si="6"/>
        <v>10.658333333333331</v>
      </c>
      <c r="T27" s="432">
        <f t="shared" si="7"/>
        <v>1.2470249999999999E-2</v>
      </c>
      <c r="U27" s="237">
        <v>17.98</v>
      </c>
      <c r="V27" s="274">
        <f t="shared" si="8"/>
        <v>14.983333333333334</v>
      </c>
      <c r="W27" s="432">
        <f t="shared" si="9"/>
        <v>1.7530500000000001E-2</v>
      </c>
      <c r="X27" s="277">
        <v>20</v>
      </c>
      <c r="Y27" s="274">
        <f t="shared" si="10"/>
        <v>16.666666666666664</v>
      </c>
      <c r="Z27" s="432">
        <f t="shared" si="11"/>
        <v>1.9499999999999997E-2</v>
      </c>
      <c r="AA27" s="586">
        <v>31.556699999999999</v>
      </c>
      <c r="AB27" s="274">
        <f t="shared" si="12"/>
        <v>26.297249999999998</v>
      </c>
      <c r="AC27" s="432">
        <f t="shared" si="13"/>
        <v>3.07677825E-2</v>
      </c>
      <c r="AD27" s="237">
        <v>18.533300000000001</v>
      </c>
      <c r="AE27" s="274">
        <f t="shared" si="14"/>
        <v>15.444416666666665</v>
      </c>
      <c r="AF27" s="432">
        <f t="shared" si="15"/>
        <v>1.8069967499999999E-2</v>
      </c>
      <c r="AG27" s="255">
        <f t="shared" si="16"/>
        <v>99.999999999999986</v>
      </c>
      <c r="AH27" s="430">
        <f t="shared" si="17"/>
        <v>0.1160562</v>
      </c>
      <c r="AI27" s="684">
        <f t="shared" si="18"/>
        <v>27</v>
      </c>
    </row>
    <row r="28" spans="1:35" s="684" customFormat="1" ht="18" customHeight="1" x14ac:dyDescent="0.25">
      <c r="A28" s="269"/>
      <c r="B28" s="275">
        <v>3211127</v>
      </c>
      <c r="C28" s="276" t="s">
        <v>41</v>
      </c>
      <c r="D28" s="173" t="s">
        <v>122</v>
      </c>
      <c r="E28" s="277">
        <v>2</v>
      </c>
      <c r="F28" s="278" t="s">
        <v>23</v>
      </c>
      <c r="G28" s="237">
        <v>2</v>
      </c>
      <c r="H28" s="432">
        <v>2.0000000000000002E-5</v>
      </c>
      <c r="I28" s="237">
        <v>0</v>
      </c>
      <c r="J28" s="237">
        <f t="shared" si="0"/>
        <v>0</v>
      </c>
      <c r="K28" s="432">
        <f t="shared" si="1"/>
        <v>0</v>
      </c>
      <c r="L28" s="237">
        <v>0.1</v>
      </c>
      <c r="M28" s="237">
        <f t="shared" si="2"/>
        <v>5</v>
      </c>
      <c r="N28" s="432">
        <f t="shared" si="3"/>
        <v>1E-4</v>
      </c>
      <c r="O28" s="277">
        <v>0.03</v>
      </c>
      <c r="P28" s="274">
        <f t="shared" si="4"/>
        <v>1.5</v>
      </c>
      <c r="Q28" s="432">
        <f t="shared" si="5"/>
        <v>3.0000000000000004E-5</v>
      </c>
      <c r="R28" s="237">
        <v>0.05</v>
      </c>
      <c r="S28" s="274">
        <f t="shared" si="6"/>
        <v>2.5</v>
      </c>
      <c r="T28" s="432">
        <f t="shared" si="7"/>
        <v>5.0000000000000002E-5</v>
      </c>
      <c r="U28" s="237">
        <v>0.1</v>
      </c>
      <c r="V28" s="274">
        <f t="shared" si="8"/>
        <v>5</v>
      </c>
      <c r="W28" s="432">
        <f t="shared" si="9"/>
        <v>1E-4</v>
      </c>
      <c r="X28" s="277">
        <v>0.2</v>
      </c>
      <c r="Y28" s="274">
        <f t="shared" si="10"/>
        <v>10</v>
      </c>
      <c r="Z28" s="432">
        <f t="shared" si="11"/>
        <v>2.0000000000000001E-4</v>
      </c>
      <c r="AA28" s="586">
        <v>0.88159999999999994</v>
      </c>
      <c r="AB28" s="274">
        <f t="shared" si="12"/>
        <v>44.08</v>
      </c>
      <c r="AC28" s="432">
        <f t="shared" si="13"/>
        <v>8.8160000000000007E-4</v>
      </c>
      <c r="AD28" s="237">
        <v>0.63839999999999997</v>
      </c>
      <c r="AE28" s="274">
        <f t="shared" si="14"/>
        <v>31.919999999999998</v>
      </c>
      <c r="AF28" s="432">
        <f t="shared" si="15"/>
        <v>6.3840000000000001E-4</v>
      </c>
      <c r="AG28" s="255">
        <f t="shared" si="16"/>
        <v>100</v>
      </c>
      <c r="AH28" s="430">
        <f t="shared" si="17"/>
        <v>2E-3</v>
      </c>
      <c r="AI28" s="684">
        <f t="shared" si="18"/>
        <v>28</v>
      </c>
    </row>
    <row r="29" spans="1:35" s="684" customFormat="1" ht="15" customHeight="1" x14ac:dyDescent="0.25">
      <c r="A29" s="269"/>
      <c r="B29" s="279"/>
      <c r="C29" s="280" t="s">
        <v>42</v>
      </c>
      <c r="D29" s="173"/>
      <c r="E29" s="277"/>
      <c r="F29" s="281"/>
      <c r="G29" s="237"/>
      <c r="H29" s="432"/>
      <c r="I29" s="237"/>
      <c r="J29" s="237"/>
      <c r="K29" s="432"/>
      <c r="L29" s="237"/>
      <c r="M29" s="237"/>
      <c r="N29" s="432"/>
      <c r="O29" s="277"/>
      <c r="P29" s="274"/>
      <c r="Q29" s="432"/>
      <c r="R29" s="237"/>
      <c r="S29" s="274"/>
      <c r="T29" s="432"/>
      <c r="U29" s="237"/>
      <c r="V29" s="274"/>
      <c r="W29" s="432"/>
      <c r="X29" s="277"/>
      <c r="Y29" s="274"/>
      <c r="Z29" s="432"/>
      <c r="AA29" s="586"/>
      <c r="AB29" s="274"/>
      <c r="AC29" s="432"/>
      <c r="AD29" s="237"/>
      <c r="AE29" s="274"/>
      <c r="AF29" s="432"/>
      <c r="AG29" s="255"/>
    </row>
    <row r="30" spans="1:35" s="684" customFormat="1" ht="14.25" customHeight="1" x14ac:dyDescent="0.25">
      <c r="A30" s="269"/>
      <c r="B30" s="298">
        <v>3231201</v>
      </c>
      <c r="C30" s="128" t="s">
        <v>43</v>
      </c>
      <c r="D30" s="173" t="s">
        <v>122</v>
      </c>
      <c r="E30" s="277">
        <v>238.54</v>
      </c>
      <c r="F30" s="278" t="s">
        <v>23</v>
      </c>
      <c r="G30" s="237">
        <v>238.54</v>
      </c>
      <c r="H30" s="432">
        <v>2.33E-3</v>
      </c>
      <c r="I30" s="237">
        <v>0</v>
      </c>
      <c r="J30" s="237">
        <f t="shared" ref="J30:J42" si="19">I30/G30*100</f>
        <v>0</v>
      </c>
      <c r="K30" s="432">
        <f t="shared" ref="K30:K42" si="20">J30*$H30</f>
        <v>0</v>
      </c>
      <c r="L30" s="237">
        <v>0</v>
      </c>
      <c r="M30" s="237">
        <f t="shared" ref="M30:M42" si="21">L30/G30*100</f>
        <v>0</v>
      </c>
      <c r="N30" s="432">
        <f t="shared" ref="N30:N42" si="22">M30*$H30</f>
        <v>0</v>
      </c>
      <c r="O30" s="277">
        <v>0</v>
      </c>
      <c r="P30" s="274">
        <f t="shared" ref="P30:P42" si="23">O30/G30*100</f>
        <v>0</v>
      </c>
      <c r="Q30" s="432">
        <f t="shared" ref="Q30:Q42" si="24">P30*$H30</f>
        <v>0</v>
      </c>
      <c r="R30" s="237">
        <v>0</v>
      </c>
      <c r="S30" s="274">
        <f t="shared" ref="S30:S42" si="25">R30/G30*100</f>
        <v>0</v>
      </c>
      <c r="T30" s="432">
        <f t="shared" ref="T30:T42" si="26">S30*$H30</f>
        <v>0</v>
      </c>
      <c r="U30" s="237">
        <v>0</v>
      </c>
      <c r="V30" s="274">
        <f t="shared" ref="V30:V42" si="27">U30/G30*100</f>
        <v>0</v>
      </c>
      <c r="W30" s="432">
        <f t="shared" ref="W30:W42" si="28">V30*$H30</f>
        <v>0</v>
      </c>
      <c r="X30" s="277">
        <v>0</v>
      </c>
      <c r="Y30" s="274">
        <f t="shared" ref="Y30:Y42" si="29">X30/G30*100</f>
        <v>0</v>
      </c>
      <c r="Z30" s="432">
        <f t="shared" ref="Z30:Z42" si="30">Y30*$H30</f>
        <v>0</v>
      </c>
      <c r="AA30" s="586">
        <v>238.54</v>
      </c>
      <c r="AB30" s="274">
        <f t="shared" ref="AB30:AB42" si="31">AA30/G30*100</f>
        <v>100</v>
      </c>
      <c r="AC30" s="432">
        <f t="shared" ref="AC30:AC42" si="32">AB30*$H30</f>
        <v>0.23300000000000001</v>
      </c>
      <c r="AD30" s="237">
        <v>0</v>
      </c>
      <c r="AE30" s="274">
        <f t="shared" ref="AE30:AE42" si="33">AD30/G30*100</f>
        <v>0</v>
      </c>
      <c r="AF30" s="432">
        <f t="shared" ref="AF30:AF42" si="34">AE30*$H30</f>
        <v>0</v>
      </c>
      <c r="AG30" s="255">
        <f t="shared" ref="AG30:AG42" si="35">SUM(AE30+AB30+Y30+V30+S30+P30+M30+J30)</f>
        <v>100</v>
      </c>
      <c r="AH30" s="430">
        <f t="shared" ref="AH30:AH42" si="36">N30+Q30+T30+W30+Z30+AC30+AF30</f>
        <v>0.23300000000000001</v>
      </c>
      <c r="AI30" s="684">
        <f t="shared" ref="AI30:AI42" si="37">ROW(AH30)</f>
        <v>30</v>
      </c>
    </row>
    <row r="31" spans="1:35" s="684" customFormat="1" ht="16.5" customHeight="1" x14ac:dyDescent="0.25">
      <c r="A31" s="269"/>
      <c r="B31" s="298">
        <v>3231201</v>
      </c>
      <c r="C31" s="276" t="s">
        <v>44</v>
      </c>
      <c r="D31" s="179"/>
      <c r="E31" s="277">
        <v>536.58000000000004</v>
      </c>
      <c r="F31" s="278" t="s">
        <v>23</v>
      </c>
      <c r="G31" s="237">
        <v>536.58000000000004</v>
      </c>
      <c r="H31" s="432">
        <v>5.2500000000000003E-3</v>
      </c>
      <c r="I31" s="237">
        <v>0</v>
      </c>
      <c r="J31" s="237">
        <f t="shared" si="19"/>
        <v>0</v>
      </c>
      <c r="K31" s="432">
        <f t="shared" si="20"/>
        <v>0</v>
      </c>
      <c r="L31" s="237">
        <v>9.2200000000000006</v>
      </c>
      <c r="M31" s="237">
        <f t="shared" si="21"/>
        <v>1.7182899101718292</v>
      </c>
      <c r="N31" s="432">
        <f t="shared" si="22"/>
        <v>9.0210220284021037E-3</v>
      </c>
      <c r="O31" s="277">
        <v>29.86</v>
      </c>
      <c r="P31" s="274">
        <f t="shared" si="23"/>
        <v>5.5648738305564871</v>
      </c>
      <c r="Q31" s="432">
        <f t="shared" si="24"/>
        <v>2.9215587610421558E-2</v>
      </c>
      <c r="R31" s="237">
        <v>86.55</v>
      </c>
      <c r="S31" s="274">
        <f t="shared" si="25"/>
        <v>16.12993402661299</v>
      </c>
      <c r="T31" s="432">
        <f t="shared" si="26"/>
        <v>8.4682153639718205E-2</v>
      </c>
      <c r="U31" s="237">
        <v>175.87</v>
      </c>
      <c r="V31" s="274">
        <f t="shared" si="27"/>
        <v>32.776100488277606</v>
      </c>
      <c r="W31" s="432">
        <f t="shared" si="28"/>
        <v>0.17207452756345745</v>
      </c>
      <c r="X31" s="277">
        <v>196.17</v>
      </c>
      <c r="Y31" s="274">
        <f t="shared" si="29"/>
        <v>36.559320138655927</v>
      </c>
      <c r="Z31" s="432">
        <f t="shared" si="30"/>
        <v>0.19193643072794364</v>
      </c>
      <c r="AA31" s="586">
        <v>23.34600000000005</v>
      </c>
      <c r="AB31" s="274">
        <f t="shared" si="31"/>
        <v>4.3508889634350973</v>
      </c>
      <c r="AC31" s="432">
        <f t="shared" si="32"/>
        <v>2.2842167058034261E-2</v>
      </c>
      <c r="AD31" s="237">
        <v>15.56400000000003</v>
      </c>
      <c r="AE31" s="274">
        <f t="shared" si="33"/>
        <v>2.9005926422900647</v>
      </c>
      <c r="AF31" s="432">
        <f t="shared" si="34"/>
        <v>1.522811137202284E-2</v>
      </c>
      <c r="AG31" s="255">
        <f t="shared" si="35"/>
        <v>100.00000000000001</v>
      </c>
      <c r="AH31" s="430">
        <f t="shared" si="36"/>
        <v>0.52500000000000002</v>
      </c>
      <c r="AI31" s="684">
        <f t="shared" si="37"/>
        <v>31</v>
      </c>
    </row>
    <row r="32" spans="1:35" s="684" customFormat="1" ht="24" customHeight="1" x14ac:dyDescent="0.25">
      <c r="A32" s="269"/>
      <c r="B32" s="298">
        <v>3231201</v>
      </c>
      <c r="C32" s="282" t="s">
        <v>45</v>
      </c>
      <c r="D32" s="179"/>
      <c r="E32" s="277">
        <v>3139.8</v>
      </c>
      <c r="F32" s="278" t="s">
        <v>23</v>
      </c>
      <c r="G32" s="237">
        <v>3139.8</v>
      </c>
      <c r="H32" s="432">
        <v>3.0700000000000002E-2</v>
      </c>
      <c r="I32" s="237">
        <v>0</v>
      </c>
      <c r="J32" s="237">
        <f t="shared" si="19"/>
        <v>0</v>
      </c>
      <c r="K32" s="432">
        <f t="shared" si="20"/>
        <v>0</v>
      </c>
      <c r="L32" s="237">
        <v>0</v>
      </c>
      <c r="M32" s="237">
        <f t="shared" si="21"/>
        <v>0</v>
      </c>
      <c r="N32" s="432">
        <f t="shared" si="22"/>
        <v>0</v>
      </c>
      <c r="O32" s="277">
        <v>199.49</v>
      </c>
      <c r="P32" s="274">
        <f t="shared" si="23"/>
        <v>6.3535894005987634</v>
      </c>
      <c r="Q32" s="432">
        <f t="shared" si="24"/>
        <v>0.19505519459838205</v>
      </c>
      <c r="R32" s="237">
        <v>524.89</v>
      </c>
      <c r="S32" s="274">
        <f t="shared" si="25"/>
        <v>16.717306834830243</v>
      </c>
      <c r="T32" s="432">
        <f t="shared" si="26"/>
        <v>0.51322131982928854</v>
      </c>
      <c r="U32" s="237">
        <v>622.25</v>
      </c>
      <c r="V32" s="274">
        <f t="shared" si="27"/>
        <v>19.818141282884259</v>
      </c>
      <c r="W32" s="432">
        <f t="shared" si="28"/>
        <v>0.60841693738454683</v>
      </c>
      <c r="X32" s="277">
        <v>677.14</v>
      </c>
      <c r="Y32" s="274">
        <f t="shared" si="29"/>
        <v>21.56634180521052</v>
      </c>
      <c r="Z32" s="432">
        <f t="shared" si="30"/>
        <v>0.66208669341996296</v>
      </c>
      <c r="AA32" s="586">
        <v>703.09890000000019</v>
      </c>
      <c r="AB32" s="274">
        <f t="shared" si="31"/>
        <v>22.393111026180016</v>
      </c>
      <c r="AC32" s="432">
        <f t="shared" si="32"/>
        <v>0.68746850850372654</v>
      </c>
      <c r="AD32" s="237">
        <v>412.93110000000007</v>
      </c>
      <c r="AE32" s="274">
        <f t="shared" si="33"/>
        <v>13.151509650296198</v>
      </c>
      <c r="AF32" s="432">
        <f t="shared" si="34"/>
        <v>0.40375134626409331</v>
      </c>
      <c r="AG32" s="255">
        <f t="shared" si="35"/>
        <v>100</v>
      </c>
      <c r="AH32" s="430">
        <f t="shared" si="36"/>
        <v>3.07</v>
      </c>
      <c r="AI32" s="684">
        <f t="shared" si="37"/>
        <v>32</v>
      </c>
    </row>
    <row r="33" spans="1:35" s="684" customFormat="1" ht="27" customHeight="1" x14ac:dyDescent="0.25">
      <c r="A33" s="269"/>
      <c r="B33" s="298">
        <v>3231201</v>
      </c>
      <c r="C33" s="282" t="s">
        <v>46</v>
      </c>
      <c r="D33" s="179"/>
      <c r="E33" s="277">
        <v>1321.68</v>
      </c>
      <c r="F33" s="278" t="s">
        <v>23</v>
      </c>
      <c r="G33" s="237">
        <v>1321.68</v>
      </c>
      <c r="H33" s="432">
        <v>1.2919999999999999E-2</v>
      </c>
      <c r="I33" s="237">
        <v>0</v>
      </c>
      <c r="J33" s="237">
        <f t="shared" si="19"/>
        <v>0</v>
      </c>
      <c r="K33" s="432">
        <f t="shared" si="20"/>
        <v>0</v>
      </c>
      <c r="L33" s="237">
        <v>0</v>
      </c>
      <c r="M33" s="237">
        <f t="shared" si="21"/>
        <v>0</v>
      </c>
      <c r="N33" s="432">
        <f t="shared" si="22"/>
        <v>0</v>
      </c>
      <c r="O33" s="277">
        <v>119.7</v>
      </c>
      <c r="P33" s="274">
        <f t="shared" si="23"/>
        <v>9.0566551661521686</v>
      </c>
      <c r="Q33" s="432">
        <f t="shared" si="24"/>
        <v>0.117011984746686</v>
      </c>
      <c r="R33" s="237">
        <v>224.29</v>
      </c>
      <c r="S33" s="274">
        <f t="shared" si="25"/>
        <v>16.970068397796741</v>
      </c>
      <c r="T33" s="432">
        <f t="shared" si="26"/>
        <v>0.21925328369953387</v>
      </c>
      <c r="U33" s="237">
        <v>234.21</v>
      </c>
      <c r="V33" s="274">
        <f t="shared" si="27"/>
        <v>17.720628291265662</v>
      </c>
      <c r="W33" s="432">
        <f t="shared" si="28"/>
        <v>0.22895051752315235</v>
      </c>
      <c r="X33" s="277">
        <v>246.66</v>
      </c>
      <c r="Y33" s="274">
        <f t="shared" si="29"/>
        <v>18.662611222080987</v>
      </c>
      <c r="Z33" s="432">
        <f t="shared" si="30"/>
        <v>0.24112093698928633</v>
      </c>
      <c r="AA33" s="586">
        <v>273.25099999999998</v>
      </c>
      <c r="AB33" s="274">
        <f t="shared" si="31"/>
        <v>20.674520307487438</v>
      </c>
      <c r="AC33" s="432">
        <f t="shared" si="32"/>
        <v>0.26711480237273766</v>
      </c>
      <c r="AD33" s="237">
        <v>223.56899999999999</v>
      </c>
      <c r="AE33" s="274">
        <f t="shared" si="33"/>
        <v>16.915516615216994</v>
      </c>
      <c r="AF33" s="432">
        <f t="shared" si="34"/>
        <v>0.21854847466860355</v>
      </c>
      <c r="AG33" s="255">
        <f t="shared" si="35"/>
        <v>99.999999999999972</v>
      </c>
      <c r="AH33" s="430">
        <f t="shared" si="36"/>
        <v>1.2919999999999996</v>
      </c>
      <c r="AI33" s="684">
        <f t="shared" si="37"/>
        <v>33</v>
      </c>
    </row>
    <row r="34" spans="1:35" s="684" customFormat="1" ht="18" customHeight="1" x14ac:dyDescent="0.25">
      <c r="A34" s="269"/>
      <c r="B34" s="275">
        <v>3211109</v>
      </c>
      <c r="C34" s="276" t="s">
        <v>47</v>
      </c>
      <c r="D34" s="173" t="s">
        <v>50</v>
      </c>
      <c r="E34" s="277">
        <v>22</v>
      </c>
      <c r="F34" s="278" t="s">
        <v>23</v>
      </c>
      <c r="G34" s="237">
        <v>22</v>
      </c>
      <c r="H34" s="432">
        <v>2.2000000000000001E-4</v>
      </c>
      <c r="I34" s="237">
        <v>0.25</v>
      </c>
      <c r="J34" s="237">
        <f t="shared" si="19"/>
        <v>1.1363636363636365</v>
      </c>
      <c r="K34" s="432">
        <f t="shared" si="20"/>
        <v>2.5000000000000001E-4</v>
      </c>
      <c r="L34" s="237">
        <v>2.11</v>
      </c>
      <c r="M34" s="237">
        <f t="shared" si="21"/>
        <v>9.5909090909090899</v>
      </c>
      <c r="N34" s="432">
        <f t="shared" si="22"/>
        <v>2.1099999999999999E-3</v>
      </c>
      <c r="O34" s="277">
        <v>2.35</v>
      </c>
      <c r="P34" s="274">
        <f t="shared" si="23"/>
        <v>10.681818181818183</v>
      </c>
      <c r="Q34" s="432">
        <f t="shared" si="24"/>
        <v>2.3500000000000005E-3</v>
      </c>
      <c r="R34" s="237">
        <v>2</v>
      </c>
      <c r="S34" s="274">
        <f t="shared" si="25"/>
        <v>9.0909090909090917</v>
      </c>
      <c r="T34" s="432">
        <f t="shared" si="26"/>
        <v>2E-3</v>
      </c>
      <c r="U34" s="237">
        <v>4.25</v>
      </c>
      <c r="V34" s="274">
        <f t="shared" si="27"/>
        <v>19.318181818181817</v>
      </c>
      <c r="W34" s="432">
        <f t="shared" si="28"/>
        <v>4.2499999999999994E-3</v>
      </c>
      <c r="X34" s="277">
        <v>3.5</v>
      </c>
      <c r="Y34" s="274">
        <f t="shared" si="29"/>
        <v>15.909090909090908</v>
      </c>
      <c r="Z34" s="432">
        <f t="shared" si="30"/>
        <v>3.5000000000000001E-3</v>
      </c>
      <c r="AA34" s="586">
        <v>4.6747999999999994</v>
      </c>
      <c r="AB34" s="274">
        <f t="shared" si="31"/>
        <v>21.249090909090906</v>
      </c>
      <c r="AC34" s="432">
        <f t="shared" si="32"/>
        <v>4.6747999999999998E-3</v>
      </c>
      <c r="AD34" s="237">
        <v>2.8652000000000002</v>
      </c>
      <c r="AE34" s="274">
        <f t="shared" si="33"/>
        <v>13.023636363636365</v>
      </c>
      <c r="AF34" s="432">
        <f t="shared" si="34"/>
        <v>2.8652000000000005E-3</v>
      </c>
      <c r="AG34" s="255">
        <f t="shared" si="35"/>
        <v>100.00000000000001</v>
      </c>
      <c r="AH34" s="430">
        <f t="shared" si="36"/>
        <v>2.1750000000000002E-2</v>
      </c>
      <c r="AI34" s="684">
        <f t="shared" si="37"/>
        <v>34</v>
      </c>
    </row>
    <row r="35" spans="1:35" s="684" customFormat="1" ht="18.75" customHeight="1" x14ac:dyDescent="0.25">
      <c r="A35" s="269"/>
      <c r="B35" s="275">
        <v>3256103</v>
      </c>
      <c r="C35" s="276" t="s">
        <v>48</v>
      </c>
      <c r="D35" s="173"/>
      <c r="E35" s="277">
        <v>15</v>
      </c>
      <c r="F35" s="278" t="s">
        <v>23</v>
      </c>
      <c r="G35" s="237">
        <v>15</v>
      </c>
      <c r="H35" s="432">
        <v>1.4999999999999999E-4</v>
      </c>
      <c r="I35" s="237">
        <v>0</v>
      </c>
      <c r="J35" s="237">
        <f t="shared" si="19"/>
        <v>0</v>
      </c>
      <c r="K35" s="432">
        <f t="shared" si="20"/>
        <v>0</v>
      </c>
      <c r="L35" s="237">
        <v>0.99</v>
      </c>
      <c r="M35" s="237">
        <f t="shared" si="21"/>
        <v>6.6000000000000005</v>
      </c>
      <c r="N35" s="432">
        <f t="shared" si="22"/>
        <v>9.8999999999999999E-4</v>
      </c>
      <c r="O35" s="277">
        <v>0.75</v>
      </c>
      <c r="P35" s="274">
        <f t="shared" si="23"/>
        <v>5</v>
      </c>
      <c r="Q35" s="432">
        <f t="shared" si="24"/>
        <v>7.4999999999999991E-4</v>
      </c>
      <c r="R35" s="237">
        <v>1</v>
      </c>
      <c r="S35" s="274">
        <f t="shared" si="25"/>
        <v>6.666666666666667</v>
      </c>
      <c r="T35" s="432">
        <f t="shared" si="26"/>
        <v>1E-3</v>
      </c>
      <c r="U35" s="237">
        <v>1</v>
      </c>
      <c r="V35" s="274">
        <f t="shared" si="27"/>
        <v>6.666666666666667</v>
      </c>
      <c r="W35" s="432">
        <f t="shared" si="28"/>
        <v>1E-3</v>
      </c>
      <c r="X35" s="277">
        <v>3</v>
      </c>
      <c r="Y35" s="274">
        <f t="shared" si="29"/>
        <v>20</v>
      </c>
      <c r="Z35" s="432">
        <f t="shared" si="30"/>
        <v>2.9999999999999996E-3</v>
      </c>
      <c r="AA35" s="586">
        <v>4.7907999999999999</v>
      </c>
      <c r="AB35" s="274">
        <f t="shared" si="31"/>
        <v>31.938666666666666</v>
      </c>
      <c r="AC35" s="432">
        <f t="shared" si="32"/>
        <v>4.7907999999999996E-3</v>
      </c>
      <c r="AD35" s="237">
        <v>3.4691999999999998</v>
      </c>
      <c r="AE35" s="274">
        <f t="shared" si="33"/>
        <v>23.128</v>
      </c>
      <c r="AF35" s="432">
        <f t="shared" si="34"/>
        <v>3.4691999999999995E-3</v>
      </c>
      <c r="AG35" s="255">
        <f t="shared" si="35"/>
        <v>100</v>
      </c>
      <c r="AH35" s="430">
        <f t="shared" si="36"/>
        <v>1.4999999999999999E-2</v>
      </c>
      <c r="AI35" s="684">
        <f t="shared" si="37"/>
        <v>35</v>
      </c>
    </row>
    <row r="36" spans="1:35" s="684" customFormat="1" ht="26.25" customHeight="1" x14ac:dyDescent="0.25">
      <c r="A36" s="269"/>
      <c r="B36" s="650">
        <v>3257101</v>
      </c>
      <c r="C36" s="649" t="s">
        <v>49</v>
      </c>
      <c r="D36" s="283" t="s">
        <v>50</v>
      </c>
      <c r="E36" s="277">
        <v>0</v>
      </c>
      <c r="F36" s="284" t="s">
        <v>52</v>
      </c>
      <c r="G36" s="237">
        <v>7901.4</v>
      </c>
      <c r="H36" s="432">
        <v>7.7270000000000005E-2</v>
      </c>
      <c r="I36" s="237">
        <v>849.67499999999995</v>
      </c>
      <c r="J36" s="237">
        <f t="shared" si="19"/>
        <v>10.753474067886703</v>
      </c>
      <c r="K36" s="432">
        <f t="shared" si="20"/>
        <v>0.83092094122560556</v>
      </c>
      <c r="L36" s="237">
        <v>1819.425</v>
      </c>
      <c r="M36" s="237">
        <f t="shared" si="21"/>
        <v>23.026615536487206</v>
      </c>
      <c r="N36" s="432">
        <f t="shared" si="22"/>
        <v>1.7792665825043665</v>
      </c>
      <c r="O36" s="277">
        <v>1123.1500000000001</v>
      </c>
      <c r="P36" s="274">
        <f t="shared" si="23"/>
        <v>14.214569569949632</v>
      </c>
      <c r="Q36" s="432">
        <f t="shared" si="24"/>
        <v>1.098359790670008</v>
      </c>
      <c r="R36" s="237">
        <v>689.33</v>
      </c>
      <c r="S36" s="274">
        <f t="shared" si="25"/>
        <v>8.7241501506062225</v>
      </c>
      <c r="T36" s="432">
        <f t="shared" si="26"/>
        <v>0.67411508213734284</v>
      </c>
      <c r="U36" s="237">
        <v>686.43</v>
      </c>
      <c r="V36" s="274">
        <f t="shared" si="27"/>
        <v>8.6874477940618124</v>
      </c>
      <c r="W36" s="432">
        <f t="shared" si="28"/>
        <v>0.67127909104715633</v>
      </c>
      <c r="X36" s="277">
        <v>500</v>
      </c>
      <c r="Y36" s="274">
        <f t="shared" si="29"/>
        <v>6.3279925076568713</v>
      </c>
      <c r="Z36" s="432">
        <f t="shared" si="30"/>
        <v>0.48896398106664646</v>
      </c>
      <c r="AA36" s="586">
        <v>1362.3679</v>
      </c>
      <c r="AB36" s="274">
        <f t="shared" si="31"/>
        <v>17.24210772774445</v>
      </c>
      <c r="AC36" s="432">
        <f t="shared" si="32"/>
        <v>1.3322976641228137</v>
      </c>
      <c r="AD36" s="237">
        <v>871.0220999999998</v>
      </c>
      <c r="AE36" s="274">
        <f t="shared" si="33"/>
        <v>11.023642645607106</v>
      </c>
      <c r="AF36" s="432">
        <f t="shared" si="34"/>
        <v>0.85179686722606118</v>
      </c>
      <c r="AG36" s="255">
        <f t="shared" si="35"/>
        <v>100.00000000000001</v>
      </c>
      <c r="AH36" s="430">
        <f t="shared" si="36"/>
        <v>6.8960790587743945</v>
      </c>
      <c r="AI36" s="684">
        <f t="shared" si="37"/>
        <v>36</v>
      </c>
    </row>
    <row r="37" spans="1:35" s="684" customFormat="1" ht="17.25" customHeight="1" x14ac:dyDescent="0.25">
      <c r="A37" s="269"/>
      <c r="B37" s="651">
        <v>3111332</v>
      </c>
      <c r="C37" s="276" t="s">
        <v>53</v>
      </c>
      <c r="D37" s="173" t="s">
        <v>191</v>
      </c>
      <c r="E37" s="277">
        <v>30</v>
      </c>
      <c r="F37" s="278" t="s">
        <v>23</v>
      </c>
      <c r="G37" s="237">
        <v>30</v>
      </c>
      <c r="H37" s="432">
        <v>2.9E-4</v>
      </c>
      <c r="I37" s="237">
        <v>0.4</v>
      </c>
      <c r="J37" s="237">
        <f t="shared" si="19"/>
        <v>1.3333333333333335</v>
      </c>
      <c r="K37" s="432">
        <f t="shared" si="20"/>
        <v>3.8666666666666672E-4</v>
      </c>
      <c r="L37" s="237">
        <v>1.33</v>
      </c>
      <c r="M37" s="237">
        <f t="shared" si="21"/>
        <v>4.4333333333333336</v>
      </c>
      <c r="N37" s="432">
        <f t="shared" si="22"/>
        <v>1.2856666666666667E-3</v>
      </c>
      <c r="O37" s="277">
        <v>1.5</v>
      </c>
      <c r="P37" s="274">
        <f t="shared" si="23"/>
        <v>5</v>
      </c>
      <c r="Q37" s="432">
        <f t="shared" si="24"/>
        <v>1.4499999999999999E-3</v>
      </c>
      <c r="R37" s="237">
        <v>4.5</v>
      </c>
      <c r="S37" s="274">
        <f t="shared" si="25"/>
        <v>15</v>
      </c>
      <c r="T37" s="432">
        <f t="shared" si="26"/>
        <v>4.3499999999999997E-3</v>
      </c>
      <c r="U37" s="237">
        <v>5</v>
      </c>
      <c r="V37" s="274">
        <f t="shared" si="27"/>
        <v>16.666666666666664</v>
      </c>
      <c r="W37" s="432">
        <f t="shared" si="28"/>
        <v>4.8333333333333327E-3</v>
      </c>
      <c r="X37" s="277">
        <v>5</v>
      </c>
      <c r="Y37" s="274">
        <f t="shared" si="29"/>
        <v>16.666666666666664</v>
      </c>
      <c r="Z37" s="432">
        <f t="shared" si="30"/>
        <v>4.8333333333333327E-3</v>
      </c>
      <c r="AA37" s="586">
        <v>7.1165999999999991</v>
      </c>
      <c r="AB37" s="274">
        <f t="shared" si="31"/>
        <v>23.721999999999994</v>
      </c>
      <c r="AC37" s="432">
        <f t="shared" si="32"/>
        <v>6.8793799999999983E-3</v>
      </c>
      <c r="AD37" s="237">
        <v>5.1534000000000004</v>
      </c>
      <c r="AE37" s="274">
        <f t="shared" si="33"/>
        <v>17.178000000000001</v>
      </c>
      <c r="AF37" s="432">
        <f t="shared" si="34"/>
        <v>4.98162E-3</v>
      </c>
      <c r="AG37" s="255">
        <f t="shared" si="35"/>
        <v>99.999999999999986</v>
      </c>
      <c r="AH37" s="430">
        <f t="shared" si="36"/>
        <v>2.8613333333333327E-2</v>
      </c>
      <c r="AI37" s="684">
        <f t="shared" si="37"/>
        <v>37</v>
      </c>
    </row>
    <row r="38" spans="1:35" s="684" customFormat="1" ht="15.75" customHeight="1" x14ac:dyDescent="0.25">
      <c r="A38" s="269"/>
      <c r="B38" s="650">
        <v>3111332</v>
      </c>
      <c r="C38" s="276" t="s">
        <v>54</v>
      </c>
      <c r="D38" s="173" t="s">
        <v>191</v>
      </c>
      <c r="E38" s="277">
        <v>10</v>
      </c>
      <c r="F38" s="278" t="s">
        <v>23</v>
      </c>
      <c r="G38" s="237">
        <v>10</v>
      </c>
      <c r="H38" s="432">
        <v>1E-4</v>
      </c>
      <c r="I38" s="237">
        <v>0</v>
      </c>
      <c r="J38" s="237">
        <f t="shared" si="19"/>
        <v>0</v>
      </c>
      <c r="K38" s="432">
        <f t="shared" si="20"/>
        <v>0</v>
      </c>
      <c r="L38" s="237">
        <v>0</v>
      </c>
      <c r="M38" s="237">
        <f t="shared" si="21"/>
        <v>0</v>
      </c>
      <c r="N38" s="432">
        <f t="shared" si="22"/>
        <v>0</v>
      </c>
      <c r="O38" s="277">
        <v>0.27</v>
      </c>
      <c r="P38" s="274">
        <f t="shared" si="23"/>
        <v>2.7</v>
      </c>
      <c r="Q38" s="432">
        <f t="shared" si="24"/>
        <v>2.7000000000000006E-4</v>
      </c>
      <c r="R38" s="237">
        <v>0.25</v>
      </c>
      <c r="S38" s="274">
        <f t="shared" si="25"/>
        <v>2.5</v>
      </c>
      <c r="T38" s="432">
        <f t="shared" si="26"/>
        <v>2.5000000000000001E-4</v>
      </c>
      <c r="U38" s="237">
        <v>0.77</v>
      </c>
      <c r="V38" s="274">
        <f t="shared" si="27"/>
        <v>7.7</v>
      </c>
      <c r="W38" s="432">
        <f t="shared" si="28"/>
        <v>7.7000000000000007E-4</v>
      </c>
      <c r="X38" s="277">
        <v>1</v>
      </c>
      <c r="Y38" s="274">
        <f t="shared" si="29"/>
        <v>10</v>
      </c>
      <c r="Z38" s="432">
        <f t="shared" si="30"/>
        <v>1E-3</v>
      </c>
      <c r="AA38" s="586">
        <v>7.71</v>
      </c>
      <c r="AB38" s="274">
        <f t="shared" si="31"/>
        <v>77.100000000000009</v>
      </c>
      <c r="AC38" s="432">
        <f t="shared" si="32"/>
        <v>7.7100000000000016E-3</v>
      </c>
      <c r="AD38" s="237">
        <v>0</v>
      </c>
      <c r="AE38" s="274">
        <f t="shared" si="33"/>
        <v>0</v>
      </c>
      <c r="AF38" s="432">
        <f t="shared" si="34"/>
        <v>0</v>
      </c>
      <c r="AG38" s="255">
        <f t="shared" si="35"/>
        <v>100.00000000000001</v>
      </c>
      <c r="AH38" s="430">
        <f t="shared" si="36"/>
        <v>1.0000000000000002E-2</v>
      </c>
      <c r="AI38" s="684">
        <f t="shared" si="37"/>
        <v>38</v>
      </c>
    </row>
    <row r="39" spans="1:35" s="684" customFormat="1" ht="13.5" customHeight="1" x14ac:dyDescent="0.25">
      <c r="A39" s="269"/>
      <c r="B39" s="650">
        <v>3111332</v>
      </c>
      <c r="C39" s="276" t="s">
        <v>55</v>
      </c>
      <c r="D39" s="173" t="s">
        <v>191</v>
      </c>
      <c r="E39" s="277">
        <v>10</v>
      </c>
      <c r="F39" s="278" t="s">
        <v>23</v>
      </c>
      <c r="G39" s="237">
        <v>10</v>
      </c>
      <c r="H39" s="432">
        <v>1E-4</v>
      </c>
      <c r="I39" s="237">
        <v>0</v>
      </c>
      <c r="J39" s="237">
        <f t="shared" si="19"/>
        <v>0</v>
      </c>
      <c r="K39" s="432">
        <f t="shared" si="20"/>
        <v>0</v>
      </c>
      <c r="L39" s="237">
        <v>0</v>
      </c>
      <c r="M39" s="237">
        <f t="shared" si="21"/>
        <v>0</v>
      </c>
      <c r="N39" s="432">
        <f t="shared" si="22"/>
        <v>0</v>
      </c>
      <c r="O39" s="277">
        <v>0.3</v>
      </c>
      <c r="P39" s="274">
        <f t="shared" si="23"/>
        <v>3</v>
      </c>
      <c r="Q39" s="432">
        <f t="shared" si="24"/>
        <v>3.0000000000000003E-4</v>
      </c>
      <c r="R39" s="237">
        <v>0.25</v>
      </c>
      <c r="S39" s="274">
        <f t="shared" si="25"/>
        <v>2.5</v>
      </c>
      <c r="T39" s="432">
        <f t="shared" si="26"/>
        <v>2.5000000000000001E-4</v>
      </c>
      <c r="U39" s="237">
        <v>0.75</v>
      </c>
      <c r="V39" s="274">
        <f t="shared" si="27"/>
        <v>7.5</v>
      </c>
      <c r="W39" s="432">
        <f t="shared" si="28"/>
        <v>7.5000000000000002E-4</v>
      </c>
      <c r="X39" s="277">
        <v>1</v>
      </c>
      <c r="Y39" s="274">
        <f t="shared" si="29"/>
        <v>10</v>
      </c>
      <c r="Z39" s="432">
        <f t="shared" si="30"/>
        <v>1E-3</v>
      </c>
      <c r="AA39" s="586">
        <v>4.774</v>
      </c>
      <c r="AB39" s="274">
        <f t="shared" si="31"/>
        <v>47.74</v>
      </c>
      <c r="AC39" s="432">
        <f t="shared" si="32"/>
        <v>4.7740000000000005E-3</v>
      </c>
      <c r="AD39" s="237">
        <v>2.9260000000000002</v>
      </c>
      <c r="AE39" s="274">
        <f t="shared" si="33"/>
        <v>29.26</v>
      </c>
      <c r="AF39" s="432">
        <f t="shared" si="34"/>
        <v>2.9260000000000002E-3</v>
      </c>
      <c r="AG39" s="255">
        <f t="shared" si="35"/>
        <v>100</v>
      </c>
      <c r="AH39" s="430">
        <f t="shared" si="36"/>
        <v>0.01</v>
      </c>
      <c r="AI39" s="684">
        <f t="shared" si="37"/>
        <v>39</v>
      </c>
    </row>
    <row r="40" spans="1:35" s="684" customFormat="1" ht="18" customHeight="1" x14ac:dyDescent="0.25">
      <c r="A40" s="269"/>
      <c r="B40" s="650">
        <v>3257104</v>
      </c>
      <c r="C40" s="276" t="s">
        <v>56</v>
      </c>
      <c r="D40" s="173" t="s">
        <v>191</v>
      </c>
      <c r="E40" s="277">
        <v>162</v>
      </c>
      <c r="F40" s="278" t="s">
        <v>23</v>
      </c>
      <c r="G40" s="237">
        <v>162</v>
      </c>
      <c r="H40" s="432">
        <v>1.58E-3</v>
      </c>
      <c r="I40" s="237">
        <v>0</v>
      </c>
      <c r="J40" s="237">
        <f t="shared" si="19"/>
        <v>0</v>
      </c>
      <c r="K40" s="432">
        <f t="shared" si="20"/>
        <v>0</v>
      </c>
      <c r="L40" s="237">
        <v>7.62</v>
      </c>
      <c r="M40" s="237">
        <f t="shared" si="21"/>
        <v>4.7037037037037033</v>
      </c>
      <c r="N40" s="432">
        <f t="shared" si="22"/>
        <v>7.4318518518518509E-3</v>
      </c>
      <c r="O40" s="277">
        <v>17.47</v>
      </c>
      <c r="P40" s="274">
        <f t="shared" si="23"/>
        <v>10.783950617283949</v>
      </c>
      <c r="Q40" s="432">
        <f t="shared" si="24"/>
        <v>1.703864197530864E-2</v>
      </c>
      <c r="R40" s="237">
        <v>30</v>
      </c>
      <c r="S40" s="274">
        <f t="shared" si="25"/>
        <v>18.518518518518519</v>
      </c>
      <c r="T40" s="432">
        <f t="shared" si="26"/>
        <v>2.9259259259259259E-2</v>
      </c>
      <c r="U40" s="237">
        <v>29.93</v>
      </c>
      <c r="V40" s="274">
        <f t="shared" si="27"/>
        <v>18.475308641975307</v>
      </c>
      <c r="W40" s="432">
        <f t="shared" si="28"/>
        <v>2.9190987654320984E-2</v>
      </c>
      <c r="X40" s="277">
        <v>50</v>
      </c>
      <c r="Y40" s="274">
        <f t="shared" si="29"/>
        <v>30.864197530864196</v>
      </c>
      <c r="Z40" s="432">
        <f t="shared" si="30"/>
        <v>4.8765432098765431E-2</v>
      </c>
      <c r="AA40" s="586">
        <v>15.37859999999999</v>
      </c>
      <c r="AB40" s="274">
        <f t="shared" si="31"/>
        <v>9.4929629629629577</v>
      </c>
      <c r="AC40" s="432">
        <f t="shared" si="32"/>
        <v>1.4998881481481473E-2</v>
      </c>
      <c r="AD40" s="237">
        <v>11.601399999999989</v>
      </c>
      <c r="AE40" s="274">
        <f t="shared" si="33"/>
        <v>7.1613580246913511</v>
      </c>
      <c r="AF40" s="432">
        <f t="shared" si="34"/>
        <v>1.1314945679012334E-2</v>
      </c>
      <c r="AG40" s="255">
        <f t="shared" si="35"/>
        <v>99.999999999999986</v>
      </c>
      <c r="AH40" s="430">
        <f t="shared" si="36"/>
        <v>0.158</v>
      </c>
      <c r="AI40" s="684">
        <f t="shared" si="37"/>
        <v>40</v>
      </c>
    </row>
    <row r="41" spans="1:35" s="684" customFormat="1" ht="20.25" customHeight="1" x14ac:dyDescent="0.25">
      <c r="A41" s="269"/>
      <c r="B41" s="650">
        <v>3255101</v>
      </c>
      <c r="C41" s="276" t="s">
        <v>57</v>
      </c>
      <c r="D41" s="173" t="s">
        <v>191</v>
      </c>
      <c r="E41" s="277">
        <v>60</v>
      </c>
      <c r="F41" s="278" t="s">
        <v>23</v>
      </c>
      <c r="G41" s="237">
        <v>60</v>
      </c>
      <c r="H41" s="432">
        <v>5.9000000000000003E-4</v>
      </c>
      <c r="I41" s="237">
        <v>0.49099999999999999</v>
      </c>
      <c r="J41" s="237">
        <f t="shared" si="19"/>
        <v>0.81833333333333325</v>
      </c>
      <c r="K41" s="432">
        <f t="shared" si="20"/>
        <v>4.8281666666666665E-4</v>
      </c>
      <c r="L41" s="237">
        <v>1.4990000000000001</v>
      </c>
      <c r="M41" s="237">
        <f t="shared" si="21"/>
        <v>2.4983333333333335</v>
      </c>
      <c r="N41" s="432">
        <f t="shared" si="22"/>
        <v>1.4740166666666668E-3</v>
      </c>
      <c r="O41" s="277">
        <v>4.5</v>
      </c>
      <c r="P41" s="274">
        <f t="shared" si="23"/>
        <v>7.5</v>
      </c>
      <c r="Q41" s="432">
        <f t="shared" si="24"/>
        <v>4.4250000000000001E-3</v>
      </c>
      <c r="R41" s="237">
        <v>6.48</v>
      </c>
      <c r="S41" s="274">
        <f t="shared" si="25"/>
        <v>10.8</v>
      </c>
      <c r="T41" s="432">
        <f t="shared" si="26"/>
        <v>6.3720000000000009E-3</v>
      </c>
      <c r="U41" s="237">
        <v>7.5</v>
      </c>
      <c r="V41" s="274">
        <f t="shared" si="27"/>
        <v>12.5</v>
      </c>
      <c r="W41" s="432">
        <f t="shared" si="28"/>
        <v>7.3750000000000005E-3</v>
      </c>
      <c r="X41" s="277">
        <v>10</v>
      </c>
      <c r="Y41" s="274">
        <f t="shared" si="29"/>
        <v>16.666666666666664</v>
      </c>
      <c r="Z41" s="432">
        <f t="shared" si="30"/>
        <v>9.8333333333333328E-3</v>
      </c>
      <c r="AA41" s="586">
        <v>16.241499999999998</v>
      </c>
      <c r="AB41" s="274">
        <f t="shared" si="31"/>
        <v>27.069166666666668</v>
      </c>
      <c r="AC41" s="432">
        <f t="shared" si="32"/>
        <v>1.5970808333333336E-2</v>
      </c>
      <c r="AD41" s="237">
        <v>13.288500000000001</v>
      </c>
      <c r="AE41" s="274">
        <f t="shared" si="33"/>
        <v>22.147500000000001</v>
      </c>
      <c r="AF41" s="432">
        <f t="shared" si="34"/>
        <v>1.3067025000000001E-2</v>
      </c>
      <c r="AG41" s="255">
        <f t="shared" si="35"/>
        <v>99.999999999999986</v>
      </c>
      <c r="AH41" s="430">
        <f t="shared" si="36"/>
        <v>5.851718333333334E-2</v>
      </c>
      <c r="AI41" s="684">
        <f t="shared" si="37"/>
        <v>41</v>
      </c>
    </row>
    <row r="42" spans="1:35" s="684" customFormat="1" ht="17.25" customHeight="1" x14ac:dyDescent="0.25">
      <c r="A42" s="269"/>
      <c r="B42" s="650">
        <v>3256101</v>
      </c>
      <c r="C42" s="276" t="s">
        <v>58</v>
      </c>
      <c r="D42" s="173" t="s">
        <v>191</v>
      </c>
      <c r="E42" s="277">
        <v>1700</v>
      </c>
      <c r="F42" s="278" t="s">
        <v>23</v>
      </c>
      <c r="G42" s="237">
        <v>1700</v>
      </c>
      <c r="H42" s="432">
        <v>1.6619999999999999E-2</v>
      </c>
      <c r="I42" s="237">
        <v>0</v>
      </c>
      <c r="J42" s="237">
        <f t="shared" si="19"/>
        <v>0</v>
      </c>
      <c r="K42" s="432">
        <f t="shared" si="20"/>
        <v>0</v>
      </c>
      <c r="L42" s="237">
        <v>84.32</v>
      </c>
      <c r="M42" s="237">
        <f t="shared" si="21"/>
        <v>4.96</v>
      </c>
      <c r="N42" s="432">
        <f t="shared" si="22"/>
        <v>8.24352E-2</v>
      </c>
      <c r="O42" s="277">
        <v>227.97</v>
      </c>
      <c r="P42" s="274">
        <f t="shared" si="23"/>
        <v>13.41</v>
      </c>
      <c r="Q42" s="432">
        <f t="shared" si="24"/>
        <v>0.22287419999999999</v>
      </c>
      <c r="R42" s="237">
        <v>263.24</v>
      </c>
      <c r="S42" s="274">
        <f t="shared" si="25"/>
        <v>15.484705882352943</v>
      </c>
      <c r="T42" s="432">
        <f t="shared" si="26"/>
        <v>0.2573558117647059</v>
      </c>
      <c r="U42" s="237">
        <v>299.93</v>
      </c>
      <c r="V42" s="274">
        <f t="shared" si="27"/>
        <v>17.64294117647059</v>
      </c>
      <c r="W42" s="432">
        <f t="shared" si="28"/>
        <v>0.29322568235294116</v>
      </c>
      <c r="X42" s="277">
        <v>300</v>
      </c>
      <c r="Y42" s="274">
        <f t="shared" si="29"/>
        <v>17.647058823529413</v>
      </c>
      <c r="Z42" s="432">
        <f t="shared" si="30"/>
        <v>0.29329411764705882</v>
      </c>
      <c r="AA42" s="586">
        <v>298.98779999999988</v>
      </c>
      <c r="AB42" s="274">
        <f t="shared" si="31"/>
        <v>17.587517647058817</v>
      </c>
      <c r="AC42" s="432">
        <f t="shared" si="32"/>
        <v>0.29230454329411754</v>
      </c>
      <c r="AD42" s="237">
        <v>225.5522</v>
      </c>
      <c r="AE42" s="274">
        <f t="shared" si="33"/>
        <v>13.267776470588236</v>
      </c>
      <c r="AF42" s="432">
        <f t="shared" si="34"/>
        <v>0.22051044494117647</v>
      </c>
      <c r="AG42" s="255">
        <f t="shared" si="35"/>
        <v>99.999999999999986</v>
      </c>
      <c r="AH42" s="430">
        <f t="shared" si="36"/>
        <v>1.6619999999999999</v>
      </c>
      <c r="AI42" s="684">
        <f t="shared" si="37"/>
        <v>42</v>
      </c>
    </row>
    <row r="43" spans="1:35" s="684" customFormat="1" ht="15.75" customHeight="1" x14ac:dyDescent="0.25">
      <c r="A43" s="269"/>
      <c r="B43" s="270"/>
      <c r="C43" s="271" t="s">
        <v>145</v>
      </c>
      <c r="D43" s="179"/>
      <c r="E43" s="285"/>
      <c r="F43" s="273"/>
      <c r="G43" s="237"/>
      <c r="H43" s="432"/>
      <c r="I43" s="237"/>
      <c r="J43" s="237"/>
      <c r="K43" s="432"/>
      <c r="L43" s="237"/>
      <c r="M43" s="237"/>
      <c r="N43" s="432"/>
      <c r="O43" s="277"/>
      <c r="P43" s="274"/>
      <c r="Q43" s="432"/>
      <c r="R43" s="237"/>
      <c r="S43" s="274"/>
      <c r="T43" s="432"/>
      <c r="U43" s="237"/>
      <c r="V43" s="274"/>
      <c r="W43" s="432"/>
      <c r="X43" s="277"/>
      <c r="Y43" s="274"/>
      <c r="Z43" s="432"/>
      <c r="AA43" s="586"/>
      <c r="AB43" s="274"/>
      <c r="AC43" s="432"/>
      <c r="AD43" s="237"/>
      <c r="AE43" s="274"/>
      <c r="AF43" s="432"/>
      <c r="AG43" s="255"/>
    </row>
    <row r="44" spans="1:35" s="684" customFormat="1" ht="15.75" customHeight="1" x14ac:dyDescent="0.25">
      <c r="A44" s="269"/>
      <c r="B44" s="275">
        <v>3258101</v>
      </c>
      <c r="C44" s="276" t="s">
        <v>60</v>
      </c>
      <c r="D44" s="179"/>
      <c r="E44" s="277">
        <v>125</v>
      </c>
      <c r="F44" s="286" t="s">
        <v>61</v>
      </c>
      <c r="G44" s="237">
        <v>125</v>
      </c>
      <c r="H44" s="432">
        <v>1.2199999999999999E-3</v>
      </c>
      <c r="I44" s="237">
        <v>0.98299999999999998</v>
      </c>
      <c r="J44" s="237">
        <f t="shared" ref="J44:J50" si="38">I44/G44*100</f>
        <v>0.78639999999999999</v>
      </c>
      <c r="K44" s="432">
        <f t="shared" ref="K44:K50" si="39">J44*$H44</f>
        <v>9.5940799999999992E-4</v>
      </c>
      <c r="L44" s="237">
        <v>5.9669999999999996</v>
      </c>
      <c r="M44" s="237">
        <f t="shared" ref="M44:M50" si="40">L44/G44*100</f>
        <v>4.7735999999999992</v>
      </c>
      <c r="N44" s="432">
        <f t="shared" ref="N44:N50" si="41">M44*$H44</f>
        <v>5.8237919999999986E-3</v>
      </c>
      <c r="O44" s="277">
        <v>12</v>
      </c>
      <c r="P44" s="274">
        <f t="shared" ref="P44:P50" si="42">O44/G44*100</f>
        <v>9.6</v>
      </c>
      <c r="Q44" s="432">
        <f t="shared" ref="Q44:Q50" si="43">P44*$H44</f>
        <v>1.1711999999999998E-2</v>
      </c>
      <c r="R44" s="237">
        <v>21.99</v>
      </c>
      <c r="S44" s="274">
        <f t="shared" ref="S44:S50" si="44">R44/G44*100</f>
        <v>17.591999999999999</v>
      </c>
      <c r="T44" s="432">
        <f t="shared" ref="T44:T50" si="45">S44*$H44</f>
        <v>2.1462239999999997E-2</v>
      </c>
      <c r="U44" s="237">
        <v>20.46</v>
      </c>
      <c r="V44" s="274">
        <f t="shared" ref="V44:V50" si="46">U44/G44*100</f>
        <v>16.368000000000002</v>
      </c>
      <c r="W44" s="432">
        <f t="shared" ref="W44:W50" si="47">V44*$H44</f>
        <v>1.9968960000000001E-2</v>
      </c>
      <c r="X44" s="277">
        <v>15</v>
      </c>
      <c r="Y44" s="274">
        <f t="shared" ref="Y44:Y50" si="48">X44/G44*100</f>
        <v>12</v>
      </c>
      <c r="Z44" s="432">
        <f t="shared" ref="Z44:Z50" si="49">Y44*$H44</f>
        <v>1.464E-2</v>
      </c>
      <c r="AA44" s="586">
        <v>26.73</v>
      </c>
      <c r="AB44" s="274">
        <f t="shared" ref="AB44:AB50" si="50">AA44/G44*100</f>
        <v>21.384</v>
      </c>
      <c r="AC44" s="432">
        <f t="shared" ref="AC44:AC50" si="51">AB44*$H44</f>
        <v>2.6088480000000001E-2</v>
      </c>
      <c r="AD44" s="237">
        <v>21.87</v>
      </c>
      <c r="AE44" s="274">
        <f t="shared" ref="AE44:AE50" si="52">AD44/G44*100</f>
        <v>17.496000000000002</v>
      </c>
      <c r="AF44" s="432">
        <f t="shared" ref="AF44:AF50" si="53">AE44*$H44</f>
        <v>2.1345120000000002E-2</v>
      </c>
      <c r="AG44" s="255">
        <f t="shared" ref="AG44:AG50" si="54">SUM(AE44+AB44+Y44+V44+S44+P44+M44+J44)</f>
        <v>100</v>
      </c>
      <c r="AH44" s="430">
        <f t="shared" ref="AH44:AH50" si="55">N44+Q44+T44+W44+Z44+AC44+AF44</f>
        <v>0.121040592</v>
      </c>
      <c r="AI44" s="684">
        <f t="shared" ref="AI44:AI55" si="56">ROW(AH44)</f>
        <v>44</v>
      </c>
    </row>
    <row r="45" spans="1:35" s="684" customFormat="1" ht="15.75" customHeight="1" x14ac:dyDescent="0.25">
      <c r="A45" s="269"/>
      <c r="B45" s="275">
        <v>3258102</v>
      </c>
      <c r="C45" s="276" t="s">
        <v>62</v>
      </c>
      <c r="D45" s="179"/>
      <c r="E45" s="277">
        <v>10</v>
      </c>
      <c r="F45" s="286" t="s">
        <v>61</v>
      </c>
      <c r="G45" s="237">
        <v>10</v>
      </c>
      <c r="H45" s="432">
        <v>1E-4</v>
      </c>
      <c r="I45" s="237">
        <v>0</v>
      </c>
      <c r="J45" s="237">
        <f t="shared" si="38"/>
        <v>0</v>
      </c>
      <c r="K45" s="432">
        <f t="shared" si="39"/>
        <v>0</v>
      </c>
      <c r="L45" s="237">
        <v>0.49</v>
      </c>
      <c r="M45" s="237">
        <f t="shared" si="40"/>
        <v>4.9000000000000004</v>
      </c>
      <c r="N45" s="432">
        <f t="shared" si="41"/>
        <v>4.9000000000000009E-4</v>
      </c>
      <c r="O45" s="277">
        <v>0.74</v>
      </c>
      <c r="P45" s="274">
        <f t="shared" si="42"/>
        <v>7.3999999999999995</v>
      </c>
      <c r="Q45" s="432">
        <f t="shared" si="43"/>
        <v>7.3999999999999999E-4</v>
      </c>
      <c r="R45" s="237">
        <v>0.98</v>
      </c>
      <c r="S45" s="274">
        <f t="shared" si="44"/>
        <v>9.8000000000000007</v>
      </c>
      <c r="T45" s="432">
        <f t="shared" si="45"/>
        <v>9.8000000000000019E-4</v>
      </c>
      <c r="U45" s="237">
        <v>0.99</v>
      </c>
      <c r="V45" s="274">
        <f t="shared" si="46"/>
        <v>9.9</v>
      </c>
      <c r="W45" s="432">
        <f t="shared" si="47"/>
        <v>9.8999999999999999E-4</v>
      </c>
      <c r="X45" s="277">
        <v>2</v>
      </c>
      <c r="Y45" s="274">
        <f t="shared" si="48"/>
        <v>20</v>
      </c>
      <c r="Z45" s="432">
        <f t="shared" si="49"/>
        <v>2E-3</v>
      </c>
      <c r="AA45" s="586">
        <v>2.88</v>
      </c>
      <c r="AB45" s="274">
        <f t="shared" si="50"/>
        <v>28.799999999999997</v>
      </c>
      <c r="AC45" s="432">
        <f t="shared" si="51"/>
        <v>2.8799999999999997E-3</v>
      </c>
      <c r="AD45" s="237">
        <v>1.92</v>
      </c>
      <c r="AE45" s="274">
        <f t="shared" si="52"/>
        <v>19.2</v>
      </c>
      <c r="AF45" s="432">
        <f t="shared" si="53"/>
        <v>1.92E-3</v>
      </c>
      <c r="AG45" s="255">
        <f t="shared" si="54"/>
        <v>100.00000000000001</v>
      </c>
      <c r="AH45" s="430">
        <f t="shared" si="55"/>
        <v>0.01</v>
      </c>
      <c r="AI45" s="684">
        <f t="shared" si="56"/>
        <v>45</v>
      </c>
    </row>
    <row r="46" spans="1:35" s="684" customFormat="1" ht="15.75" customHeight="1" x14ac:dyDescent="0.25">
      <c r="A46" s="269"/>
      <c r="B46" s="275">
        <v>3258103</v>
      </c>
      <c r="C46" s="276" t="s">
        <v>63</v>
      </c>
      <c r="D46" s="179"/>
      <c r="E46" s="277">
        <v>15</v>
      </c>
      <c r="F46" s="286" t="s">
        <v>61</v>
      </c>
      <c r="G46" s="237">
        <v>15</v>
      </c>
      <c r="H46" s="432">
        <v>1.4999999999999999E-4</v>
      </c>
      <c r="I46" s="237">
        <v>0</v>
      </c>
      <c r="J46" s="237">
        <f t="shared" si="38"/>
        <v>0</v>
      </c>
      <c r="K46" s="432">
        <f t="shared" si="39"/>
        <v>0</v>
      </c>
      <c r="L46" s="237">
        <v>0.5</v>
      </c>
      <c r="M46" s="237">
        <f t="shared" si="40"/>
        <v>3.3333333333333335</v>
      </c>
      <c r="N46" s="432">
        <f t="shared" si="41"/>
        <v>5.0000000000000001E-4</v>
      </c>
      <c r="O46" s="277">
        <v>0.85</v>
      </c>
      <c r="P46" s="274">
        <f t="shared" si="42"/>
        <v>5.6666666666666661</v>
      </c>
      <c r="Q46" s="432">
        <f t="shared" si="43"/>
        <v>8.4999999999999984E-4</v>
      </c>
      <c r="R46" s="237">
        <v>2</v>
      </c>
      <c r="S46" s="274">
        <f t="shared" si="44"/>
        <v>13.333333333333334</v>
      </c>
      <c r="T46" s="432">
        <f t="shared" si="45"/>
        <v>2E-3</v>
      </c>
      <c r="U46" s="237">
        <v>1.99</v>
      </c>
      <c r="V46" s="274">
        <f t="shared" si="46"/>
        <v>13.266666666666666</v>
      </c>
      <c r="W46" s="432">
        <f t="shared" si="47"/>
        <v>1.9899999999999996E-3</v>
      </c>
      <c r="X46" s="277">
        <v>3</v>
      </c>
      <c r="Y46" s="274">
        <f t="shared" si="48"/>
        <v>20</v>
      </c>
      <c r="Z46" s="432">
        <f t="shared" si="49"/>
        <v>2.9999999999999996E-3</v>
      </c>
      <c r="AA46" s="586">
        <v>3.9293999999999998</v>
      </c>
      <c r="AB46" s="274">
        <f t="shared" si="50"/>
        <v>26.195999999999998</v>
      </c>
      <c r="AC46" s="432">
        <f t="shared" si="51"/>
        <v>3.9293999999999996E-3</v>
      </c>
      <c r="AD46" s="237">
        <v>2.7305999999999999</v>
      </c>
      <c r="AE46" s="274">
        <f t="shared" si="52"/>
        <v>18.204000000000001</v>
      </c>
      <c r="AF46" s="432">
        <f t="shared" si="53"/>
        <v>2.7305999999999997E-3</v>
      </c>
      <c r="AG46" s="255">
        <f t="shared" si="54"/>
        <v>100</v>
      </c>
      <c r="AH46" s="430">
        <f t="shared" si="55"/>
        <v>1.4999999999999998E-2</v>
      </c>
      <c r="AI46" s="684">
        <f t="shared" si="56"/>
        <v>46</v>
      </c>
    </row>
    <row r="47" spans="1:35" s="684" customFormat="1" ht="15.75" customHeight="1" x14ac:dyDescent="0.25">
      <c r="A47" s="269"/>
      <c r="B47" s="275">
        <v>3258105</v>
      </c>
      <c r="C47" s="276" t="s">
        <v>64</v>
      </c>
      <c r="D47" s="179"/>
      <c r="E47" s="277">
        <v>10</v>
      </c>
      <c r="F47" s="286" t="s">
        <v>61</v>
      </c>
      <c r="G47" s="237">
        <v>10</v>
      </c>
      <c r="H47" s="432">
        <v>1E-4</v>
      </c>
      <c r="I47" s="237">
        <v>0</v>
      </c>
      <c r="J47" s="237">
        <f t="shared" si="38"/>
        <v>0</v>
      </c>
      <c r="K47" s="432">
        <f t="shared" si="39"/>
        <v>0</v>
      </c>
      <c r="L47" s="237">
        <v>0.21</v>
      </c>
      <c r="M47" s="237">
        <f t="shared" si="40"/>
        <v>2.0999999999999996</v>
      </c>
      <c r="N47" s="432">
        <f t="shared" si="41"/>
        <v>2.0999999999999998E-4</v>
      </c>
      <c r="O47" s="277">
        <v>0.01</v>
      </c>
      <c r="P47" s="274">
        <f t="shared" si="42"/>
        <v>0.1</v>
      </c>
      <c r="Q47" s="432">
        <f t="shared" si="43"/>
        <v>1.0000000000000001E-5</v>
      </c>
      <c r="R47" s="237">
        <v>0.5</v>
      </c>
      <c r="S47" s="274">
        <f t="shared" si="44"/>
        <v>5</v>
      </c>
      <c r="T47" s="432">
        <f t="shared" si="45"/>
        <v>5.0000000000000001E-4</v>
      </c>
      <c r="U47" s="237">
        <v>0.5</v>
      </c>
      <c r="V47" s="274">
        <f t="shared" si="46"/>
        <v>5</v>
      </c>
      <c r="W47" s="432">
        <f t="shared" si="47"/>
        <v>5.0000000000000001E-4</v>
      </c>
      <c r="X47" s="277">
        <v>2</v>
      </c>
      <c r="Y47" s="274">
        <f t="shared" si="48"/>
        <v>20</v>
      </c>
      <c r="Z47" s="432">
        <f t="shared" si="49"/>
        <v>2E-3</v>
      </c>
      <c r="AA47" s="586">
        <v>4.1357999999999997</v>
      </c>
      <c r="AB47" s="274">
        <f t="shared" si="50"/>
        <v>41.357999999999997</v>
      </c>
      <c r="AC47" s="432">
        <f t="shared" si="51"/>
        <v>4.1358000000000002E-3</v>
      </c>
      <c r="AD47" s="237">
        <v>2.6442000000000001</v>
      </c>
      <c r="AE47" s="274">
        <f t="shared" si="52"/>
        <v>26.442</v>
      </c>
      <c r="AF47" s="432">
        <f t="shared" si="53"/>
        <v>2.6442000000000002E-3</v>
      </c>
      <c r="AG47" s="255">
        <f t="shared" si="54"/>
        <v>99.999999999999986</v>
      </c>
      <c r="AH47" s="430">
        <f t="shared" si="55"/>
        <v>0.01</v>
      </c>
      <c r="AI47" s="684">
        <f t="shared" si="56"/>
        <v>47</v>
      </c>
    </row>
    <row r="48" spans="1:35" s="684" customFormat="1" ht="15.75" customHeight="1" x14ac:dyDescent="0.25">
      <c r="A48" s="269"/>
      <c r="B48" s="287">
        <v>3258107</v>
      </c>
      <c r="C48" s="288" t="s">
        <v>65</v>
      </c>
      <c r="D48" s="179"/>
      <c r="E48" s="277">
        <v>25</v>
      </c>
      <c r="F48" s="286" t="s">
        <v>61</v>
      </c>
      <c r="G48" s="237">
        <v>25</v>
      </c>
      <c r="H48" s="432">
        <v>2.4000000000000001E-4</v>
      </c>
      <c r="I48" s="237">
        <v>0</v>
      </c>
      <c r="J48" s="237">
        <f t="shared" si="38"/>
        <v>0</v>
      </c>
      <c r="K48" s="432">
        <f t="shared" si="39"/>
        <v>0</v>
      </c>
      <c r="L48" s="237">
        <v>0</v>
      </c>
      <c r="M48" s="237">
        <f t="shared" si="40"/>
        <v>0</v>
      </c>
      <c r="N48" s="432">
        <f t="shared" si="41"/>
        <v>0</v>
      </c>
      <c r="O48" s="277">
        <v>0</v>
      </c>
      <c r="P48" s="274">
        <f t="shared" si="42"/>
        <v>0</v>
      </c>
      <c r="Q48" s="432">
        <f t="shared" si="43"/>
        <v>0</v>
      </c>
      <c r="R48" s="237">
        <v>9.98</v>
      </c>
      <c r="S48" s="274">
        <f t="shared" si="44"/>
        <v>39.92</v>
      </c>
      <c r="T48" s="432">
        <f t="shared" si="45"/>
        <v>9.5808000000000004E-3</v>
      </c>
      <c r="U48" s="237">
        <v>10</v>
      </c>
      <c r="V48" s="274">
        <f t="shared" si="46"/>
        <v>40</v>
      </c>
      <c r="W48" s="432">
        <f t="shared" si="47"/>
        <v>9.6000000000000009E-3</v>
      </c>
      <c r="X48" s="277">
        <v>0</v>
      </c>
      <c r="Y48" s="274">
        <f t="shared" si="48"/>
        <v>0</v>
      </c>
      <c r="Z48" s="432">
        <f t="shared" si="49"/>
        <v>0</v>
      </c>
      <c r="AA48" s="586">
        <v>2.9618000000000002</v>
      </c>
      <c r="AB48" s="274">
        <f t="shared" si="50"/>
        <v>11.847200000000001</v>
      </c>
      <c r="AC48" s="432">
        <f t="shared" si="51"/>
        <v>2.8433280000000004E-3</v>
      </c>
      <c r="AD48" s="237">
        <v>2.0581999999999998</v>
      </c>
      <c r="AE48" s="274">
        <f t="shared" si="52"/>
        <v>8.2327999999999992</v>
      </c>
      <c r="AF48" s="432">
        <f t="shared" si="53"/>
        <v>1.975872E-3</v>
      </c>
      <c r="AG48" s="255">
        <f t="shared" si="54"/>
        <v>100</v>
      </c>
      <c r="AH48" s="430">
        <f t="shared" si="55"/>
        <v>2.4E-2</v>
      </c>
      <c r="AI48" s="684">
        <f t="shared" si="56"/>
        <v>48</v>
      </c>
    </row>
    <row r="49" spans="1:35" s="684" customFormat="1" ht="15.75" customHeight="1" x14ac:dyDescent="0.25">
      <c r="A49" s="269"/>
      <c r="B49" s="287">
        <v>3258106</v>
      </c>
      <c r="C49" s="288" t="s">
        <v>66</v>
      </c>
      <c r="D49" s="179"/>
      <c r="E49" s="277">
        <v>40</v>
      </c>
      <c r="F49" s="286" t="s">
        <v>61</v>
      </c>
      <c r="G49" s="237">
        <v>40</v>
      </c>
      <c r="H49" s="432">
        <v>3.8999999999999999E-4</v>
      </c>
      <c r="I49" s="237">
        <v>0</v>
      </c>
      <c r="J49" s="237">
        <f t="shared" si="38"/>
        <v>0</v>
      </c>
      <c r="K49" s="432">
        <f t="shared" si="39"/>
        <v>0</v>
      </c>
      <c r="L49" s="237">
        <v>0</v>
      </c>
      <c r="M49" s="237">
        <f t="shared" si="40"/>
        <v>0</v>
      </c>
      <c r="N49" s="432">
        <f t="shared" si="41"/>
        <v>0</v>
      </c>
      <c r="O49" s="277">
        <v>0</v>
      </c>
      <c r="P49" s="274">
        <f t="shared" si="42"/>
        <v>0</v>
      </c>
      <c r="Q49" s="432">
        <f t="shared" si="43"/>
        <v>0</v>
      </c>
      <c r="R49" s="237">
        <v>8.9499999999999993</v>
      </c>
      <c r="S49" s="274">
        <f t="shared" si="44"/>
        <v>22.374999999999996</v>
      </c>
      <c r="T49" s="432">
        <f t="shared" si="45"/>
        <v>8.7262499999999979E-3</v>
      </c>
      <c r="U49" s="237">
        <v>5.58</v>
      </c>
      <c r="V49" s="274">
        <f t="shared" si="46"/>
        <v>13.950000000000001</v>
      </c>
      <c r="W49" s="432">
        <f t="shared" si="47"/>
        <v>5.4405E-3</v>
      </c>
      <c r="X49" s="277">
        <v>5</v>
      </c>
      <c r="Y49" s="274">
        <f t="shared" si="48"/>
        <v>12.5</v>
      </c>
      <c r="Z49" s="432">
        <f t="shared" si="49"/>
        <v>4.875E-3</v>
      </c>
      <c r="AA49" s="586">
        <v>11.8726</v>
      </c>
      <c r="AB49" s="274">
        <f t="shared" si="50"/>
        <v>29.6815</v>
      </c>
      <c r="AC49" s="432">
        <f t="shared" si="51"/>
        <v>1.1575785E-2</v>
      </c>
      <c r="AD49" s="237">
        <v>8.5973999999999986</v>
      </c>
      <c r="AE49" s="274">
        <f t="shared" si="52"/>
        <v>21.493499999999997</v>
      </c>
      <c r="AF49" s="432">
        <f t="shared" si="53"/>
        <v>8.3824649999999987E-3</v>
      </c>
      <c r="AG49" s="255">
        <f t="shared" si="54"/>
        <v>100</v>
      </c>
      <c r="AH49" s="430">
        <f t="shared" si="55"/>
        <v>3.9E-2</v>
      </c>
      <c r="AI49" s="684">
        <f t="shared" si="56"/>
        <v>49</v>
      </c>
    </row>
    <row r="50" spans="1:35" s="684" customFormat="1" ht="15.75" customHeight="1" x14ac:dyDescent="0.25">
      <c r="A50" s="269"/>
      <c r="B50" s="275">
        <v>3258105</v>
      </c>
      <c r="C50" s="276" t="s">
        <v>67</v>
      </c>
      <c r="D50" s="179"/>
      <c r="E50" s="277">
        <v>20</v>
      </c>
      <c r="F50" s="286" t="s">
        <v>61</v>
      </c>
      <c r="G50" s="237">
        <v>20</v>
      </c>
      <c r="H50" s="432">
        <v>2.0000000000000001E-4</v>
      </c>
      <c r="I50" s="237">
        <v>0</v>
      </c>
      <c r="J50" s="237">
        <f t="shared" si="38"/>
        <v>0</v>
      </c>
      <c r="K50" s="432">
        <f t="shared" si="39"/>
        <v>0</v>
      </c>
      <c r="L50" s="237">
        <v>0.09</v>
      </c>
      <c r="M50" s="237">
        <f t="shared" si="40"/>
        <v>0.44999999999999996</v>
      </c>
      <c r="N50" s="432">
        <f t="shared" si="41"/>
        <v>8.9999999999999992E-5</v>
      </c>
      <c r="O50" s="277">
        <v>0.3</v>
      </c>
      <c r="P50" s="274">
        <f t="shared" si="42"/>
        <v>1.5</v>
      </c>
      <c r="Q50" s="432">
        <f t="shared" si="43"/>
        <v>3.0000000000000003E-4</v>
      </c>
      <c r="R50" s="237">
        <v>0.5</v>
      </c>
      <c r="S50" s="274">
        <f t="shared" si="44"/>
        <v>2.5</v>
      </c>
      <c r="T50" s="432">
        <f t="shared" si="45"/>
        <v>5.0000000000000001E-4</v>
      </c>
      <c r="U50" s="237">
        <v>0.5</v>
      </c>
      <c r="V50" s="274">
        <f t="shared" si="46"/>
        <v>2.5</v>
      </c>
      <c r="W50" s="432">
        <f t="shared" si="47"/>
        <v>5.0000000000000001E-4</v>
      </c>
      <c r="X50" s="277">
        <v>2</v>
      </c>
      <c r="Y50" s="274">
        <f t="shared" si="48"/>
        <v>10</v>
      </c>
      <c r="Z50" s="432">
        <f t="shared" si="49"/>
        <v>2E-3</v>
      </c>
      <c r="AA50" s="586">
        <v>9.1355000000000004</v>
      </c>
      <c r="AB50" s="274">
        <f t="shared" si="50"/>
        <v>45.677500000000002</v>
      </c>
      <c r="AC50" s="432">
        <f t="shared" si="51"/>
        <v>9.1355000000000013E-3</v>
      </c>
      <c r="AD50" s="237">
        <v>7.4744999999999999</v>
      </c>
      <c r="AE50" s="274">
        <f t="shared" si="52"/>
        <v>37.372499999999995</v>
      </c>
      <c r="AF50" s="432">
        <f t="shared" si="53"/>
        <v>7.4744999999999994E-3</v>
      </c>
      <c r="AG50" s="255">
        <f t="shared" si="54"/>
        <v>100</v>
      </c>
      <c r="AH50" s="430">
        <f t="shared" si="55"/>
        <v>0.02</v>
      </c>
      <c r="AI50" s="684">
        <f t="shared" si="56"/>
        <v>50</v>
      </c>
    </row>
    <row r="51" spans="1:35" s="684" customFormat="1" ht="15.75" customHeight="1" x14ac:dyDescent="0.25">
      <c r="A51" s="269"/>
      <c r="B51" s="289"/>
      <c r="C51" s="133" t="s">
        <v>103</v>
      </c>
      <c r="D51" s="179"/>
      <c r="E51" s="277"/>
      <c r="F51" s="286"/>
      <c r="G51" s="237"/>
      <c r="H51" s="432"/>
      <c r="I51" s="237"/>
      <c r="J51" s="237"/>
      <c r="K51" s="432"/>
      <c r="L51" s="237"/>
      <c r="M51" s="237"/>
      <c r="N51" s="432"/>
      <c r="O51" s="277"/>
      <c r="P51" s="274"/>
      <c r="Q51" s="432"/>
      <c r="R51" s="237"/>
      <c r="S51" s="274"/>
      <c r="T51" s="432"/>
      <c r="U51" s="237"/>
      <c r="V51" s="274"/>
      <c r="W51" s="432"/>
      <c r="X51" s="277"/>
      <c r="Y51" s="274"/>
      <c r="Z51" s="432"/>
      <c r="AA51" s="586"/>
      <c r="AB51" s="274"/>
      <c r="AC51" s="432"/>
      <c r="AD51" s="237"/>
      <c r="AE51" s="274"/>
      <c r="AF51" s="432"/>
      <c r="AG51" s="255"/>
      <c r="AH51" s="430"/>
      <c r="AI51" s="684">
        <f t="shared" si="56"/>
        <v>51</v>
      </c>
    </row>
    <row r="52" spans="1:35" s="684" customFormat="1" ht="15.75" customHeight="1" x14ac:dyDescent="0.25">
      <c r="A52" s="269"/>
      <c r="B52" s="275">
        <v>3258114</v>
      </c>
      <c r="C52" s="276" t="s">
        <v>68</v>
      </c>
      <c r="D52" s="173" t="s">
        <v>146</v>
      </c>
      <c r="E52" s="277">
        <v>294.33999999999997</v>
      </c>
      <c r="F52" s="281">
        <v>86</v>
      </c>
      <c r="G52" s="237">
        <v>294.33999999999997</v>
      </c>
      <c r="H52" s="432">
        <v>2.8800000000000002E-3</v>
      </c>
      <c r="I52" s="237">
        <v>0</v>
      </c>
      <c r="J52" s="237">
        <f>I52/G52*100</f>
        <v>0</v>
      </c>
      <c r="K52" s="432">
        <f>J52*$H52</f>
        <v>0</v>
      </c>
      <c r="L52" s="237">
        <v>0</v>
      </c>
      <c r="M52" s="237">
        <f>L52/G52*100</f>
        <v>0</v>
      </c>
      <c r="N52" s="432">
        <f>M52*$H52</f>
        <v>0</v>
      </c>
      <c r="O52" s="277">
        <v>59.7</v>
      </c>
      <c r="P52" s="274">
        <f>O52/G52*100</f>
        <v>20.28266630427397</v>
      </c>
      <c r="Q52" s="432">
        <f>P52*$H52</f>
        <v>5.841407895630904E-2</v>
      </c>
      <c r="R52" s="237">
        <v>24.34</v>
      </c>
      <c r="S52" s="274">
        <f>R52/G52*100</f>
        <v>8.2693483726302919</v>
      </c>
      <c r="T52" s="432">
        <f>S52*$H52</f>
        <v>2.3815723313175243E-2</v>
      </c>
      <c r="U52" s="237">
        <v>10.99</v>
      </c>
      <c r="V52" s="274">
        <f>U52/G52*100</f>
        <v>3.7337772643881233</v>
      </c>
      <c r="W52" s="432">
        <f>V52*$H52</f>
        <v>1.0753278521437796E-2</v>
      </c>
      <c r="X52" s="277">
        <v>58.25</v>
      </c>
      <c r="Y52" s="274">
        <f>X52/G52*100</f>
        <v>19.790038730719576</v>
      </c>
      <c r="Z52" s="432">
        <f>Y52*$H52</f>
        <v>5.6995311544472384E-2</v>
      </c>
      <c r="AA52" s="586">
        <v>88.867799999999988</v>
      </c>
      <c r="AB52" s="274">
        <f>AA52/G52*100</f>
        <v>30.192226676632465</v>
      </c>
      <c r="AC52" s="432">
        <f>AB52*$H52</f>
        <v>8.695361282870151E-2</v>
      </c>
      <c r="AD52" s="237">
        <v>52.192199999999993</v>
      </c>
      <c r="AE52" s="274">
        <f>AD52/G52*100</f>
        <v>17.731942651355574</v>
      </c>
      <c r="AF52" s="432">
        <f>AE52*$H52</f>
        <v>5.106799483590406E-2</v>
      </c>
      <c r="AG52" s="255">
        <f>SUM(AE52+AB52+Y52+V52+S52+P52+M52+J52)</f>
        <v>100</v>
      </c>
      <c r="AH52" s="430">
        <f>N52+Q52+T52+W52+Z52+AC52+AF52</f>
        <v>0.28800000000000003</v>
      </c>
      <c r="AI52" s="684">
        <f t="shared" si="56"/>
        <v>52</v>
      </c>
    </row>
    <row r="53" spans="1:35" s="684" customFormat="1" ht="15.75" customHeight="1" x14ac:dyDescent="0.25">
      <c r="A53" s="269"/>
      <c r="B53" s="275">
        <v>3258128</v>
      </c>
      <c r="C53" s="276" t="s">
        <v>69</v>
      </c>
      <c r="D53" s="173" t="s">
        <v>146</v>
      </c>
      <c r="E53" s="277">
        <v>5</v>
      </c>
      <c r="F53" s="281" t="s">
        <v>61</v>
      </c>
      <c r="G53" s="237">
        <v>5</v>
      </c>
      <c r="H53" s="432">
        <v>5.0000000000000002E-5</v>
      </c>
      <c r="I53" s="237">
        <v>0</v>
      </c>
      <c r="J53" s="237">
        <f>I53/G53*100</f>
        <v>0</v>
      </c>
      <c r="K53" s="432">
        <f>J53*$H53</f>
        <v>0</v>
      </c>
      <c r="L53" s="237">
        <v>0.9</v>
      </c>
      <c r="M53" s="237">
        <f>L53/G53*100</f>
        <v>18</v>
      </c>
      <c r="N53" s="432">
        <f>M53*$H53</f>
        <v>9.0000000000000008E-4</v>
      </c>
      <c r="O53" s="277">
        <v>0</v>
      </c>
      <c r="P53" s="274">
        <f>O53/G53*100</f>
        <v>0</v>
      </c>
      <c r="Q53" s="432">
        <f>P53*$H53</f>
        <v>0</v>
      </c>
      <c r="R53" s="237">
        <v>0.75</v>
      </c>
      <c r="S53" s="274">
        <f>R53/G53*100</f>
        <v>15</v>
      </c>
      <c r="T53" s="432">
        <f>S53*$H53</f>
        <v>7.5000000000000002E-4</v>
      </c>
      <c r="U53" s="237">
        <v>0.74</v>
      </c>
      <c r="V53" s="274">
        <f>U53/G53*100</f>
        <v>14.799999999999999</v>
      </c>
      <c r="W53" s="432">
        <f>V53*$H53</f>
        <v>7.3999999999999999E-4</v>
      </c>
      <c r="X53" s="277">
        <v>0.75</v>
      </c>
      <c r="Y53" s="274">
        <f>X53/G53*100</f>
        <v>15</v>
      </c>
      <c r="Z53" s="432">
        <f>Y53*$H53</f>
        <v>7.5000000000000002E-4</v>
      </c>
      <c r="AA53" s="586">
        <v>1.1346000000000001</v>
      </c>
      <c r="AB53" s="274">
        <f>AA53/G53*100</f>
        <v>22.692</v>
      </c>
      <c r="AC53" s="432">
        <f>AB53*$H53</f>
        <v>1.1346000000000001E-3</v>
      </c>
      <c r="AD53" s="237">
        <v>0.72540000000000016</v>
      </c>
      <c r="AE53" s="274">
        <f>AD53/G53*100</f>
        <v>14.508000000000004</v>
      </c>
      <c r="AF53" s="432">
        <f>AE53*$H53</f>
        <v>7.2540000000000029E-4</v>
      </c>
      <c r="AG53" s="255">
        <f>SUM(AE53+AB53+Y53+V53+S53+P53+M53+J53)</f>
        <v>100</v>
      </c>
      <c r="AH53" s="430">
        <f>N53+Q53+T53+W53+Z53+AC53+AF53</f>
        <v>5.0000000000000001E-3</v>
      </c>
      <c r="AI53" s="684">
        <f t="shared" si="56"/>
        <v>53</v>
      </c>
    </row>
    <row r="54" spans="1:35" s="684" customFormat="1" ht="15.75" customHeight="1" x14ac:dyDescent="0.25">
      <c r="A54" s="269"/>
      <c r="B54" s="275">
        <v>3258107</v>
      </c>
      <c r="C54" s="276" t="s">
        <v>70</v>
      </c>
      <c r="D54" s="179"/>
      <c r="E54" s="277">
        <v>40</v>
      </c>
      <c r="F54" s="286" t="s">
        <v>61</v>
      </c>
      <c r="G54" s="237">
        <v>40</v>
      </c>
      <c r="H54" s="432">
        <v>3.8999999999999999E-4</v>
      </c>
      <c r="I54" s="237">
        <v>0</v>
      </c>
      <c r="J54" s="237">
        <f>I54/G54*100</f>
        <v>0</v>
      </c>
      <c r="K54" s="432">
        <f>J54*$H54</f>
        <v>0</v>
      </c>
      <c r="L54" s="237">
        <v>0</v>
      </c>
      <c r="M54" s="237">
        <f>L54/G54*100</f>
        <v>0</v>
      </c>
      <c r="N54" s="432">
        <f>M54*$H54</f>
        <v>0</v>
      </c>
      <c r="O54" s="277">
        <v>0</v>
      </c>
      <c r="P54" s="274">
        <f>O54/G54*100</f>
        <v>0</v>
      </c>
      <c r="Q54" s="432">
        <f>P54*$H54</f>
        <v>0</v>
      </c>
      <c r="R54" s="237">
        <v>2.5</v>
      </c>
      <c r="S54" s="274">
        <f>R54/G54*100</f>
        <v>6.25</v>
      </c>
      <c r="T54" s="432">
        <f>S54*$H54</f>
        <v>2.4375E-3</v>
      </c>
      <c r="U54" s="237">
        <v>4.9800000000000004</v>
      </c>
      <c r="V54" s="274">
        <f>U54/G54*100</f>
        <v>12.450000000000001</v>
      </c>
      <c r="W54" s="432">
        <f>V54*$H54</f>
        <v>4.8555000000000004E-3</v>
      </c>
      <c r="X54" s="277">
        <v>3</v>
      </c>
      <c r="Y54" s="274">
        <f>X54/G54*100</f>
        <v>7.5</v>
      </c>
      <c r="Z54" s="432">
        <f>Y54*$H54</f>
        <v>2.9250000000000001E-3</v>
      </c>
      <c r="AA54" s="586">
        <v>16.531199999999998</v>
      </c>
      <c r="AB54" s="274">
        <f>AA54/G54*100</f>
        <v>41.327999999999996</v>
      </c>
      <c r="AC54" s="432">
        <f>AB54*$H54</f>
        <v>1.6117919999999997E-2</v>
      </c>
      <c r="AD54" s="237">
        <v>12.988799999999999</v>
      </c>
      <c r="AE54" s="274">
        <f>AD54/G54*100</f>
        <v>32.472000000000001</v>
      </c>
      <c r="AF54" s="432">
        <f>AE54*$H54</f>
        <v>1.2664079999999999E-2</v>
      </c>
      <c r="AG54" s="255">
        <f>SUM(AE54+AB54+Y54+V54+S54+P54+M54+J54)</f>
        <v>100</v>
      </c>
      <c r="AH54" s="430">
        <f>N54+Q54+T54+W54+Z54+AC54+AF54</f>
        <v>3.9E-2</v>
      </c>
      <c r="AI54" s="684">
        <f t="shared" si="56"/>
        <v>54</v>
      </c>
    </row>
    <row r="55" spans="1:35" s="292" customFormat="1" ht="18" customHeight="1" x14ac:dyDescent="0.25">
      <c r="A55" s="247" t="s">
        <v>192</v>
      </c>
      <c r="B55" s="291"/>
      <c r="C55" s="290"/>
      <c r="D55" s="772"/>
      <c r="E55" s="703"/>
      <c r="F55" s="291"/>
      <c r="G55" s="237">
        <f>I55+L55+O55+R55+U55+X55+AA55+AD55</f>
        <v>19382.609999999997</v>
      </c>
      <c r="H55" s="432">
        <f>SUM(H10:H54)</f>
        <v>0.18956999999999996</v>
      </c>
      <c r="I55" s="432">
        <f>SUM(I10:I54)</f>
        <v>1081.0899999999999</v>
      </c>
      <c r="J55" s="432">
        <f>SUM(J10:J54)</f>
        <v>45.035883240603134</v>
      </c>
      <c r="K55" s="432">
        <f>SUM(K10:K54)</f>
        <v>1.0572711610602696</v>
      </c>
      <c r="L55" s="237">
        <f>SUM(L10:L54)</f>
        <v>2463.7400000000002</v>
      </c>
      <c r="M55" s="432"/>
      <c r="N55" s="432">
        <f>SUM(N10:N54)</f>
        <v>2.4096902519125742</v>
      </c>
      <c r="O55" s="277">
        <f>SUM(O10:O54)</f>
        <v>2227.87</v>
      </c>
      <c r="P55" s="274"/>
      <c r="Q55" s="432">
        <f>SUM(Q10:Q54)</f>
        <v>2.178784389695795</v>
      </c>
      <c r="R55" s="237">
        <f>SUM(R10:R54)</f>
        <v>2364.8599999999997</v>
      </c>
      <c r="S55" s="274"/>
      <c r="T55" s="432">
        <f>SUM(T10:T54)</f>
        <v>2.3124345138269362</v>
      </c>
      <c r="U55" s="237">
        <f>SUM(U10:U54)</f>
        <v>2487.2899999999986</v>
      </c>
      <c r="V55" s="274"/>
      <c r="W55" s="432">
        <f>SUM(W10:W54)</f>
        <v>2.4323038388832008</v>
      </c>
      <c r="X55" s="277">
        <f>SUM(X10:X54)</f>
        <v>2560</v>
      </c>
      <c r="Y55" s="274"/>
      <c r="Z55" s="432">
        <f>SUM(Z10:Z54)</f>
        <v>2.5037247997421255</v>
      </c>
      <c r="AA55" s="586">
        <f>SUM(AA10:AA54)</f>
        <v>3818.2051999999999</v>
      </c>
      <c r="AB55" s="274"/>
      <c r="AC55" s="432">
        <f>SUM(AC10:AC54)</f>
        <v>3.7349732506953677</v>
      </c>
      <c r="AD55" s="237">
        <f>SUM(AD10:AD54)</f>
        <v>2379.5547999999994</v>
      </c>
      <c r="AE55" s="274"/>
      <c r="AF55" s="432">
        <f>SUM(AF10:AF54)</f>
        <v>2.3278177941837308</v>
      </c>
      <c r="AG55" s="255"/>
      <c r="AI55" s="684">
        <f t="shared" si="56"/>
        <v>55</v>
      </c>
    </row>
    <row r="56" spans="1:35" s="684" customFormat="1" ht="18" customHeight="1" x14ac:dyDescent="0.25">
      <c r="A56" s="264" t="s">
        <v>73</v>
      </c>
      <c r="B56" s="652"/>
      <c r="C56" s="293"/>
      <c r="D56" s="100"/>
      <c r="E56" s="100"/>
      <c r="F56" s="273"/>
      <c r="G56" s="100"/>
      <c r="H56" s="100"/>
      <c r="I56" s="100"/>
      <c r="J56" s="100"/>
      <c r="K56" s="267"/>
      <c r="L56" s="100"/>
      <c r="M56" s="100"/>
      <c r="N56" s="267"/>
      <c r="O56" s="579"/>
      <c r="P56" s="100"/>
      <c r="Q56" s="267"/>
      <c r="R56" s="268"/>
      <c r="S56" s="100"/>
      <c r="T56" s="267"/>
      <c r="U56" s="268"/>
      <c r="V56" s="100"/>
      <c r="W56" s="267"/>
      <c r="X56" s="579"/>
      <c r="Y56" s="100"/>
      <c r="Z56" s="267"/>
      <c r="AA56" s="585"/>
      <c r="AB56" s="274"/>
      <c r="AC56" s="267"/>
      <c r="AD56" s="268"/>
      <c r="AE56" s="100"/>
      <c r="AF56" s="267"/>
      <c r="AG56" s="255"/>
    </row>
    <row r="57" spans="1:35" s="684" customFormat="1" ht="18" customHeight="1" x14ac:dyDescent="0.25">
      <c r="A57" s="294"/>
      <c r="B57" s="270"/>
      <c r="C57" s="295" t="s">
        <v>74</v>
      </c>
      <c r="D57" s="296"/>
      <c r="E57" s="179"/>
      <c r="F57" s="287"/>
      <c r="G57" s="237"/>
      <c r="H57" s="432"/>
      <c r="I57" s="237"/>
      <c r="J57" s="237"/>
      <c r="K57" s="432"/>
      <c r="L57" s="237"/>
      <c r="M57" s="237"/>
      <c r="N57" s="432"/>
      <c r="O57" s="277"/>
      <c r="P57" s="274"/>
      <c r="Q57" s="432"/>
      <c r="R57" s="237"/>
      <c r="S57" s="274"/>
      <c r="T57" s="432"/>
      <c r="U57" s="237"/>
      <c r="V57" s="274"/>
      <c r="W57" s="432"/>
      <c r="X57" s="277"/>
      <c r="Y57" s="274"/>
      <c r="Z57" s="432"/>
      <c r="AA57" s="586"/>
      <c r="AB57" s="274"/>
      <c r="AC57" s="432"/>
      <c r="AD57" s="237"/>
      <c r="AE57" s="274"/>
      <c r="AF57" s="432"/>
      <c r="AG57" s="255"/>
    </row>
    <row r="58" spans="1:35" s="684" customFormat="1" ht="15.75" customHeight="1" x14ac:dyDescent="0.25">
      <c r="A58" s="297"/>
      <c r="B58" s="298"/>
      <c r="C58" s="295" t="s">
        <v>75</v>
      </c>
      <c r="D58" s="296"/>
      <c r="E58" s="179"/>
      <c r="F58" s="287"/>
      <c r="G58" s="237"/>
      <c r="H58" s="432"/>
      <c r="I58" s="237"/>
      <c r="J58" s="237"/>
      <c r="K58" s="432"/>
      <c r="L58" s="237"/>
      <c r="M58" s="237"/>
      <c r="N58" s="432"/>
      <c r="O58" s="277"/>
      <c r="P58" s="274"/>
      <c r="Q58" s="432"/>
      <c r="R58" s="237"/>
      <c r="S58" s="274"/>
      <c r="T58" s="432"/>
      <c r="U58" s="237"/>
      <c r="V58" s="274"/>
      <c r="W58" s="432"/>
      <c r="X58" s="277"/>
      <c r="Y58" s="274"/>
      <c r="Z58" s="432"/>
      <c r="AA58" s="586"/>
      <c r="AB58" s="274"/>
      <c r="AC58" s="432"/>
      <c r="AD58" s="237"/>
      <c r="AE58" s="274"/>
      <c r="AF58" s="432"/>
      <c r="AG58" s="255"/>
    </row>
    <row r="59" spans="1:35" s="684" customFormat="1" ht="50.25" customHeight="1" x14ac:dyDescent="0.25">
      <c r="A59" s="297"/>
      <c r="B59" s="298">
        <v>4112101</v>
      </c>
      <c r="C59" s="299" t="s">
        <v>76</v>
      </c>
      <c r="D59" s="173" t="s">
        <v>146</v>
      </c>
      <c r="E59" s="237">
        <v>70.25</v>
      </c>
      <c r="F59" s="281">
        <v>10</v>
      </c>
      <c r="G59" s="237">
        <v>702.5</v>
      </c>
      <c r="H59" s="432">
        <v>6.8700000000000002E-3</v>
      </c>
      <c r="I59" s="237">
        <v>346.3</v>
      </c>
      <c r="J59" s="237">
        <f>I59/G59*100</f>
        <v>49.295373665480433</v>
      </c>
      <c r="K59" s="432">
        <f>J59*$H59</f>
        <v>0.33865921708185059</v>
      </c>
      <c r="L59" s="237">
        <v>138.6</v>
      </c>
      <c r="M59" s="237">
        <f>L59/G59*100</f>
        <v>19.72953736654804</v>
      </c>
      <c r="N59" s="432">
        <f>M59*$H59</f>
        <v>0.13554192170818505</v>
      </c>
      <c r="O59" s="277">
        <v>0</v>
      </c>
      <c r="P59" s="274">
        <f>O59/G59*100</f>
        <v>0</v>
      </c>
      <c r="Q59" s="432">
        <f>P59*$H59</f>
        <v>0</v>
      </c>
      <c r="R59" s="237">
        <v>122</v>
      </c>
      <c r="S59" s="274">
        <f>R59/G59*100</f>
        <v>17.366548042704625</v>
      </c>
      <c r="T59" s="432">
        <f>S59*$H59</f>
        <v>0.11930818505338078</v>
      </c>
      <c r="U59" s="237">
        <v>0</v>
      </c>
      <c r="V59" s="274">
        <f>U59/G59*100</f>
        <v>0</v>
      </c>
      <c r="W59" s="432">
        <f>V59*$H59</f>
        <v>0</v>
      </c>
      <c r="X59" s="277">
        <v>95.6</v>
      </c>
      <c r="Y59" s="274">
        <f>X59/G59*100</f>
        <v>13.608540925266905</v>
      </c>
      <c r="Z59" s="432">
        <f>Y59*$H59</f>
        <v>9.3490676156583644E-2</v>
      </c>
      <c r="AA59" s="586">
        <v>0</v>
      </c>
      <c r="AB59" s="274">
        <f>AA59/G59*100</f>
        <v>0</v>
      </c>
      <c r="AC59" s="432">
        <f>AB59*$H59</f>
        <v>0</v>
      </c>
      <c r="AD59" s="237">
        <v>0</v>
      </c>
      <c r="AE59" s="274">
        <f>AD59/G59*100</f>
        <v>0</v>
      </c>
      <c r="AF59" s="432">
        <f>AE59*$H59</f>
        <v>0</v>
      </c>
      <c r="AG59" s="255">
        <f>SUM(AE59+AB59+Y59+V59+S59+P59+M59+J59)</f>
        <v>100</v>
      </c>
      <c r="AH59" s="430">
        <f>N59+Q59+T59+W59+Z59+AC59+AF59</f>
        <v>0.34834078291814946</v>
      </c>
      <c r="AI59" s="684">
        <f>ROW(AH59)</f>
        <v>59</v>
      </c>
    </row>
    <row r="60" spans="1:35" s="455" customFormat="1" ht="24" customHeight="1" x14ac:dyDescent="0.25">
      <c r="A60" s="457"/>
      <c r="B60" s="458">
        <v>4112101</v>
      </c>
      <c r="C60" s="459" t="s">
        <v>78</v>
      </c>
      <c r="D60" s="460" t="s">
        <v>146</v>
      </c>
      <c r="E60" s="456">
        <v>1.52</v>
      </c>
      <c r="F60" s="461">
        <v>45</v>
      </c>
      <c r="G60" s="456">
        <v>68.25</v>
      </c>
      <c r="H60" s="462">
        <v>6.7000000000000002E-4</v>
      </c>
      <c r="I60" s="456">
        <v>5.8250000000000002</v>
      </c>
      <c r="J60" s="456">
        <f>I60/G60*100</f>
        <v>8.5347985347985347</v>
      </c>
      <c r="K60" s="462">
        <f>J60*$H60</f>
        <v>5.7183150183150186E-3</v>
      </c>
      <c r="L60" s="456">
        <v>26.315000000000001</v>
      </c>
      <c r="M60" s="456">
        <f>L60/G60*100</f>
        <v>38.556776556776555</v>
      </c>
      <c r="N60" s="462">
        <f>M60*$H60</f>
        <v>2.5833040293040292E-2</v>
      </c>
      <c r="O60" s="580">
        <v>10.08</v>
      </c>
      <c r="P60" s="463">
        <f>O60/G60*100</f>
        <v>14.76923076923077</v>
      </c>
      <c r="Q60" s="462">
        <f>P60*$H60</f>
        <v>9.8953846153846167E-3</v>
      </c>
      <c r="R60" s="456">
        <v>8</v>
      </c>
      <c r="S60" s="463">
        <f>R60/G60*100</f>
        <v>11.721611721611721</v>
      </c>
      <c r="T60" s="462">
        <f>S60*$H60</f>
        <v>7.8534798534798528E-3</v>
      </c>
      <c r="U60" s="456">
        <v>0</v>
      </c>
      <c r="V60" s="463">
        <f>U60/G60*100</f>
        <v>0</v>
      </c>
      <c r="W60" s="462">
        <f>V60*$H60</f>
        <v>0</v>
      </c>
      <c r="X60" s="580">
        <v>0</v>
      </c>
      <c r="Y60" s="463">
        <f>X60/G60*100</f>
        <v>0</v>
      </c>
      <c r="Z60" s="462">
        <f>Y60*$H60</f>
        <v>0</v>
      </c>
      <c r="AA60" s="586">
        <v>18.03</v>
      </c>
      <c r="AB60" s="463">
        <f>AA60/G60*100</f>
        <v>26.41758241758242</v>
      </c>
      <c r="AC60" s="462">
        <f>AB60*$H60</f>
        <v>1.769978021978022E-2</v>
      </c>
      <c r="AD60" s="456">
        <v>0</v>
      </c>
      <c r="AE60" s="463">
        <f>AD60/G60*100</f>
        <v>0</v>
      </c>
      <c r="AF60" s="462">
        <f>AE60*$H60</f>
        <v>0</v>
      </c>
      <c r="AG60" s="464">
        <f>SUM(AE60+AB60+Y60+V60+S60+P60+M60+J60)</f>
        <v>100</v>
      </c>
      <c r="AH60" s="465">
        <f>N60+Q60+T60+W60+Z60+AC60+AF60</f>
        <v>6.1281684981684979E-2</v>
      </c>
      <c r="AI60" s="455">
        <f>ROW(AH60)</f>
        <v>60</v>
      </c>
    </row>
    <row r="61" spans="1:35" s="684" customFormat="1" ht="15" customHeight="1" x14ac:dyDescent="0.25">
      <c r="A61" s="297"/>
      <c r="B61" s="298"/>
      <c r="C61" s="300" t="s">
        <v>79</v>
      </c>
      <c r="D61" s="173"/>
      <c r="E61" s="237"/>
      <c r="F61" s="281"/>
      <c r="G61" s="237"/>
      <c r="H61" s="432"/>
      <c r="I61" s="237"/>
      <c r="J61" s="237"/>
      <c r="K61" s="432"/>
      <c r="L61" s="237"/>
      <c r="M61" s="237"/>
      <c r="N61" s="432"/>
      <c r="O61" s="277"/>
      <c r="P61" s="274"/>
      <c r="Q61" s="432"/>
      <c r="R61" s="237"/>
      <c r="S61" s="274"/>
      <c r="T61" s="432"/>
      <c r="U61" s="237"/>
      <c r="V61" s="274"/>
      <c r="W61" s="432"/>
      <c r="X61" s="277"/>
      <c r="Y61" s="274"/>
      <c r="Z61" s="432"/>
      <c r="AA61" s="586"/>
      <c r="AB61" s="274"/>
      <c r="AC61" s="432"/>
      <c r="AD61" s="237"/>
      <c r="AE61" s="274"/>
      <c r="AF61" s="432"/>
      <c r="AG61" s="255"/>
    </row>
    <row r="62" spans="1:35" s="684" customFormat="1" ht="17.25" customHeight="1" x14ac:dyDescent="0.25">
      <c r="A62" s="297"/>
      <c r="B62" s="653">
        <v>4112102</v>
      </c>
      <c r="C62" s="301" t="s">
        <v>80</v>
      </c>
      <c r="D62" s="173" t="s">
        <v>146</v>
      </c>
      <c r="E62" s="237">
        <v>18</v>
      </c>
      <c r="F62" s="281">
        <v>5</v>
      </c>
      <c r="G62" s="237">
        <v>90</v>
      </c>
      <c r="H62" s="432">
        <v>8.8000000000000003E-4</v>
      </c>
      <c r="I62" s="237">
        <v>0</v>
      </c>
      <c r="J62" s="237">
        <f>I62/G62*100</f>
        <v>0</v>
      </c>
      <c r="K62" s="432">
        <f>J62*$H62</f>
        <v>0</v>
      </c>
      <c r="L62" s="237">
        <v>0</v>
      </c>
      <c r="M62" s="237">
        <f>L62/G62*100</f>
        <v>0</v>
      </c>
      <c r="N62" s="432">
        <f>M62*$H62</f>
        <v>0</v>
      </c>
      <c r="O62" s="277">
        <v>40.29</v>
      </c>
      <c r="P62" s="274">
        <f>O62/G62*100</f>
        <v>44.766666666666666</v>
      </c>
      <c r="Q62" s="432">
        <f>P62*$H62</f>
        <v>3.9394666666666668E-2</v>
      </c>
      <c r="R62" s="237">
        <v>21</v>
      </c>
      <c r="S62" s="274">
        <f>R62/G62*100</f>
        <v>23.333333333333332</v>
      </c>
      <c r="T62" s="432">
        <f>S62*$H62</f>
        <v>2.0533333333333334E-2</v>
      </c>
      <c r="U62" s="237">
        <v>0</v>
      </c>
      <c r="V62" s="274">
        <f>U62/G62*100</f>
        <v>0</v>
      </c>
      <c r="W62" s="432">
        <f>V62*$H62</f>
        <v>0</v>
      </c>
      <c r="X62" s="277">
        <v>0</v>
      </c>
      <c r="Y62" s="274">
        <f>X62/G62*100</f>
        <v>0</v>
      </c>
      <c r="Z62" s="432">
        <f>Y62*$H62</f>
        <v>0</v>
      </c>
      <c r="AA62" s="586">
        <v>28.71</v>
      </c>
      <c r="AB62" s="274">
        <f>AA62/G62*100</f>
        <v>31.900000000000002</v>
      </c>
      <c r="AC62" s="432">
        <f>AB62*$H62</f>
        <v>2.8072000000000003E-2</v>
      </c>
      <c r="AD62" s="237">
        <v>0</v>
      </c>
      <c r="AE62" s="274">
        <f>AD62/G62*100</f>
        <v>0</v>
      </c>
      <c r="AF62" s="432">
        <f>AE62*$H62</f>
        <v>0</v>
      </c>
      <c r="AG62" s="255">
        <f>SUM(AE62+AB62+Y62+V62+S62+P62+M62+J62)</f>
        <v>100</v>
      </c>
      <c r="AH62" s="430">
        <f>N62+Q62+T62+W62+Z62+AC62+AF62</f>
        <v>8.8000000000000009E-2</v>
      </c>
      <c r="AI62" s="684">
        <f t="shared" ref="AI62:AI69" si="57">ROW(AH62)</f>
        <v>62</v>
      </c>
    </row>
    <row r="63" spans="1:35" s="684" customFormat="1" ht="15.75" customHeight="1" x14ac:dyDescent="0.25">
      <c r="A63" s="297"/>
      <c r="B63" s="298"/>
      <c r="C63" s="302" t="s">
        <v>153</v>
      </c>
      <c r="D63" s="173"/>
      <c r="E63" s="237"/>
      <c r="F63" s="281"/>
      <c r="G63" s="237"/>
      <c r="H63" s="432"/>
      <c r="I63" s="237"/>
      <c r="J63" s="237"/>
      <c r="K63" s="432"/>
      <c r="L63" s="237"/>
      <c r="M63" s="237"/>
      <c r="N63" s="432"/>
      <c r="O63" s="277"/>
      <c r="P63" s="274"/>
      <c r="Q63" s="432"/>
      <c r="R63" s="237"/>
      <c r="S63" s="274"/>
      <c r="T63" s="432"/>
      <c r="U63" s="237"/>
      <c r="V63" s="274"/>
      <c r="W63" s="432"/>
      <c r="X63" s="277"/>
      <c r="Y63" s="274"/>
      <c r="Z63" s="432"/>
      <c r="AA63" s="586"/>
      <c r="AB63" s="274"/>
      <c r="AC63" s="432"/>
      <c r="AD63" s="237"/>
      <c r="AE63" s="274"/>
      <c r="AF63" s="432"/>
      <c r="AG63" s="255"/>
      <c r="AH63" s="430">
        <f>N63+Q63+T63+W63+Z63+AC63+AF63</f>
        <v>0</v>
      </c>
      <c r="AI63" s="684">
        <f t="shared" si="57"/>
        <v>63</v>
      </c>
    </row>
    <row r="64" spans="1:35" s="684" customFormat="1" ht="15.75" customHeight="1" x14ac:dyDescent="0.25">
      <c r="A64" s="297"/>
      <c r="B64" s="653">
        <v>4112316</v>
      </c>
      <c r="C64" s="301" t="s">
        <v>81</v>
      </c>
      <c r="D64" s="173" t="s">
        <v>146</v>
      </c>
      <c r="E64" s="237">
        <v>1.28</v>
      </c>
      <c r="F64" s="281">
        <v>7</v>
      </c>
      <c r="G64" s="237">
        <v>8.9700000000000006</v>
      </c>
      <c r="H64" s="432">
        <v>9.0000000000000006E-5</v>
      </c>
      <c r="I64" s="237">
        <v>3.726</v>
      </c>
      <c r="J64" s="237">
        <f>I64/G64*100</f>
        <v>41.538461538461533</v>
      </c>
      <c r="K64" s="432">
        <f>J64*$H64</f>
        <v>3.7384615384615382E-3</v>
      </c>
      <c r="L64" s="237">
        <v>2.7440000000000002</v>
      </c>
      <c r="M64" s="237">
        <f>L64/G64*100</f>
        <v>30.59085841694537</v>
      </c>
      <c r="N64" s="432">
        <f>M64*$H64</f>
        <v>2.7531772575250836E-3</v>
      </c>
      <c r="O64" s="277">
        <v>2.48</v>
      </c>
      <c r="P64" s="274">
        <f>O64/G64*100</f>
        <v>27.647714604236342</v>
      </c>
      <c r="Q64" s="432">
        <f>P64*$H64</f>
        <v>2.4882943143812709E-3</v>
      </c>
      <c r="R64" s="237">
        <v>0</v>
      </c>
      <c r="S64" s="274">
        <f>R64/G64*100</f>
        <v>0</v>
      </c>
      <c r="T64" s="432">
        <f>S64*$H64</f>
        <v>0</v>
      </c>
      <c r="U64" s="237">
        <v>0</v>
      </c>
      <c r="V64" s="274">
        <f>U64/G64*100</f>
        <v>0</v>
      </c>
      <c r="W64" s="432">
        <f>V64*$H64</f>
        <v>0</v>
      </c>
      <c r="X64" s="277">
        <v>0</v>
      </c>
      <c r="Y64" s="274">
        <f>X64/G64*100</f>
        <v>0</v>
      </c>
      <c r="Z64" s="432">
        <f>Y64*$H64</f>
        <v>0</v>
      </c>
      <c r="AA64" s="586">
        <v>0</v>
      </c>
      <c r="AB64" s="274">
        <f>AA64/G64*100</f>
        <v>0</v>
      </c>
      <c r="AC64" s="432">
        <f>AB64*$H64</f>
        <v>0</v>
      </c>
      <c r="AD64" s="237">
        <v>0</v>
      </c>
      <c r="AE64" s="274">
        <f>AD64/G64*100</f>
        <v>0</v>
      </c>
      <c r="AF64" s="432">
        <f>AE64*$H64</f>
        <v>0</v>
      </c>
      <c r="AG64" s="255">
        <f>SUM(AE64+AB64+Y64+V64+S64+P64+M64+J64)</f>
        <v>99.777034559643241</v>
      </c>
      <c r="AH64" s="430">
        <f>N64+Q64+T64+W64+Z64+AC64+AF64</f>
        <v>5.2414715719063549E-3</v>
      </c>
      <c r="AI64" s="684">
        <f t="shared" si="57"/>
        <v>64</v>
      </c>
    </row>
    <row r="65" spans="1:35" s="684" customFormat="1" ht="14.25" customHeight="1" x14ac:dyDescent="0.25">
      <c r="A65" s="297"/>
      <c r="B65" s="298">
        <v>4112316</v>
      </c>
      <c r="C65" s="301" t="s">
        <v>82</v>
      </c>
      <c r="D65" s="173" t="s">
        <v>146</v>
      </c>
      <c r="E65" s="237">
        <v>0.5</v>
      </c>
      <c r="F65" s="281">
        <v>2</v>
      </c>
      <c r="G65" s="237">
        <v>1</v>
      </c>
      <c r="H65" s="432">
        <v>1.0000000000000001E-5</v>
      </c>
      <c r="I65" s="237">
        <v>0.79600000000000004</v>
      </c>
      <c r="J65" s="237">
        <f>I65/G65*100</f>
        <v>79.600000000000009</v>
      </c>
      <c r="K65" s="432">
        <f>J65*$H65</f>
        <v>7.9600000000000016E-4</v>
      </c>
      <c r="L65" s="237">
        <v>0</v>
      </c>
      <c r="M65" s="237">
        <f>L65/G65*100</f>
        <v>0</v>
      </c>
      <c r="N65" s="432">
        <f>M65*$H65</f>
        <v>0</v>
      </c>
      <c r="O65" s="277">
        <v>0</v>
      </c>
      <c r="P65" s="274">
        <f>O65/G65*100</f>
        <v>0</v>
      </c>
      <c r="Q65" s="432">
        <f>P65*$H65</f>
        <v>0</v>
      </c>
      <c r="R65" s="237">
        <v>0</v>
      </c>
      <c r="S65" s="274">
        <f>R65/G65*100</f>
        <v>0</v>
      </c>
      <c r="T65" s="432">
        <f>S65*$H65</f>
        <v>0</v>
      </c>
      <c r="U65" s="237">
        <v>-6.0000000000000001E-3</v>
      </c>
      <c r="V65" s="274">
        <f>U65/G65*100</f>
        <v>-0.6</v>
      </c>
      <c r="W65" s="432">
        <f>V65*$H65</f>
        <v>-6.0000000000000002E-6</v>
      </c>
      <c r="X65" s="277">
        <v>0</v>
      </c>
      <c r="Y65" s="274">
        <f>X65/G65*100</f>
        <v>0</v>
      </c>
      <c r="Z65" s="432">
        <f>Y65*$H65</f>
        <v>0</v>
      </c>
      <c r="AA65" s="586">
        <v>0</v>
      </c>
      <c r="AB65" s="274">
        <f>AA65/G65*100</f>
        <v>0</v>
      </c>
      <c r="AC65" s="432">
        <f>AB65*$H65</f>
        <v>0</v>
      </c>
      <c r="AD65" s="237">
        <v>0</v>
      </c>
      <c r="AE65" s="274">
        <f>AD65/G65*100</f>
        <v>0</v>
      </c>
      <c r="AF65" s="432">
        <f>AE65*$H65</f>
        <v>0</v>
      </c>
      <c r="AG65" s="255">
        <f>SUM(AE65+AB65+Y65+V65+S65+P65+M65+J65)</f>
        <v>79.000000000000014</v>
      </c>
      <c r="AH65" s="430">
        <f>N65+Q65+T65+W65+Z65+AC65+AF65</f>
        <v>-6.0000000000000002E-6</v>
      </c>
      <c r="AI65" s="684">
        <f t="shared" si="57"/>
        <v>65</v>
      </c>
    </row>
    <row r="66" spans="1:35" s="684" customFormat="1" ht="15.75" customHeight="1" x14ac:dyDescent="0.25">
      <c r="A66" s="297"/>
      <c r="B66" s="298"/>
      <c r="C66" s="300" t="s">
        <v>67</v>
      </c>
      <c r="D66" s="173"/>
      <c r="E66" s="237"/>
      <c r="F66" s="281"/>
      <c r="G66" s="237"/>
      <c r="H66" s="432"/>
      <c r="I66" s="237"/>
      <c r="J66" s="237"/>
      <c r="K66" s="432"/>
      <c r="L66" s="237"/>
      <c r="M66" s="237"/>
      <c r="N66" s="432"/>
      <c r="O66" s="277"/>
      <c r="P66" s="274"/>
      <c r="Q66" s="432"/>
      <c r="R66" s="237"/>
      <c r="S66" s="274"/>
      <c r="T66" s="432"/>
      <c r="U66" s="237"/>
      <c r="V66" s="274"/>
      <c r="W66" s="432"/>
      <c r="X66" s="277"/>
      <c r="Y66" s="274"/>
      <c r="Z66" s="432"/>
      <c r="AA66" s="586"/>
      <c r="AB66" s="274"/>
      <c r="AC66" s="432"/>
      <c r="AD66" s="237"/>
      <c r="AE66" s="274"/>
      <c r="AF66" s="432"/>
      <c r="AG66" s="255"/>
      <c r="AI66" s="684">
        <f t="shared" si="57"/>
        <v>66</v>
      </c>
    </row>
    <row r="67" spans="1:35" s="455" customFormat="1" ht="27.75" customHeight="1" x14ac:dyDescent="0.25">
      <c r="A67" s="457"/>
      <c r="B67" s="458">
        <v>4112304</v>
      </c>
      <c r="C67" s="466" t="s">
        <v>83</v>
      </c>
      <c r="D67" s="460" t="s">
        <v>193</v>
      </c>
      <c r="E67" s="456">
        <v>20.5</v>
      </c>
      <c r="F67" s="461">
        <v>17</v>
      </c>
      <c r="G67" s="456">
        <v>20.5</v>
      </c>
      <c r="H67" s="462">
        <v>2.0000000000000001E-4</v>
      </c>
      <c r="I67" s="456">
        <v>0</v>
      </c>
      <c r="J67" s="456">
        <f>I67/G67*100</f>
        <v>0</v>
      </c>
      <c r="K67" s="467">
        <f>J67*$H67</f>
        <v>0</v>
      </c>
      <c r="L67" s="456">
        <v>5.55</v>
      </c>
      <c r="M67" s="456">
        <f>L67/G67*100</f>
        <v>27.073170731707318</v>
      </c>
      <c r="N67" s="467">
        <f>M67*$H67</f>
        <v>5.4146341463414639E-3</v>
      </c>
      <c r="O67" s="580">
        <v>11.15</v>
      </c>
      <c r="P67" s="463">
        <f>O67/G67*100</f>
        <v>54.390243902439025</v>
      </c>
      <c r="Q67" s="462">
        <f>P67*$H67</f>
        <v>1.0878048780487806E-2</v>
      </c>
      <c r="R67" s="456">
        <v>3.48</v>
      </c>
      <c r="S67" s="463">
        <f>R67/G67*100</f>
        <v>16.975609756097562</v>
      </c>
      <c r="T67" s="462">
        <f>S67*$H67</f>
        <v>3.3951219512195125E-3</v>
      </c>
      <c r="U67" s="456">
        <v>0</v>
      </c>
      <c r="V67" s="463">
        <f>U67/G67*100</f>
        <v>0</v>
      </c>
      <c r="W67" s="462">
        <f>V67*$H67</f>
        <v>0</v>
      </c>
      <c r="X67" s="580">
        <v>0</v>
      </c>
      <c r="Y67" s="463">
        <f>X67/G67*100</f>
        <v>0</v>
      </c>
      <c r="Z67" s="462">
        <f>Y67*$H67</f>
        <v>0</v>
      </c>
      <c r="AA67" s="586">
        <v>0</v>
      </c>
      <c r="AB67" s="463">
        <f>AA67/G67*100</f>
        <v>0</v>
      </c>
      <c r="AC67" s="462">
        <f>AB67*$H67</f>
        <v>0</v>
      </c>
      <c r="AD67" s="456">
        <v>0</v>
      </c>
      <c r="AE67" s="463">
        <f>AD67/G67*100</f>
        <v>0</v>
      </c>
      <c r="AF67" s="462">
        <f>AE67*$H67</f>
        <v>0</v>
      </c>
      <c r="AG67" s="464">
        <f>SUM(AE67+AB67+Y67+V67+S67+P67+M67+J67)</f>
        <v>98.439024390243915</v>
      </c>
      <c r="AH67" s="465">
        <f>N67+Q67+T67+W67+Z67+AC67+AF67</f>
        <v>1.9687804878048783E-2</v>
      </c>
      <c r="AI67" s="455">
        <f t="shared" si="57"/>
        <v>67</v>
      </c>
    </row>
    <row r="68" spans="1:35" s="684" customFormat="1" ht="22.5" customHeight="1" x14ac:dyDescent="0.25">
      <c r="A68" s="297"/>
      <c r="B68" s="653">
        <v>4112304</v>
      </c>
      <c r="C68" s="299" t="s">
        <v>84</v>
      </c>
      <c r="D68" s="173" t="s">
        <v>146</v>
      </c>
      <c r="E68" s="237">
        <v>1</v>
      </c>
      <c r="F68" s="281">
        <v>3</v>
      </c>
      <c r="G68" s="237">
        <v>3</v>
      </c>
      <c r="H68" s="432">
        <v>3.0000000000000001E-5</v>
      </c>
      <c r="I68" s="237">
        <v>0</v>
      </c>
      <c r="J68" s="237">
        <f>I68/G68*100</f>
        <v>0</v>
      </c>
      <c r="K68" s="433">
        <f>J68*$H68</f>
        <v>0</v>
      </c>
      <c r="L68" s="237">
        <v>0</v>
      </c>
      <c r="M68" s="237">
        <f>L68/G68*100</f>
        <v>0</v>
      </c>
      <c r="N68" s="433">
        <f>M68*$H68</f>
        <v>0</v>
      </c>
      <c r="O68" s="277">
        <v>0</v>
      </c>
      <c r="P68" s="274">
        <f>O68/G68*100</f>
        <v>0</v>
      </c>
      <c r="Q68" s="432">
        <f>P68*$H68</f>
        <v>0</v>
      </c>
      <c r="R68" s="237">
        <v>2.13</v>
      </c>
      <c r="S68" s="274">
        <f>R68/G68*100</f>
        <v>71</v>
      </c>
      <c r="T68" s="432">
        <f>S68*$H68</f>
        <v>2.1299999999999999E-3</v>
      </c>
      <c r="U68" s="237">
        <v>0</v>
      </c>
      <c r="V68" s="274">
        <f>U68/G68*100</f>
        <v>0</v>
      </c>
      <c r="W68" s="432">
        <f>V68*$H68</f>
        <v>0</v>
      </c>
      <c r="X68" s="277">
        <v>0</v>
      </c>
      <c r="Y68" s="274">
        <f>X68/G68*100</f>
        <v>0</v>
      </c>
      <c r="Z68" s="432">
        <f>Y68*$H68</f>
        <v>0</v>
      </c>
      <c r="AA68" s="586">
        <v>0</v>
      </c>
      <c r="AB68" s="274">
        <f>AA68/G68*100</f>
        <v>0</v>
      </c>
      <c r="AC68" s="432">
        <f>AB68*$H68</f>
        <v>0</v>
      </c>
      <c r="AD68" s="237">
        <v>0</v>
      </c>
      <c r="AE68" s="274">
        <f>AD68/G68*100</f>
        <v>0</v>
      </c>
      <c r="AF68" s="432">
        <f>AE68*$H68</f>
        <v>0</v>
      </c>
      <c r="AG68" s="255">
        <f>SUM(AE68+AB68+Y68+V68+S68+P68+M68+J68)</f>
        <v>71</v>
      </c>
      <c r="AH68" s="430">
        <f>N68+Q68+T68+W68+Z68+AC68+AF68</f>
        <v>2.1299999999999999E-3</v>
      </c>
      <c r="AI68" s="684">
        <f t="shared" si="57"/>
        <v>68</v>
      </c>
    </row>
    <row r="69" spans="1:35" s="684" customFormat="1" ht="23.25" customHeight="1" x14ac:dyDescent="0.25">
      <c r="A69" s="297"/>
      <c r="B69" s="298">
        <v>4112304</v>
      </c>
      <c r="C69" s="299" t="s">
        <v>85</v>
      </c>
      <c r="D69" s="173" t="s">
        <v>146</v>
      </c>
      <c r="E69" s="237">
        <v>0</v>
      </c>
      <c r="F69" s="281" t="s">
        <v>86</v>
      </c>
      <c r="G69" s="237">
        <v>50</v>
      </c>
      <c r="H69" s="432">
        <v>4.8999999999999998E-4</v>
      </c>
      <c r="I69" s="237">
        <v>0</v>
      </c>
      <c r="J69" s="237">
        <f>I69/G69*100</f>
        <v>0</v>
      </c>
      <c r="K69" s="433">
        <f>J69*$H69</f>
        <v>0</v>
      </c>
      <c r="L69" s="237">
        <v>0</v>
      </c>
      <c r="M69" s="237">
        <f>L69/G69*100</f>
        <v>0</v>
      </c>
      <c r="N69" s="433">
        <f>M69*$H69</f>
        <v>0</v>
      </c>
      <c r="O69" s="277">
        <v>0</v>
      </c>
      <c r="P69" s="274">
        <f>O69/G69*100</f>
        <v>0</v>
      </c>
      <c r="Q69" s="432">
        <f>P69*$H69</f>
        <v>0</v>
      </c>
      <c r="R69" s="237">
        <v>7.89</v>
      </c>
      <c r="S69" s="274">
        <f>R69/G69*100</f>
        <v>15.78</v>
      </c>
      <c r="T69" s="432">
        <f>S69*$H69</f>
        <v>7.7321999999999998E-3</v>
      </c>
      <c r="U69" s="237">
        <v>1.6</v>
      </c>
      <c r="V69" s="274">
        <f>U69/G69*100</f>
        <v>3.2</v>
      </c>
      <c r="W69" s="432">
        <f>V69*$H69</f>
        <v>1.5679999999999999E-3</v>
      </c>
      <c r="X69" s="277">
        <v>5</v>
      </c>
      <c r="Y69" s="274">
        <f>X69/G69*100</f>
        <v>10</v>
      </c>
      <c r="Z69" s="432">
        <f>Y69*$H69</f>
        <v>4.8999999999999998E-3</v>
      </c>
      <c r="AA69" s="586">
        <v>35.51</v>
      </c>
      <c r="AB69" s="274">
        <f>AA69/G69*100</f>
        <v>71.02</v>
      </c>
      <c r="AC69" s="432">
        <f>AB69*$H69</f>
        <v>3.4799799999999999E-2</v>
      </c>
      <c r="AD69" s="237">
        <v>0</v>
      </c>
      <c r="AE69" s="274">
        <f>AD69/G69*100</f>
        <v>0</v>
      </c>
      <c r="AF69" s="432">
        <f>AE69*$H69</f>
        <v>0</v>
      </c>
      <c r="AG69" s="255">
        <f>SUM(AE69+AB69+Y69+V69+S69+P69+M69+J69)</f>
        <v>100</v>
      </c>
      <c r="AH69" s="430">
        <f>N69+Q69+T69+W69+Z69+AC69+AF69</f>
        <v>4.9000000000000002E-2</v>
      </c>
      <c r="AI69" s="684">
        <f t="shared" si="57"/>
        <v>69</v>
      </c>
    </row>
    <row r="70" spans="1:35" s="684" customFormat="1" ht="16.5" customHeight="1" x14ac:dyDescent="0.25">
      <c r="A70" s="297"/>
      <c r="B70" s="298"/>
      <c r="C70" s="303" t="s">
        <v>87</v>
      </c>
      <c r="D70" s="173"/>
      <c r="E70" s="237"/>
      <c r="F70" s="281"/>
      <c r="G70" s="237"/>
      <c r="H70" s="432"/>
      <c r="I70" s="237"/>
      <c r="J70" s="237"/>
      <c r="K70" s="433"/>
      <c r="L70" s="237"/>
      <c r="M70" s="237"/>
      <c r="N70" s="433"/>
      <c r="O70" s="277"/>
      <c r="P70" s="274"/>
      <c r="Q70" s="432"/>
      <c r="R70" s="237"/>
      <c r="S70" s="274"/>
      <c r="T70" s="432"/>
      <c r="U70" s="237"/>
      <c r="V70" s="274"/>
      <c r="W70" s="432"/>
      <c r="X70" s="277"/>
      <c r="Y70" s="274"/>
      <c r="Z70" s="432"/>
      <c r="AA70" s="586"/>
      <c r="AB70" s="274"/>
      <c r="AC70" s="432"/>
      <c r="AD70" s="237"/>
      <c r="AE70" s="274"/>
      <c r="AF70" s="432"/>
      <c r="AG70" s="255"/>
    </row>
    <row r="71" spans="1:35" s="455" customFormat="1" ht="39.75" customHeight="1" x14ac:dyDescent="0.25">
      <c r="A71" s="457"/>
      <c r="B71" s="458">
        <v>4112202</v>
      </c>
      <c r="C71" s="459" t="s">
        <v>88</v>
      </c>
      <c r="D71" s="460" t="s">
        <v>146</v>
      </c>
      <c r="E71" s="456">
        <v>0.66</v>
      </c>
      <c r="F71" s="461">
        <v>37</v>
      </c>
      <c r="G71" s="456">
        <v>24.5</v>
      </c>
      <c r="H71" s="462">
        <v>2.4000000000000001E-4</v>
      </c>
      <c r="I71" s="456">
        <v>3.879</v>
      </c>
      <c r="J71" s="456">
        <f t="shared" ref="J71:J76" si="58">I71/G71*100</f>
        <v>15.832653061224489</v>
      </c>
      <c r="K71" s="467">
        <f t="shared" ref="K71:K76" si="59">J71*$H71</f>
        <v>3.7998367346938774E-3</v>
      </c>
      <c r="L71" s="456">
        <v>7.141</v>
      </c>
      <c r="M71" s="456">
        <f t="shared" ref="M71:M76" si="60">L71/G71*100</f>
        <v>29.146938775510208</v>
      </c>
      <c r="N71" s="467">
        <f t="shared" ref="N71:N76" si="61">M71*$H71</f>
        <v>6.9952653061224499E-3</v>
      </c>
      <c r="O71" s="580">
        <v>6.18</v>
      </c>
      <c r="P71" s="463">
        <f t="shared" ref="P71:P76" si="62">O71/G71*100</f>
        <v>25.224489795918366</v>
      </c>
      <c r="Q71" s="462">
        <f t="shared" ref="Q71:Q76" si="63">P71*$H71</f>
        <v>6.0538775510204082E-3</v>
      </c>
      <c r="R71" s="456">
        <v>2.27</v>
      </c>
      <c r="S71" s="463">
        <f t="shared" ref="S71:S76" si="64">R71/G71*100</f>
        <v>9.2653061224489797</v>
      </c>
      <c r="T71" s="462">
        <f t="shared" ref="T71:T76" si="65">S71*$H71</f>
        <v>2.223673469387755E-3</v>
      </c>
      <c r="U71" s="456">
        <v>0</v>
      </c>
      <c r="V71" s="463">
        <f t="shared" ref="V71:V76" si="66">U71/G71*100</f>
        <v>0</v>
      </c>
      <c r="W71" s="462">
        <f t="shared" ref="W71:W76" si="67">V71*$H71</f>
        <v>0</v>
      </c>
      <c r="X71" s="580">
        <v>0</v>
      </c>
      <c r="Y71" s="463">
        <f t="shared" ref="Y71:Y76" si="68">X71/G71*100</f>
        <v>0</v>
      </c>
      <c r="Z71" s="462">
        <f t="shared" ref="Z71:Z76" si="69">Y71*$H71</f>
        <v>0</v>
      </c>
      <c r="AA71" s="586">
        <v>5.0300000000000011</v>
      </c>
      <c r="AB71" s="463">
        <f t="shared" ref="AB71:AB76" si="70">AA71/G71*100</f>
        <v>20.530612244897963</v>
      </c>
      <c r="AC71" s="462">
        <f t="shared" ref="AC71:AC76" si="71">AB71*$H71</f>
        <v>4.9273469387755113E-3</v>
      </c>
      <c r="AD71" s="456">
        <v>0</v>
      </c>
      <c r="AE71" s="463">
        <f t="shared" ref="AE71:AE76" si="72">AD71/G71*100</f>
        <v>0</v>
      </c>
      <c r="AF71" s="462">
        <f t="shared" ref="AF71:AF76" si="73">AE71*$H71</f>
        <v>0</v>
      </c>
      <c r="AG71" s="464">
        <f t="shared" ref="AG71:AG76" si="74">SUM(AE71+AB71+Y71+V71+S71+P71+M71+J71)</f>
        <v>100.00000000000001</v>
      </c>
      <c r="AH71" s="465">
        <f t="shared" ref="AH71:AH76" si="75">N71+Q71+T71+W71+Z71+AC71+AF71</f>
        <v>2.0200163265306124E-2</v>
      </c>
      <c r="AI71" s="455">
        <f t="shared" ref="AI71:AI76" si="76">ROW(AH71)</f>
        <v>71</v>
      </c>
    </row>
    <row r="72" spans="1:35" s="455" customFormat="1" ht="24.75" customHeight="1" x14ac:dyDescent="0.25">
      <c r="A72" s="457"/>
      <c r="B72" s="458">
        <v>4112202</v>
      </c>
      <c r="C72" s="459" t="s">
        <v>89</v>
      </c>
      <c r="D72" s="460" t="s">
        <v>146</v>
      </c>
      <c r="E72" s="456">
        <v>1.25</v>
      </c>
      <c r="F72" s="461">
        <v>11</v>
      </c>
      <c r="G72" s="456">
        <v>13.75</v>
      </c>
      <c r="H72" s="462">
        <v>1.2999999999999999E-4</v>
      </c>
      <c r="I72" s="456">
        <v>3.7440000000000002</v>
      </c>
      <c r="J72" s="456">
        <f t="shared" si="58"/>
        <v>27.229090909090907</v>
      </c>
      <c r="K72" s="467">
        <f t="shared" si="59"/>
        <v>3.5397818181818175E-3</v>
      </c>
      <c r="L72" s="456">
        <v>0</v>
      </c>
      <c r="M72" s="456">
        <f t="shared" si="60"/>
        <v>0</v>
      </c>
      <c r="N72" s="467">
        <f t="shared" si="61"/>
        <v>0</v>
      </c>
      <c r="O72" s="580">
        <v>2.9860000000000002</v>
      </c>
      <c r="P72" s="463">
        <f t="shared" si="62"/>
        <v>21.716363636363639</v>
      </c>
      <c r="Q72" s="462">
        <f t="shared" si="63"/>
        <v>2.8231272727272726E-3</v>
      </c>
      <c r="R72" s="456">
        <v>3.15</v>
      </c>
      <c r="S72" s="463">
        <f t="shared" si="64"/>
        <v>22.90909090909091</v>
      </c>
      <c r="T72" s="462">
        <f t="shared" si="65"/>
        <v>2.9781818181818182E-3</v>
      </c>
      <c r="U72" s="456">
        <v>0</v>
      </c>
      <c r="V72" s="463">
        <f t="shared" si="66"/>
        <v>0</v>
      </c>
      <c r="W72" s="462">
        <f t="shared" si="67"/>
        <v>0</v>
      </c>
      <c r="X72" s="580">
        <v>0</v>
      </c>
      <c r="Y72" s="463">
        <f t="shared" si="68"/>
        <v>0</v>
      </c>
      <c r="Z72" s="462">
        <f t="shared" si="69"/>
        <v>0</v>
      </c>
      <c r="AA72" s="586">
        <v>3.8699999999999992</v>
      </c>
      <c r="AB72" s="463">
        <f t="shared" si="70"/>
        <v>28.145454545454541</v>
      </c>
      <c r="AC72" s="462">
        <f t="shared" si="71"/>
        <v>3.6589090909090898E-3</v>
      </c>
      <c r="AD72" s="456">
        <v>0</v>
      </c>
      <c r="AE72" s="463">
        <f t="shared" si="72"/>
        <v>0</v>
      </c>
      <c r="AF72" s="462">
        <f t="shared" si="73"/>
        <v>0</v>
      </c>
      <c r="AG72" s="464">
        <f t="shared" si="74"/>
        <v>100</v>
      </c>
      <c r="AH72" s="465">
        <f t="shared" si="75"/>
        <v>9.4602181818181797E-3</v>
      </c>
      <c r="AI72" s="455">
        <f t="shared" si="76"/>
        <v>72</v>
      </c>
    </row>
    <row r="73" spans="1:35" s="455" customFormat="1" ht="17.25" customHeight="1" x14ac:dyDescent="0.25">
      <c r="A73" s="457"/>
      <c r="B73" s="458">
        <v>4112202</v>
      </c>
      <c r="C73" s="466" t="s">
        <v>90</v>
      </c>
      <c r="D73" s="460" t="s">
        <v>160</v>
      </c>
      <c r="E73" s="456">
        <v>0.75</v>
      </c>
      <c r="F73" s="461">
        <v>2</v>
      </c>
      <c r="G73" s="456">
        <v>1.5</v>
      </c>
      <c r="H73" s="462">
        <v>1.0000000000000001E-5</v>
      </c>
      <c r="I73" s="456">
        <v>0</v>
      </c>
      <c r="J73" s="456">
        <f t="shared" si="58"/>
        <v>0</v>
      </c>
      <c r="K73" s="467">
        <f t="shared" si="59"/>
        <v>0</v>
      </c>
      <c r="L73" s="456">
        <v>0.2</v>
      </c>
      <c r="M73" s="456">
        <f t="shared" si="60"/>
        <v>13.333333333333334</v>
      </c>
      <c r="N73" s="467">
        <f t="shared" si="61"/>
        <v>1.3333333333333334E-4</v>
      </c>
      <c r="O73" s="580">
        <v>0</v>
      </c>
      <c r="P73" s="463">
        <f t="shared" si="62"/>
        <v>0</v>
      </c>
      <c r="Q73" s="462">
        <f t="shared" si="63"/>
        <v>0</v>
      </c>
      <c r="R73" s="456">
        <v>0</v>
      </c>
      <c r="S73" s="463">
        <f t="shared" si="64"/>
        <v>0</v>
      </c>
      <c r="T73" s="462">
        <f t="shared" si="65"/>
        <v>0</v>
      </c>
      <c r="U73" s="456">
        <v>0</v>
      </c>
      <c r="V73" s="463">
        <f t="shared" si="66"/>
        <v>0</v>
      </c>
      <c r="W73" s="462">
        <f t="shared" si="67"/>
        <v>0</v>
      </c>
      <c r="X73" s="580">
        <v>0</v>
      </c>
      <c r="Y73" s="463">
        <f t="shared" si="68"/>
        <v>0</v>
      </c>
      <c r="Z73" s="462">
        <f t="shared" si="69"/>
        <v>0</v>
      </c>
      <c r="AA73" s="586">
        <v>1.3</v>
      </c>
      <c r="AB73" s="463">
        <f t="shared" si="70"/>
        <v>86.666666666666671</v>
      </c>
      <c r="AC73" s="462">
        <f t="shared" si="71"/>
        <v>8.6666666666666674E-4</v>
      </c>
      <c r="AD73" s="456">
        <v>0</v>
      </c>
      <c r="AE73" s="463">
        <f t="shared" si="72"/>
        <v>0</v>
      </c>
      <c r="AF73" s="462">
        <f t="shared" si="73"/>
        <v>0</v>
      </c>
      <c r="AG73" s="464">
        <f t="shared" si="74"/>
        <v>100</v>
      </c>
      <c r="AH73" s="465">
        <f t="shared" si="75"/>
        <v>1E-3</v>
      </c>
      <c r="AI73" s="455">
        <f t="shared" si="76"/>
        <v>73</v>
      </c>
    </row>
    <row r="74" spans="1:35" s="455" customFormat="1" ht="15.75" customHeight="1" x14ac:dyDescent="0.25">
      <c r="A74" s="457"/>
      <c r="B74" s="458">
        <v>4112202</v>
      </c>
      <c r="C74" s="466" t="s">
        <v>91</v>
      </c>
      <c r="D74" s="460" t="s">
        <v>146</v>
      </c>
      <c r="E74" s="456">
        <v>0.31</v>
      </c>
      <c r="F74" s="461">
        <v>17</v>
      </c>
      <c r="G74" s="456">
        <v>5.25</v>
      </c>
      <c r="H74" s="462">
        <v>5.0000000000000002E-5</v>
      </c>
      <c r="I74" s="456">
        <v>2.97</v>
      </c>
      <c r="J74" s="456">
        <f t="shared" si="58"/>
        <v>56.571428571428569</v>
      </c>
      <c r="K74" s="467">
        <f t="shared" si="59"/>
        <v>2.8285714285714286E-3</v>
      </c>
      <c r="L74" s="456">
        <v>0.2</v>
      </c>
      <c r="M74" s="456">
        <f t="shared" si="60"/>
        <v>3.8095238095238098</v>
      </c>
      <c r="N74" s="467">
        <f t="shared" si="61"/>
        <v>1.9047619047619051E-4</v>
      </c>
      <c r="O74" s="580">
        <v>0</v>
      </c>
      <c r="P74" s="463">
        <f t="shared" si="62"/>
        <v>0</v>
      </c>
      <c r="Q74" s="462">
        <f t="shared" si="63"/>
        <v>0</v>
      </c>
      <c r="R74" s="456">
        <v>0.91</v>
      </c>
      <c r="S74" s="463">
        <f t="shared" si="64"/>
        <v>17.333333333333336</v>
      </c>
      <c r="T74" s="462">
        <f t="shared" si="65"/>
        <v>8.6666666666666684E-4</v>
      </c>
      <c r="U74" s="456">
        <v>0</v>
      </c>
      <c r="V74" s="463">
        <f t="shared" si="66"/>
        <v>0</v>
      </c>
      <c r="W74" s="462">
        <f t="shared" si="67"/>
        <v>0</v>
      </c>
      <c r="X74" s="580">
        <v>0</v>
      </c>
      <c r="Y74" s="463">
        <f t="shared" si="68"/>
        <v>0</v>
      </c>
      <c r="Z74" s="462">
        <f t="shared" si="69"/>
        <v>0</v>
      </c>
      <c r="AA74" s="586">
        <v>1.17</v>
      </c>
      <c r="AB74" s="463">
        <f t="shared" si="70"/>
        <v>22.285714285714285</v>
      </c>
      <c r="AC74" s="462">
        <f t="shared" si="71"/>
        <v>1.1142857142857144E-3</v>
      </c>
      <c r="AD74" s="456">
        <v>0</v>
      </c>
      <c r="AE74" s="463">
        <f t="shared" si="72"/>
        <v>0</v>
      </c>
      <c r="AF74" s="462">
        <f t="shared" si="73"/>
        <v>0</v>
      </c>
      <c r="AG74" s="464">
        <f t="shared" si="74"/>
        <v>100</v>
      </c>
      <c r="AH74" s="465">
        <f t="shared" si="75"/>
        <v>2.1714285714285715E-3</v>
      </c>
      <c r="AI74" s="455">
        <f t="shared" si="76"/>
        <v>74</v>
      </c>
    </row>
    <row r="75" spans="1:35" s="684" customFormat="1" ht="15.75" customHeight="1" x14ac:dyDescent="0.25">
      <c r="A75" s="297"/>
      <c r="B75" s="275">
        <v>4112314</v>
      </c>
      <c r="C75" s="301" t="s">
        <v>62</v>
      </c>
      <c r="D75" s="173" t="s">
        <v>191</v>
      </c>
      <c r="E75" s="277">
        <v>50</v>
      </c>
      <c r="F75" s="278" t="s">
        <v>92</v>
      </c>
      <c r="G75" s="237">
        <v>50</v>
      </c>
      <c r="H75" s="432">
        <v>4.8999999999999998E-4</v>
      </c>
      <c r="I75" s="237">
        <v>7.96</v>
      </c>
      <c r="J75" s="237">
        <f t="shared" si="58"/>
        <v>15.920000000000002</v>
      </c>
      <c r="K75" s="433">
        <f t="shared" si="59"/>
        <v>7.800800000000001E-3</v>
      </c>
      <c r="L75" s="237">
        <v>8.44</v>
      </c>
      <c r="M75" s="237">
        <f t="shared" si="60"/>
        <v>16.88</v>
      </c>
      <c r="N75" s="433">
        <f t="shared" si="61"/>
        <v>8.2711999999999994E-3</v>
      </c>
      <c r="O75" s="277">
        <v>8.99</v>
      </c>
      <c r="P75" s="274">
        <f t="shared" si="62"/>
        <v>17.98</v>
      </c>
      <c r="Q75" s="432">
        <f t="shared" si="63"/>
        <v>8.8102000000000007E-3</v>
      </c>
      <c r="R75" s="237">
        <v>9.9600000000000009</v>
      </c>
      <c r="S75" s="274">
        <f t="shared" si="64"/>
        <v>19.920000000000002</v>
      </c>
      <c r="T75" s="432">
        <f t="shared" si="65"/>
        <v>9.7608E-3</v>
      </c>
      <c r="U75" s="237">
        <v>9.9700000000000006</v>
      </c>
      <c r="V75" s="274">
        <f t="shared" si="66"/>
        <v>19.940000000000001</v>
      </c>
      <c r="W75" s="432">
        <f t="shared" si="67"/>
        <v>9.7706000000000008E-3</v>
      </c>
      <c r="X75" s="277">
        <v>0</v>
      </c>
      <c r="Y75" s="274">
        <f t="shared" si="68"/>
        <v>0</v>
      </c>
      <c r="Z75" s="432">
        <f t="shared" si="69"/>
        <v>0</v>
      </c>
      <c r="AA75" s="586">
        <v>2.9016000000000002</v>
      </c>
      <c r="AB75" s="274">
        <f t="shared" si="70"/>
        <v>5.8032000000000004</v>
      </c>
      <c r="AC75" s="432">
        <f t="shared" si="71"/>
        <v>2.8435679999999999E-3</v>
      </c>
      <c r="AD75" s="237">
        <v>1.7784</v>
      </c>
      <c r="AE75" s="274">
        <f t="shared" si="72"/>
        <v>3.5568000000000004</v>
      </c>
      <c r="AF75" s="432">
        <f t="shared" si="73"/>
        <v>1.7428320000000001E-3</v>
      </c>
      <c r="AG75" s="255">
        <f t="shared" si="74"/>
        <v>100</v>
      </c>
      <c r="AH75" s="430">
        <f t="shared" si="75"/>
        <v>4.1199199999999998E-2</v>
      </c>
      <c r="AI75" s="684">
        <f t="shared" si="76"/>
        <v>75</v>
      </c>
    </row>
    <row r="76" spans="1:35" s="684" customFormat="1" ht="16.5" customHeight="1" x14ac:dyDescent="0.25">
      <c r="A76" s="297"/>
      <c r="B76" s="275">
        <v>4112303</v>
      </c>
      <c r="C76" s="301" t="s">
        <v>93</v>
      </c>
      <c r="D76" s="173" t="s">
        <v>146</v>
      </c>
      <c r="E76" s="237">
        <v>1</v>
      </c>
      <c r="F76" s="278">
        <v>15</v>
      </c>
      <c r="G76" s="237">
        <v>15</v>
      </c>
      <c r="H76" s="432">
        <v>1.4999999999999999E-4</v>
      </c>
      <c r="I76" s="237">
        <v>0</v>
      </c>
      <c r="J76" s="237">
        <f t="shared" si="58"/>
        <v>0</v>
      </c>
      <c r="K76" s="433">
        <f t="shared" si="59"/>
        <v>0</v>
      </c>
      <c r="L76" s="237">
        <v>0</v>
      </c>
      <c r="M76" s="237">
        <f t="shared" si="60"/>
        <v>0</v>
      </c>
      <c r="N76" s="433">
        <f t="shared" si="61"/>
        <v>0</v>
      </c>
      <c r="O76" s="277">
        <v>3.77</v>
      </c>
      <c r="P76" s="274">
        <f t="shared" si="62"/>
        <v>25.133333333333336</v>
      </c>
      <c r="Q76" s="432">
        <f t="shared" si="63"/>
        <v>3.7700000000000003E-3</v>
      </c>
      <c r="R76" s="237">
        <v>2</v>
      </c>
      <c r="S76" s="274">
        <f t="shared" si="64"/>
        <v>13.333333333333334</v>
      </c>
      <c r="T76" s="432">
        <f t="shared" si="65"/>
        <v>2E-3</v>
      </c>
      <c r="U76" s="237">
        <v>3.96</v>
      </c>
      <c r="V76" s="274">
        <f t="shared" si="66"/>
        <v>26.400000000000002</v>
      </c>
      <c r="W76" s="432">
        <f t="shared" si="67"/>
        <v>3.96E-3</v>
      </c>
      <c r="X76" s="277">
        <v>4</v>
      </c>
      <c r="Y76" s="274">
        <f t="shared" si="68"/>
        <v>26.666666666666668</v>
      </c>
      <c r="Z76" s="432">
        <f t="shared" si="69"/>
        <v>4.0000000000000001E-3</v>
      </c>
      <c r="AA76" s="586">
        <v>0.77469999999999972</v>
      </c>
      <c r="AB76" s="274">
        <f t="shared" si="70"/>
        <v>5.1646666666666645</v>
      </c>
      <c r="AC76" s="432">
        <f t="shared" si="71"/>
        <v>7.7469999999999959E-4</v>
      </c>
      <c r="AD76" s="237">
        <v>0.49529999999999991</v>
      </c>
      <c r="AE76" s="274">
        <f t="shared" si="72"/>
        <v>3.3019999999999996</v>
      </c>
      <c r="AF76" s="432">
        <f t="shared" si="73"/>
        <v>4.9529999999999995E-4</v>
      </c>
      <c r="AG76" s="255">
        <f t="shared" si="74"/>
        <v>100</v>
      </c>
      <c r="AH76" s="430">
        <f t="shared" si="75"/>
        <v>1.5000000000000001E-2</v>
      </c>
      <c r="AI76" s="684">
        <f t="shared" si="76"/>
        <v>76</v>
      </c>
    </row>
    <row r="77" spans="1:35" s="684" customFormat="1" ht="18.75" customHeight="1" x14ac:dyDescent="0.25">
      <c r="A77" s="297"/>
      <c r="B77" s="270"/>
      <c r="C77" s="300" t="s">
        <v>97</v>
      </c>
      <c r="D77" s="173"/>
      <c r="E77" s="237"/>
      <c r="F77" s="273"/>
      <c r="G77" s="237"/>
      <c r="H77" s="432"/>
      <c r="I77" s="237"/>
      <c r="J77" s="237"/>
      <c r="K77" s="433"/>
      <c r="L77" s="237"/>
      <c r="M77" s="237"/>
      <c r="N77" s="433"/>
      <c r="O77" s="277"/>
      <c r="P77" s="274"/>
      <c r="Q77" s="432"/>
      <c r="R77" s="237"/>
      <c r="S77" s="274"/>
      <c r="T77" s="432"/>
      <c r="U77" s="237"/>
      <c r="V77" s="274"/>
      <c r="W77" s="432"/>
      <c r="X77" s="277"/>
      <c r="Y77" s="274"/>
      <c r="Z77" s="432"/>
      <c r="AA77" s="586"/>
      <c r="AB77" s="274"/>
      <c r="AC77" s="432"/>
      <c r="AD77" s="237"/>
      <c r="AE77" s="274"/>
      <c r="AF77" s="432"/>
      <c r="AG77" s="255"/>
    </row>
    <row r="78" spans="1:35" s="684" customFormat="1" ht="16.5" customHeight="1" x14ac:dyDescent="0.25">
      <c r="A78" s="297"/>
      <c r="B78" s="275">
        <v>4141101</v>
      </c>
      <c r="C78" s="301" t="s">
        <v>98</v>
      </c>
      <c r="D78" s="173" t="s">
        <v>99</v>
      </c>
      <c r="E78" s="237">
        <v>48.62</v>
      </c>
      <c r="F78" s="281">
        <v>470</v>
      </c>
      <c r="G78" s="237">
        <v>22850</v>
      </c>
      <c r="H78" s="432">
        <v>0.22345000000000001</v>
      </c>
      <c r="I78" s="237">
        <v>0</v>
      </c>
      <c r="J78" s="237">
        <f>I78/G78*100</f>
        <v>0</v>
      </c>
      <c r="K78" s="433">
        <f>J78*$H78</f>
        <v>0</v>
      </c>
      <c r="L78" s="237">
        <v>0</v>
      </c>
      <c r="M78" s="237">
        <f>L78/G78*100</f>
        <v>0</v>
      </c>
      <c r="N78" s="433">
        <f>M78*$H78</f>
        <v>0</v>
      </c>
      <c r="O78" s="277">
        <v>4649.6499999999996</v>
      </c>
      <c r="P78" s="274">
        <f>O78/G78*100</f>
        <v>20.348577680525164</v>
      </c>
      <c r="Q78" s="432">
        <f>P78*$H78</f>
        <v>4.5468896827133483</v>
      </c>
      <c r="R78" s="237">
        <v>5794.05</v>
      </c>
      <c r="S78" s="274">
        <f>R78/G78*100</f>
        <v>25.356892778993434</v>
      </c>
      <c r="T78" s="432">
        <f>S78*$H78</f>
        <v>5.6659976914660826</v>
      </c>
      <c r="U78" s="237">
        <v>3879.9</v>
      </c>
      <c r="V78" s="274">
        <f>U78/G78*100</f>
        <v>16.979868708971555</v>
      </c>
      <c r="W78" s="432">
        <f>V78*$H78</f>
        <v>3.7941516630196941</v>
      </c>
      <c r="X78" s="277">
        <v>2049.42</v>
      </c>
      <c r="Y78" s="274">
        <f>X78/G78*100</f>
        <v>8.9690153172866527</v>
      </c>
      <c r="Z78" s="432">
        <f>Y78*$H78</f>
        <v>2.0041264726477026</v>
      </c>
      <c r="AA78" s="586">
        <v>6476.98</v>
      </c>
      <c r="AB78" s="274">
        <f>AA78/G78*100</f>
        <v>28.345645514223193</v>
      </c>
      <c r="AC78" s="432">
        <f>AB78*$H78</f>
        <v>6.3338344901531727</v>
      </c>
      <c r="AD78" s="237">
        <v>0</v>
      </c>
      <c r="AE78" s="274">
        <f>AD78/G78*100</f>
        <v>0</v>
      </c>
      <c r="AF78" s="432">
        <f>AE78*$H78</f>
        <v>0</v>
      </c>
      <c r="AG78" s="255">
        <f>SUM(AE78+AB78+Y78+V78+S78+P78+M78+J78)</f>
        <v>100.00000000000001</v>
      </c>
      <c r="AH78" s="430">
        <f>N78+Q78+T78+W78+Z78+AC78+AF78</f>
        <v>22.344999999999999</v>
      </c>
      <c r="AI78" s="684">
        <f>ROW(AH78)</f>
        <v>78</v>
      </c>
    </row>
    <row r="79" spans="1:35" s="684" customFormat="1" ht="15.75" customHeight="1" x14ac:dyDescent="0.25">
      <c r="A79" s="297"/>
      <c r="B79" s="270"/>
      <c r="C79" s="300" t="s">
        <v>100</v>
      </c>
      <c r="D79" s="179"/>
      <c r="E79" s="237"/>
      <c r="F79" s="281"/>
      <c r="G79" s="237"/>
      <c r="H79" s="432"/>
      <c r="I79" s="237"/>
      <c r="J79" s="237"/>
      <c r="K79" s="432"/>
      <c r="L79" s="237"/>
      <c r="M79" s="237"/>
      <c r="N79" s="432"/>
      <c r="O79" s="277"/>
      <c r="P79" s="237"/>
      <c r="Q79" s="432"/>
      <c r="R79" s="237"/>
      <c r="S79" s="237"/>
      <c r="T79" s="432"/>
      <c r="U79" s="237"/>
      <c r="V79" s="237"/>
      <c r="W79" s="432"/>
      <c r="X79" s="277"/>
      <c r="Y79" s="237"/>
      <c r="Z79" s="432"/>
      <c r="AA79" s="586"/>
      <c r="AB79" s="237"/>
      <c r="AC79" s="432"/>
      <c r="AD79" s="237"/>
      <c r="AE79" s="274"/>
      <c r="AF79" s="432"/>
      <c r="AG79" s="255"/>
    </row>
    <row r="80" spans="1:35" s="684" customFormat="1" ht="15.75" customHeight="1" x14ac:dyDescent="0.25">
      <c r="A80" s="297"/>
      <c r="B80" s="298"/>
      <c r="C80" s="295" t="s">
        <v>162</v>
      </c>
      <c r="D80" s="179"/>
      <c r="E80" s="237"/>
      <c r="F80" s="281"/>
      <c r="G80" s="237"/>
      <c r="H80" s="432"/>
      <c r="I80" s="237"/>
      <c r="J80" s="237"/>
      <c r="K80" s="432"/>
      <c r="L80" s="237"/>
      <c r="M80" s="237"/>
      <c r="N80" s="432"/>
      <c r="O80" s="277"/>
      <c r="P80" s="274"/>
      <c r="Q80" s="432"/>
      <c r="R80" s="237"/>
      <c r="S80" s="274"/>
      <c r="T80" s="432"/>
      <c r="U80" s="237"/>
      <c r="V80" s="274"/>
      <c r="W80" s="432"/>
      <c r="X80" s="277"/>
      <c r="Y80" s="274"/>
      <c r="Z80" s="432"/>
      <c r="AA80" s="586"/>
      <c r="AB80" s="274"/>
      <c r="AC80" s="432"/>
      <c r="AD80" s="237"/>
      <c r="AE80" s="274"/>
      <c r="AF80" s="432"/>
      <c r="AG80" s="255"/>
    </row>
    <row r="81" spans="1:35" s="684" customFormat="1" ht="15.75" customHeight="1" x14ac:dyDescent="0.25">
      <c r="A81" s="297"/>
      <c r="B81" s="298">
        <v>4111306</v>
      </c>
      <c r="C81" s="304" t="s">
        <v>102</v>
      </c>
      <c r="D81" s="173" t="s">
        <v>146</v>
      </c>
      <c r="E81" s="237">
        <v>9.56</v>
      </c>
      <c r="F81" s="680">
        <v>127</v>
      </c>
      <c r="G81" s="237">
        <v>1213.55</v>
      </c>
      <c r="H81" s="432">
        <v>1.187E-2</v>
      </c>
      <c r="I81" s="237">
        <v>0</v>
      </c>
      <c r="J81" s="237">
        <f>I81/G81*100</f>
        <v>0</v>
      </c>
      <c r="K81" s="432">
        <f>J81*$H81</f>
        <v>0</v>
      </c>
      <c r="L81" s="237">
        <v>0</v>
      </c>
      <c r="M81" s="237">
        <f>L81/G81*100</f>
        <v>0</v>
      </c>
      <c r="N81" s="432">
        <f>M81*$H81</f>
        <v>0</v>
      </c>
      <c r="O81" s="277">
        <v>0</v>
      </c>
      <c r="P81" s="274">
        <f>O81/G81*100</f>
        <v>0</v>
      </c>
      <c r="Q81" s="432">
        <f>P81*$H81</f>
        <v>0</v>
      </c>
      <c r="R81" s="237">
        <v>0</v>
      </c>
      <c r="S81" s="274"/>
      <c r="T81" s="432"/>
      <c r="U81" s="237">
        <v>116.72</v>
      </c>
      <c r="V81" s="274">
        <f>U81/G81*100</f>
        <v>9.6180627085822596</v>
      </c>
      <c r="W81" s="432">
        <f>V81*$H81</f>
        <v>0.11416640435087143</v>
      </c>
      <c r="X81" s="277">
        <v>490.33</v>
      </c>
      <c r="Y81" s="274">
        <f>X81/G81*100</f>
        <v>40.40459808001318</v>
      </c>
      <c r="Z81" s="432">
        <f>Y81*$H81</f>
        <v>0.47960257920975646</v>
      </c>
      <c r="AA81" s="586">
        <v>333.57499999999999</v>
      </c>
      <c r="AB81" s="274">
        <f>AA81/G81*100</f>
        <v>27.487536566272507</v>
      </c>
      <c r="AC81" s="432">
        <f>AB81*$H81</f>
        <v>0.32627705904165466</v>
      </c>
      <c r="AD81" s="237">
        <v>272.92500000000001</v>
      </c>
      <c r="AE81" s="274">
        <f>AD81/G81*100</f>
        <v>22.489802645132055</v>
      </c>
      <c r="AF81" s="432">
        <f>AE81*$H81</f>
        <v>0.26695395739771749</v>
      </c>
      <c r="AG81" s="255">
        <f>SUM(AE81+AB81+Y81+V81+S81+P81+M81+J81)</f>
        <v>100</v>
      </c>
      <c r="AH81" s="430">
        <f>N81+Q81+T81+W81+Z81+AC81+AF81</f>
        <v>1.1870000000000001</v>
      </c>
      <c r="AI81" s="684">
        <f>ROW(AH81)</f>
        <v>81</v>
      </c>
    </row>
    <row r="82" spans="1:35" s="684" customFormat="1" ht="15.75" customHeight="1" x14ac:dyDescent="0.25">
      <c r="A82" s="297"/>
      <c r="B82" s="298"/>
      <c r="C82" s="295" t="s">
        <v>103</v>
      </c>
      <c r="D82" s="179"/>
      <c r="E82" s="237"/>
      <c r="F82" s="281"/>
      <c r="G82" s="237"/>
      <c r="H82" s="432"/>
      <c r="I82" s="237"/>
      <c r="J82" s="237"/>
      <c r="K82" s="432"/>
      <c r="L82" s="237"/>
      <c r="M82" s="237"/>
      <c r="N82" s="432"/>
      <c r="O82" s="277"/>
      <c r="P82" s="274"/>
      <c r="Q82" s="432"/>
      <c r="R82" s="237"/>
      <c r="S82" s="274"/>
      <c r="T82" s="432"/>
      <c r="U82" s="237"/>
      <c r="V82" s="274"/>
      <c r="W82" s="432"/>
      <c r="X82" s="277"/>
      <c r="Y82" s="274"/>
      <c r="Z82" s="432"/>
      <c r="AA82" s="586"/>
      <c r="AB82" s="274"/>
      <c r="AC82" s="432"/>
      <c r="AD82" s="237"/>
      <c r="AE82" s="274"/>
      <c r="AF82" s="432"/>
      <c r="AG82" s="255"/>
    </row>
    <row r="83" spans="1:35" s="684" customFormat="1" ht="15.75" customHeight="1" x14ac:dyDescent="0.25">
      <c r="A83" s="297"/>
      <c r="B83" s="298">
        <v>4111307</v>
      </c>
      <c r="C83" s="304" t="s">
        <v>104</v>
      </c>
      <c r="D83" s="173" t="s">
        <v>146</v>
      </c>
      <c r="E83" s="237">
        <v>255.32</v>
      </c>
      <c r="F83" s="680">
        <v>5</v>
      </c>
      <c r="G83" s="237">
        <v>1276.6199999999999</v>
      </c>
      <c r="H83" s="432">
        <v>1.248E-2</v>
      </c>
      <c r="I83" s="237">
        <v>0</v>
      </c>
      <c r="J83" s="237">
        <f>I83/G83*100</f>
        <v>0</v>
      </c>
      <c r="K83" s="432">
        <f>J83*$H83</f>
        <v>0</v>
      </c>
      <c r="L83" s="237">
        <v>0</v>
      </c>
      <c r="M83" s="237">
        <f>L83/G83*100</f>
        <v>0</v>
      </c>
      <c r="N83" s="432">
        <f>M83*$H83</f>
        <v>0</v>
      </c>
      <c r="O83" s="277">
        <v>0</v>
      </c>
      <c r="P83" s="274">
        <f>O83/G83*100</f>
        <v>0</v>
      </c>
      <c r="Q83" s="432">
        <f>P83*$H83</f>
        <v>0</v>
      </c>
      <c r="R83" s="237">
        <v>0</v>
      </c>
      <c r="S83" s="274">
        <f>R83/G83*100</f>
        <v>0</v>
      </c>
      <c r="T83" s="432">
        <f>S83*$H83</f>
        <v>0</v>
      </c>
      <c r="U83" s="237">
        <v>0</v>
      </c>
      <c r="V83" s="274">
        <f>U83/G83*100</f>
        <v>0</v>
      </c>
      <c r="W83" s="432">
        <f>V83*$H83</f>
        <v>0</v>
      </c>
      <c r="X83" s="277">
        <v>0</v>
      </c>
      <c r="Y83" s="274">
        <f>X83/G83*100</f>
        <v>0</v>
      </c>
      <c r="Z83" s="432">
        <f>Y83*$H83</f>
        <v>0</v>
      </c>
      <c r="AA83" s="586">
        <v>778.73819999999989</v>
      </c>
      <c r="AB83" s="274">
        <f>AA83/G83*100</f>
        <v>61</v>
      </c>
      <c r="AC83" s="432">
        <f>AB83*$H83</f>
        <v>0.76127999999999996</v>
      </c>
      <c r="AD83" s="237">
        <v>497.8818</v>
      </c>
      <c r="AE83" s="274">
        <f>AD83/G83*100</f>
        <v>39</v>
      </c>
      <c r="AF83" s="432">
        <f>AE83*$H83</f>
        <v>0.48671999999999999</v>
      </c>
      <c r="AG83" s="255">
        <f>SUM(AE83+AB83+Y83+V83+S83+P83+M83+J83)</f>
        <v>100</v>
      </c>
      <c r="AH83" s="430">
        <f>N83+Q83+T83+W83+Z83+AC83+AF83</f>
        <v>1.248</v>
      </c>
      <c r="AI83" s="684">
        <f>ROW(AH83)</f>
        <v>83</v>
      </c>
    </row>
    <row r="84" spans="1:35" s="684" customFormat="1" ht="15.75" customHeight="1" x14ac:dyDescent="0.25">
      <c r="A84" s="297"/>
      <c r="B84" s="298">
        <v>4111307</v>
      </c>
      <c r="C84" s="304" t="s">
        <v>106</v>
      </c>
      <c r="D84" s="173" t="s">
        <v>146</v>
      </c>
      <c r="E84" s="237">
        <v>157.05000000000001</v>
      </c>
      <c r="F84" s="680">
        <v>114</v>
      </c>
      <c r="G84" s="237">
        <v>17903.939999999999</v>
      </c>
      <c r="H84" s="432">
        <v>0.17508000000000001</v>
      </c>
      <c r="I84" s="237">
        <v>0</v>
      </c>
      <c r="J84" s="237">
        <f>I84/G84*100</f>
        <v>0</v>
      </c>
      <c r="K84" s="432">
        <f>J84*$H84</f>
        <v>0</v>
      </c>
      <c r="L84" s="237">
        <v>0</v>
      </c>
      <c r="M84" s="237">
        <f>L84/G84*100</f>
        <v>0</v>
      </c>
      <c r="N84" s="432">
        <f>M84*$H84</f>
        <v>0</v>
      </c>
      <c r="O84" s="277">
        <v>293.14999999999998</v>
      </c>
      <c r="P84" s="274">
        <f>O84/G84*100</f>
        <v>1.637349097461229</v>
      </c>
      <c r="Q84" s="432">
        <f>P84*$H84</f>
        <v>0.28666707998351199</v>
      </c>
      <c r="R84" s="237">
        <v>2773.9</v>
      </c>
      <c r="S84" s="274">
        <f>R84/G84*100</f>
        <v>15.493237801288434</v>
      </c>
      <c r="T84" s="432">
        <f>S84*$H84</f>
        <v>2.7125560742495791</v>
      </c>
      <c r="U84" s="237">
        <v>3076.61</v>
      </c>
      <c r="V84" s="274">
        <f>U84/G84*100</f>
        <v>17.183982966877682</v>
      </c>
      <c r="W84" s="432">
        <f>V84*$H84</f>
        <v>3.0085717378409447</v>
      </c>
      <c r="X84" s="277">
        <v>8105.58</v>
      </c>
      <c r="Y84" s="274">
        <f>X84/G84*100</f>
        <v>45.272604800954433</v>
      </c>
      <c r="Z84" s="432">
        <f>Y84*$H84</f>
        <v>7.9263276485511023</v>
      </c>
      <c r="AA84" s="586">
        <v>2229.3669999999988</v>
      </c>
      <c r="AB84" s="274">
        <f>AA84/G84*100</f>
        <v>12.451823453385115</v>
      </c>
      <c r="AC84" s="432">
        <f>AB84*$H84</f>
        <v>2.1800652502186662</v>
      </c>
      <c r="AD84" s="237">
        <v>1425.3330000000001</v>
      </c>
      <c r="AE84" s="274">
        <f>AD84/G84*100</f>
        <v>7.9610018800331108</v>
      </c>
      <c r="AF84" s="432">
        <f>AE84*$H84</f>
        <v>1.3938122091561971</v>
      </c>
      <c r="AG84" s="255">
        <f>SUM(AE84+AB84+Y84+V84+S84+P84+M84+J84)</f>
        <v>100</v>
      </c>
      <c r="AH84" s="430">
        <f>N84+Q84+T84+W84+Z84+AC84+AF84</f>
        <v>17.508000000000003</v>
      </c>
      <c r="AI84" s="684">
        <f>ROW(AH84)</f>
        <v>84</v>
      </c>
    </row>
    <row r="85" spans="1:35" s="684" customFormat="1" ht="15.75" customHeight="1" x14ac:dyDescent="0.25">
      <c r="A85" s="297"/>
      <c r="B85" s="298">
        <v>4111307</v>
      </c>
      <c r="C85" s="304" t="s">
        <v>108</v>
      </c>
      <c r="D85" s="173" t="s">
        <v>194</v>
      </c>
      <c r="E85" s="237">
        <v>29.46</v>
      </c>
      <c r="F85" s="305">
        <v>342.584</v>
      </c>
      <c r="G85" s="237">
        <v>10091.780000000001</v>
      </c>
      <c r="H85" s="432">
        <v>9.869E-2</v>
      </c>
      <c r="I85" s="237">
        <v>0</v>
      </c>
      <c r="J85" s="237">
        <f>I85/G85*100</f>
        <v>0</v>
      </c>
      <c r="K85" s="432">
        <f>J85*$H85</f>
        <v>0</v>
      </c>
      <c r="L85" s="237">
        <v>0</v>
      </c>
      <c r="M85" s="237">
        <f>L85/G85*100</f>
        <v>0</v>
      </c>
      <c r="N85" s="432">
        <f>M85*$H85</f>
        <v>0</v>
      </c>
      <c r="O85" s="277">
        <v>349.16</v>
      </c>
      <c r="P85" s="274">
        <f>O85/G85*100</f>
        <v>3.4598455376553989</v>
      </c>
      <c r="Q85" s="432">
        <f>P85*$H85</f>
        <v>0.34145215611121132</v>
      </c>
      <c r="R85" s="237">
        <v>840.8</v>
      </c>
      <c r="S85" s="274">
        <f>R85/G85*100</f>
        <v>8.3315331883968913</v>
      </c>
      <c r="T85" s="432">
        <f>S85*$H85</f>
        <v>0.82223901036288916</v>
      </c>
      <c r="U85" s="237">
        <v>4821.5200000000004</v>
      </c>
      <c r="V85" s="274">
        <f>U85/G85*100</f>
        <v>47.776705397858457</v>
      </c>
      <c r="W85" s="432">
        <f>V85*$H85</f>
        <v>4.7150830557146515</v>
      </c>
      <c r="X85" s="277">
        <v>3936.68</v>
      </c>
      <c r="Y85" s="274">
        <f>X85/G85*100</f>
        <v>39.008777440649709</v>
      </c>
      <c r="Z85" s="432">
        <f>Y85*$H85</f>
        <v>3.8497762456177198</v>
      </c>
      <c r="AA85" s="586">
        <v>83.299600000000453</v>
      </c>
      <c r="AB85" s="274">
        <f>AA85/G85*100</f>
        <v>0.82542029255493532</v>
      </c>
      <c r="AC85" s="432">
        <f>AB85*$H85</f>
        <v>8.146072867224656E-2</v>
      </c>
      <c r="AD85" s="237">
        <v>60.320400000000333</v>
      </c>
      <c r="AE85" s="274">
        <f>AD85/G85*100</f>
        <v>0.59771814288460834</v>
      </c>
      <c r="AF85" s="432">
        <f>AE85*$H85</f>
        <v>5.8988803521281996E-2</v>
      </c>
      <c r="AG85" s="255">
        <f>SUM(AE85+AB85+Y85+V85+S85+P85+M85+J85)</f>
        <v>99.999999999999986</v>
      </c>
      <c r="AH85" s="430">
        <f>N85+Q85+T85+W85+Z85+AC85+AF85</f>
        <v>9.8689999999999998</v>
      </c>
      <c r="AI85" s="684">
        <f>ROW(AH85)</f>
        <v>85</v>
      </c>
    </row>
    <row r="86" spans="1:35" s="684" customFormat="1" ht="15.75" customHeight="1" x14ac:dyDescent="0.25">
      <c r="A86" s="297"/>
      <c r="B86" s="270"/>
      <c r="C86" s="295" t="s">
        <v>164</v>
      </c>
      <c r="D86" s="173"/>
      <c r="E86" s="237"/>
      <c r="F86" s="281"/>
      <c r="G86" s="237"/>
      <c r="H86" s="432"/>
      <c r="I86" s="237"/>
      <c r="J86" s="237"/>
      <c r="K86" s="432"/>
      <c r="L86" s="237"/>
      <c r="M86" s="237"/>
      <c r="N86" s="432"/>
      <c r="O86" s="277"/>
      <c r="P86" s="274"/>
      <c r="Q86" s="432"/>
      <c r="R86" s="237"/>
      <c r="S86" s="274"/>
      <c r="T86" s="432"/>
      <c r="U86" s="237"/>
      <c r="V86" s="274"/>
      <c r="W86" s="432"/>
      <c r="X86" s="277"/>
      <c r="Y86" s="274"/>
      <c r="Z86" s="432"/>
      <c r="AA86" s="586"/>
      <c r="AB86" s="274"/>
      <c r="AC86" s="432"/>
      <c r="AD86" s="237"/>
      <c r="AE86" s="274"/>
      <c r="AF86" s="432"/>
      <c r="AG86" s="255"/>
    </row>
    <row r="87" spans="1:35" s="684" customFormat="1" ht="15.75" customHeight="1" x14ac:dyDescent="0.25">
      <c r="A87" s="297"/>
      <c r="B87" s="275">
        <v>4111201</v>
      </c>
      <c r="C87" s="304" t="s">
        <v>110</v>
      </c>
      <c r="D87" s="306" t="s">
        <v>194</v>
      </c>
      <c r="E87" s="237">
        <v>28.87</v>
      </c>
      <c r="F87" s="307">
        <v>108.974</v>
      </c>
      <c r="G87" s="237">
        <v>3145.78</v>
      </c>
      <c r="H87" s="432">
        <v>3.0759999999999999E-2</v>
      </c>
      <c r="I87" s="237">
        <v>0</v>
      </c>
      <c r="J87" s="237">
        <f>I87/G87*100</f>
        <v>0</v>
      </c>
      <c r="K87" s="432">
        <f>J87*$H87</f>
        <v>0</v>
      </c>
      <c r="L87" s="237">
        <v>0</v>
      </c>
      <c r="M87" s="237">
        <f>L87/G87*100</f>
        <v>0</v>
      </c>
      <c r="N87" s="432">
        <f>M87*$H87</f>
        <v>0</v>
      </c>
      <c r="O87" s="277">
        <v>0</v>
      </c>
      <c r="P87" s="274">
        <f>O87/G87*100</f>
        <v>0</v>
      </c>
      <c r="Q87" s="432">
        <f>P87*$H87</f>
        <v>0</v>
      </c>
      <c r="R87" s="237">
        <v>0</v>
      </c>
      <c r="S87" s="274">
        <f>R87/G87*100</f>
        <v>0</v>
      </c>
      <c r="T87" s="432">
        <f>S87*$H87</f>
        <v>0</v>
      </c>
      <c r="U87" s="237">
        <v>455.04</v>
      </c>
      <c r="V87" s="274">
        <f>U87/G87*100</f>
        <v>14.465092918131592</v>
      </c>
      <c r="W87" s="432">
        <f>V87*$H87</f>
        <v>0.44494625816172778</v>
      </c>
      <c r="X87" s="277">
        <v>900.73</v>
      </c>
      <c r="Y87" s="274">
        <f>X87/G87*100</f>
        <v>28.632962254194506</v>
      </c>
      <c r="Z87" s="432">
        <f>Y87*$H87</f>
        <v>0.88074991893902299</v>
      </c>
      <c r="AA87" s="586">
        <v>1020.3057</v>
      </c>
      <c r="AB87" s="274">
        <f>AA87/G87*100</f>
        <v>32.434108551774123</v>
      </c>
      <c r="AC87" s="432">
        <f>AB87*$H87</f>
        <v>0.99767317905257202</v>
      </c>
      <c r="AD87" s="237">
        <v>769.7043000000001</v>
      </c>
      <c r="AE87" s="274">
        <f>AD87/G87*100</f>
        <v>24.467836275899778</v>
      </c>
      <c r="AF87" s="432">
        <f>AE87*$H87</f>
        <v>0.75263064384667711</v>
      </c>
      <c r="AG87" s="255">
        <f>SUM(AE87+AB87+Y87+V87+S87+P87+M87+J87)</f>
        <v>100</v>
      </c>
      <c r="AH87" s="430">
        <f>N87+Q87+T87+W87+Z87+AC87+AF87</f>
        <v>3.0760000000000001</v>
      </c>
      <c r="AI87" s="684">
        <f t="shared" ref="AI87:AI99" si="77">ROW(AH87)</f>
        <v>87</v>
      </c>
    </row>
    <row r="88" spans="1:35" s="684" customFormat="1" ht="15.75" customHeight="1" x14ac:dyDescent="0.25">
      <c r="A88" s="297"/>
      <c r="B88" s="275">
        <v>4111201</v>
      </c>
      <c r="C88" s="304" t="s">
        <v>111</v>
      </c>
      <c r="D88" s="306" t="s">
        <v>194</v>
      </c>
      <c r="E88" s="237">
        <v>25.11</v>
      </c>
      <c r="F88" s="307">
        <v>67.11</v>
      </c>
      <c r="G88" s="237">
        <v>1684.96</v>
      </c>
      <c r="H88" s="432">
        <v>1.6480000000000002E-2</v>
      </c>
      <c r="I88" s="237">
        <v>0</v>
      </c>
      <c r="J88" s="237">
        <f>I88/G88*100</f>
        <v>0</v>
      </c>
      <c r="K88" s="432">
        <f>J88*$H88</f>
        <v>0</v>
      </c>
      <c r="L88" s="237">
        <v>0</v>
      </c>
      <c r="M88" s="237">
        <f>L88/G88*100</f>
        <v>0</v>
      </c>
      <c r="N88" s="432">
        <f>M88*$H88</f>
        <v>0</v>
      </c>
      <c r="O88" s="277">
        <v>0</v>
      </c>
      <c r="P88" s="274">
        <f>O88/G88*100</f>
        <v>0</v>
      </c>
      <c r="Q88" s="432">
        <f>P88*$H88</f>
        <v>0</v>
      </c>
      <c r="R88" s="237">
        <v>0</v>
      </c>
      <c r="S88" s="274">
        <f>R88/G88*100</f>
        <v>0</v>
      </c>
      <c r="T88" s="432">
        <f>S88*$H88</f>
        <v>0</v>
      </c>
      <c r="U88" s="237">
        <v>452.46</v>
      </c>
      <c r="V88" s="274">
        <f>U88/G88*100</f>
        <v>26.85286297597569</v>
      </c>
      <c r="W88" s="432">
        <f>V88*$H88</f>
        <v>0.44253518184407942</v>
      </c>
      <c r="X88" s="277">
        <v>913.26</v>
      </c>
      <c r="Y88" s="274">
        <f>X88/G88*100</f>
        <v>54.200693191529773</v>
      </c>
      <c r="Z88" s="432">
        <f>Y88*$H88</f>
        <v>0.89322742379641074</v>
      </c>
      <c r="AA88" s="586">
        <v>181.96680000000001</v>
      </c>
      <c r="AB88" s="274">
        <f>AA88/G88*100</f>
        <v>10.799472984521888</v>
      </c>
      <c r="AC88" s="432">
        <f>AB88*$H88</f>
        <v>0.17797531478492074</v>
      </c>
      <c r="AD88" s="237">
        <v>137.2732</v>
      </c>
      <c r="AE88" s="274">
        <f>AD88/G88*100</f>
        <v>8.1469708479726517</v>
      </c>
      <c r="AF88" s="432">
        <f>AE88*$H88</f>
        <v>0.1342620795745893</v>
      </c>
      <c r="AG88" s="255">
        <f>SUM(AE88+AB88+Y88+V88+S88+P88+M88+J88)</f>
        <v>100</v>
      </c>
      <c r="AH88" s="430">
        <f>N88+Q88+T88+W88+Z88+AC88+AF88</f>
        <v>1.6480000000000001</v>
      </c>
      <c r="AI88" s="684">
        <f t="shared" si="77"/>
        <v>88</v>
      </c>
    </row>
    <row r="89" spans="1:35" s="684" customFormat="1" ht="19.5" customHeight="1" x14ac:dyDescent="0.25">
      <c r="A89" s="297"/>
      <c r="B89" s="275">
        <v>4111201</v>
      </c>
      <c r="C89" s="304" t="s">
        <v>112</v>
      </c>
      <c r="D89" s="306" t="s">
        <v>194</v>
      </c>
      <c r="E89" s="237">
        <v>27.08</v>
      </c>
      <c r="F89" s="307">
        <v>57.912000000000013</v>
      </c>
      <c r="G89" s="237">
        <v>1568.07</v>
      </c>
      <c r="H89" s="432">
        <v>1.533E-2</v>
      </c>
      <c r="I89" s="237">
        <v>0</v>
      </c>
      <c r="J89" s="237">
        <f>I89/G89*100</f>
        <v>0</v>
      </c>
      <c r="K89" s="432">
        <f>J89*$H89</f>
        <v>0</v>
      </c>
      <c r="L89" s="237">
        <v>0</v>
      </c>
      <c r="M89" s="237">
        <f>L89/G89*100</f>
        <v>0</v>
      </c>
      <c r="N89" s="432">
        <f>M89*$H89</f>
        <v>0</v>
      </c>
      <c r="O89" s="277">
        <v>0</v>
      </c>
      <c r="P89" s="274">
        <f>O89/G89*100</f>
        <v>0</v>
      </c>
      <c r="Q89" s="432">
        <f>P89*$H89</f>
        <v>0</v>
      </c>
      <c r="R89" s="237">
        <v>0</v>
      </c>
      <c r="S89" s="274">
        <f>R89/G89*100</f>
        <v>0</v>
      </c>
      <c r="T89" s="432">
        <f>S89*$H89</f>
        <v>0</v>
      </c>
      <c r="U89" s="237">
        <v>341.85</v>
      </c>
      <c r="V89" s="274">
        <f>U89/G89*100</f>
        <v>21.800684918402879</v>
      </c>
      <c r="W89" s="432">
        <f>V89*$H89</f>
        <v>0.33420449979911615</v>
      </c>
      <c r="X89" s="277">
        <v>657.55</v>
      </c>
      <c r="Y89" s="274">
        <f>X89/G89*100</f>
        <v>41.933714693859329</v>
      </c>
      <c r="Z89" s="432">
        <f>Y89*$H89</f>
        <v>0.64284384625686353</v>
      </c>
      <c r="AA89" s="586">
        <v>358.26209999999998</v>
      </c>
      <c r="AB89" s="274">
        <f>AA89/G89*100</f>
        <v>22.847328244274809</v>
      </c>
      <c r="AC89" s="432">
        <f>AB89*$H89</f>
        <v>0.35024954198473285</v>
      </c>
      <c r="AD89" s="237">
        <v>210.40790000000001</v>
      </c>
      <c r="AE89" s="274">
        <f>AD89/G89*100</f>
        <v>13.418272143462984</v>
      </c>
      <c r="AF89" s="432">
        <f>AE89*$H89</f>
        <v>0.20570211195928753</v>
      </c>
      <c r="AG89" s="255">
        <f>SUM(AE89+AB89+Y89+V89+S89+P89+M89+J89)</f>
        <v>100</v>
      </c>
      <c r="AH89" s="430">
        <f>N89+Q89+T89+W89+Z89+AC89+AF89</f>
        <v>1.5329999999999999</v>
      </c>
      <c r="AI89" s="684">
        <f t="shared" si="77"/>
        <v>89</v>
      </c>
    </row>
    <row r="90" spans="1:35" s="684" customFormat="1" ht="15.75" customHeight="1" x14ac:dyDescent="0.25">
      <c r="A90" s="297"/>
      <c r="B90" s="275">
        <v>4111201</v>
      </c>
      <c r="C90" s="304" t="s">
        <v>113</v>
      </c>
      <c r="D90" s="306" t="s">
        <v>194</v>
      </c>
      <c r="E90" s="237">
        <v>0</v>
      </c>
      <c r="F90" s="434">
        <v>255.00699999999989</v>
      </c>
      <c r="G90" s="237">
        <v>17676.21</v>
      </c>
      <c r="H90" s="432">
        <v>0.17280999999999999</v>
      </c>
      <c r="I90" s="237">
        <v>0</v>
      </c>
      <c r="J90" s="237">
        <f>I90/G90*100</f>
        <v>0</v>
      </c>
      <c r="K90" s="432">
        <f>J90*$H90</f>
        <v>0</v>
      </c>
      <c r="L90" s="237">
        <v>0</v>
      </c>
      <c r="M90" s="237">
        <f>L90/G90*100</f>
        <v>0</v>
      </c>
      <c r="N90" s="432">
        <f>M90*$H90</f>
        <v>0</v>
      </c>
      <c r="O90" s="277">
        <v>336.91</v>
      </c>
      <c r="P90" s="274">
        <f>O90/G90*100</f>
        <v>1.9060081318336908</v>
      </c>
      <c r="Q90" s="432">
        <f>P90*$H90</f>
        <v>0.32937726526218009</v>
      </c>
      <c r="R90" s="237">
        <v>3910</v>
      </c>
      <c r="S90" s="274">
        <f>R90/G90*100</f>
        <v>22.120126429817251</v>
      </c>
      <c r="T90" s="432">
        <f>S90*$H90</f>
        <v>3.8225790483367188</v>
      </c>
      <c r="U90" s="237">
        <v>1880.15</v>
      </c>
      <c r="V90" s="274">
        <f>U90/G90*100</f>
        <v>10.636612712793072</v>
      </c>
      <c r="W90" s="432">
        <f>V90*$H90</f>
        <v>1.8381130428977708</v>
      </c>
      <c r="X90" s="277">
        <v>4650.7700000000004</v>
      </c>
      <c r="Y90" s="274">
        <f>X90/G90*100</f>
        <v>26.31090035703355</v>
      </c>
      <c r="Z90" s="432">
        <f>Y90*$H90</f>
        <v>4.5467866906989673</v>
      </c>
      <c r="AA90" s="586">
        <v>4208.0117999999993</v>
      </c>
      <c r="AB90" s="274">
        <f>AA90/G90*100</f>
        <v>23.806074944798684</v>
      </c>
      <c r="AC90" s="432">
        <f>AB90*$H90</f>
        <v>4.1139278112106608</v>
      </c>
      <c r="AD90" s="237">
        <v>2690.3681999999999</v>
      </c>
      <c r="AE90" s="274">
        <f>AD90/G90*100</f>
        <v>15.220277423723752</v>
      </c>
      <c r="AF90" s="432">
        <f>AE90*$H90</f>
        <v>2.6302161415937015</v>
      </c>
      <c r="AG90" s="255">
        <f>SUM(AE90+AB90+Y90+V90+S90+P90+M90+J90)</f>
        <v>99.999999999999986</v>
      </c>
      <c r="AH90" s="430">
        <f>N90+Q90+T90+W90+Z90+AC90+AF90</f>
        <v>17.281000000000002</v>
      </c>
      <c r="AI90" s="684">
        <f t="shared" si="77"/>
        <v>90</v>
      </c>
    </row>
    <row r="91" spans="1:35" s="684" customFormat="1" ht="15.75" customHeight="1" x14ac:dyDescent="0.25">
      <c r="A91" s="297"/>
      <c r="B91" s="275">
        <v>4111201</v>
      </c>
      <c r="C91" s="304" t="s">
        <v>114</v>
      </c>
      <c r="D91" s="173" t="s">
        <v>146</v>
      </c>
      <c r="E91" s="237">
        <v>22.02</v>
      </c>
      <c r="F91" s="680">
        <v>7</v>
      </c>
      <c r="G91" s="237">
        <v>154.12</v>
      </c>
      <c r="H91" s="432">
        <v>1.5100000000000001E-3</v>
      </c>
      <c r="I91" s="237">
        <v>0</v>
      </c>
      <c r="J91" s="237">
        <f>I91/G91*100</f>
        <v>0</v>
      </c>
      <c r="K91" s="432">
        <f>J91*$H91</f>
        <v>0</v>
      </c>
      <c r="L91" s="237">
        <v>0</v>
      </c>
      <c r="M91" s="237">
        <f>L91/G91*100</f>
        <v>0</v>
      </c>
      <c r="N91" s="432">
        <f>M91*$H91</f>
        <v>0</v>
      </c>
      <c r="O91" s="277">
        <v>0</v>
      </c>
      <c r="P91" s="274">
        <f>O91/G91*100</f>
        <v>0</v>
      </c>
      <c r="Q91" s="432">
        <f>P91*$H91</f>
        <v>0</v>
      </c>
      <c r="R91" s="237">
        <v>0</v>
      </c>
      <c r="S91" s="274"/>
      <c r="T91" s="432"/>
      <c r="U91" s="237">
        <v>73.260000000000005</v>
      </c>
      <c r="V91" s="274">
        <f>U91/G91*100</f>
        <v>47.53438878795744</v>
      </c>
      <c r="W91" s="432">
        <f>V91*$H91</f>
        <v>7.1776927069815741E-2</v>
      </c>
      <c r="X91" s="277">
        <v>0</v>
      </c>
      <c r="Y91" s="274">
        <f>X91/G91*100</f>
        <v>0</v>
      </c>
      <c r="Z91" s="432">
        <f>Y91*$H91</f>
        <v>0</v>
      </c>
      <c r="AA91" s="586">
        <v>50.133200000000002</v>
      </c>
      <c r="AB91" s="274">
        <f>AA91/G91*100</f>
        <v>32.528678951466389</v>
      </c>
      <c r="AC91" s="432">
        <f>AB91*$H91</f>
        <v>4.9118305216714252E-2</v>
      </c>
      <c r="AD91" s="237">
        <v>30.726800000000001</v>
      </c>
      <c r="AE91" s="274">
        <f>AD91/G91*100</f>
        <v>19.936932260576175</v>
      </c>
      <c r="AF91" s="432">
        <f>AE91*$H91</f>
        <v>3.0104767713470024E-2</v>
      </c>
      <c r="AG91" s="255">
        <f>SUM(AE91+AB91+Y91+V91+S91+P91+M91+J91)</f>
        <v>100</v>
      </c>
      <c r="AH91" s="430">
        <f>N91+Q91+T91+W91+Z91+AC91+AF91</f>
        <v>0.15100000000000002</v>
      </c>
      <c r="AI91" s="684">
        <f t="shared" si="77"/>
        <v>91</v>
      </c>
    </row>
    <row r="92" spans="1:35" s="684" customFormat="1" ht="15.75" customHeight="1" x14ac:dyDescent="0.25">
      <c r="A92" s="297"/>
      <c r="B92" s="275">
        <v>4111201</v>
      </c>
      <c r="C92" s="304" t="s">
        <v>115</v>
      </c>
      <c r="D92" s="173" t="s">
        <v>146</v>
      </c>
      <c r="E92" s="237">
        <v>45</v>
      </c>
      <c r="F92" s="680">
        <v>20</v>
      </c>
      <c r="G92" s="237">
        <v>900</v>
      </c>
      <c r="H92" s="432">
        <v>8.8000000000000005E-3</v>
      </c>
      <c r="I92" s="237">
        <v>0</v>
      </c>
      <c r="J92" s="237"/>
      <c r="K92" s="432"/>
      <c r="L92" s="237">
        <v>0</v>
      </c>
      <c r="M92" s="237"/>
      <c r="N92" s="432"/>
      <c r="O92" s="277">
        <v>0</v>
      </c>
      <c r="P92" s="274"/>
      <c r="Q92" s="432"/>
      <c r="R92" s="237">
        <v>0</v>
      </c>
      <c r="S92" s="274"/>
      <c r="T92" s="432"/>
      <c r="U92" s="237">
        <v>0</v>
      </c>
      <c r="V92" s="274"/>
      <c r="W92" s="432"/>
      <c r="X92" s="277">
        <v>0</v>
      </c>
      <c r="Y92" s="274"/>
      <c r="Z92" s="432"/>
      <c r="AA92" s="586">
        <v>549</v>
      </c>
      <c r="AB92" s="274"/>
      <c r="AC92" s="432"/>
      <c r="AD92" s="237">
        <v>351</v>
      </c>
      <c r="AE92" s="274"/>
      <c r="AF92" s="432"/>
      <c r="AG92" s="255"/>
      <c r="AH92" s="430"/>
      <c r="AI92" s="684">
        <f t="shared" si="77"/>
        <v>92</v>
      </c>
    </row>
    <row r="93" spans="1:35" s="684" customFormat="1" ht="15.75" customHeight="1" x14ac:dyDescent="0.25">
      <c r="A93" s="297"/>
      <c r="B93" s="275">
        <v>4111201</v>
      </c>
      <c r="C93" s="304" t="s">
        <v>116</v>
      </c>
      <c r="D93" s="173" t="s">
        <v>146</v>
      </c>
      <c r="E93" s="237">
        <v>35</v>
      </c>
      <c r="F93" s="680">
        <v>60</v>
      </c>
      <c r="G93" s="237">
        <v>2100</v>
      </c>
      <c r="H93" s="432">
        <v>2.0539999999999999E-2</v>
      </c>
      <c r="I93" s="237">
        <v>0</v>
      </c>
      <c r="J93" s="237">
        <f>I93/G93*100</f>
        <v>0</v>
      </c>
      <c r="K93" s="432">
        <f>J93*$H93</f>
        <v>0</v>
      </c>
      <c r="L93" s="237">
        <v>0</v>
      </c>
      <c r="M93" s="237">
        <f>L93/G93*100</f>
        <v>0</v>
      </c>
      <c r="N93" s="432">
        <f>M93*$H93</f>
        <v>0</v>
      </c>
      <c r="O93" s="277">
        <v>0</v>
      </c>
      <c r="P93" s="274">
        <f>O93/G93*100</f>
        <v>0</v>
      </c>
      <c r="Q93" s="432">
        <f>P93*$H93</f>
        <v>0</v>
      </c>
      <c r="R93" s="237">
        <v>0</v>
      </c>
      <c r="S93" s="274">
        <f>R93/G93*100</f>
        <v>0</v>
      </c>
      <c r="T93" s="432">
        <f>S93*$H93</f>
        <v>0</v>
      </c>
      <c r="U93" s="237">
        <v>42.09</v>
      </c>
      <c r="V93" s="274">
        <f>U93/G93*100</f>
        <v>2.0042857142857144</v>
      </c>
      <c r="W93" s="432">
        <f>V93*$H93</f>
        <v>4.1168028571428573E-2</v>
      </c>
      <c r="X93" s="277">
        <v>348.14</v>
      </c>
      <c r="Y93" s="274">
        <f>X93/G93*100</f>
        <v>16.578095238095237</v>
      </c>
      <c r="Z93" s="432">
        <f>Y93*$H93</f>
        <v>0.34051407619047613</v>
      </c>
      <c r="AA93" s="586">
        <v>1008.7643</v>
      </c>
      <c r="AB93" s="274">
        <f>AA93/G93*100</f>
        <v>48.036395238095238</v>
      </c>
      <c r="AC93" s="432">
        <f>AB93*$H93</f>
        <v>0.98666755819047613</v>
      </c>
      <c r="AD93" s="237">
        <v>701.00569999999993</v>
      </c>
      <c r="AE93" s="274">
        <f>AD93/G93*100</f>
        <v>33.38122380952381</v>
      </c>
      <c r="AF93" s="432">
        <f>AE93*$H93</f>
        <v>0.68565033704761902</v>
      </c>
      <c r="AG93" s="255">
        <f>SUM(AE93+AB93+Y93+V93+S93+P93+M93+J93)</f>
        <v>100</v>
      </c>
      <c r="AH93" s="430">
        <f>N93+Q93+T93+W93+Z93+AC93+AF93</f>
        <v>2.0539999999999998</v>
      </c>
      <c r="AI93" s="684">
        <f t="shared" si="77"/>
        <v>93</v>
      </c>
    </row>
    <row r="94" spans="1:35" s="684" customFormat="1" ht="15.75" customHeight="1" x14ac:dyDescent="0.25">
      <c r="A94" s="297"/>
      <c r="B94" s="275">
        <v>4111201</v>
      </c>
      <c r="C94" s="304" t="s">
        <v>117</v>
      </c>
      <c r="D94" s="173" t="s">
        <v>191</v>
      </c>
      <c r="E94" s="237">
        <v>0</v>
      </c>
      <c r="F94" s="281">
        <v>2</v>
      </c>
      <c r="G94" s="237">
        <v>600</v>
      </c>
      <c r="H94" s="432">
        <v>5.8700000000000002E-3</v>
      </c>
      <c r="I94" s="237">
        <v>0</v>
      </c>
      <c r="J94" s="237">
        <f>I94/G94*100</f>
        <v>0</v>
      </c>
      <c r="K94" s="432">
        <f>J94*$H94</f>
        <v>0</v>
      </c>
      <c r="L94" s="237">
        <v>0</v>
      </c>
      <c r="M94" s="237">
        <f>L94/G94*100</f>
        <v>0</v>
      </c>
      <c r="N94" s="432">
        <f>M94*$H94</f>
        <v>0</v>
      </c>
      <c r="O94" s="277">
        <v>0</v>
      </c>
      <c r="P94" s="274">
        <f>O94/G94*100</f>
        <v>0</v>
      </c>
      <c r="Q94" s="432">
        <f>P94*$H94</f>
        <v>0</v>
      </c>
      <c r="R94" s="237">
        <v>0</v>
      </c>
      <c r="S94" s="274"/>
      <c r="T94" s="432"/>
      <c r="U94" s="237">
        <v>0</v>
      </c>
      <c r="V94" s="274">
        <f>U94/G94*100</f>
        <v>0</v>
      </c>
      <c r="W94" s="432">
        <f>V94*$H94</f>
        <v>0</v>
      </c>
      <c r="X94" s="277">
        <v>0</v>
      </c>
      <c r="Y94" s="274">
        <f>X94/G94*100</f>
        <v>0</v>
      </c>
      <c r="Z94" s="432">
        <f>Y94*$H94</f>
        <v>0</v>
      </c>
      <c r="AA94" s="586">
        <v>341.99999999999989</v>
      </c>
      <c r="AB94" s="274">
        <f>AA94/G94*100</f>
        <v>56.999999999999986</v>
      </c>
      <c r="AC94" s="432">
        <f>AB94*$H94</f>
        <v>0.33458999999999994</v>
      </c>
      <c r="AD94" s="237">
        <v>258</v>
      </c>
      <c r="AE94" s="274">
        <f>AD94/G94*100</f>
        <v>43</v>
      </c>
      <c r="AF94" s="432">
        <f>AE94*$H94</f>
        <v>0.25241000000000002</v>
      </c>
      <c r="AG94" s="255">
        <f>SUM(AE94+AB94+Y94+V94+S94+P94+M94+J94)</f>
        <v>99.999999999999986</v>
      </c>
      <c r="AH94" s="430">
        <f>N94+Q94+T94+W94+Z94+AC94+AF94</f>
        <v>0.58699999999999997</v>
      </c>
      <c r="AI94" s="684">
        <f t="shared" si="77"/>
        <v>94</v>
      </c>
    </row>
    <row r="95" spans="1:35" s="292" customFormat="1" ht="17.25" customHeight="1" x14ac:dyDescent="0.25">
      <c r="A95" s="264"/>
      <c r="B95" s="291"/>
      <c r="C95" s="308" t="s">
        <v>195</v>
      </c>
      <c r="D95" s="267"/>
      <c r="E95" s="309"/>
      <c r="F95" s="291"/>
      <c r="G95" s="310">
        <f>I95+L95+O95+R95+U95+X95+AA95+AD95</f>
        <v>82217.829999999987</v>
      </c>
      <c r="H95" s="435">
        <f>SUM(H58:H94)</f>
        <v>0.80398000000000014</v>
      </c>
      <c r="I95" s="310">
        <f>SUM(I58:I94)</f>
        <v>375.20000000000005</v>
      </c>
      <c r="J95" s="237"/>
      <c r="K95" s="310">
        <f>SUM(K58:K94)</f>
        <v>0.36688098362007426</v>
      </c>
      <c r="L95" s="310">
        <f>SUM(L58:L94)</f>
        <v>189.18999999999997</v>
      </c>
      <c r="M95" s="237"/>
      <c r="N95" s="310">
        <f>SUM(N58:N94)</f>
        <v>0.18513304823502388</v>
      </c>
      <c r="O95" s="581">
        <f>SUM(O58:O94)</f>
        <v>5714.7959999999994</v>
      </c>
      <c r="P95" s="310">
        <f>SUM(P58:P94)</f>
        <v>258.97982315566361</v>
      </c>
      <c r="Q95" s="310">
        <f>SUM(Q58:Q94)</f>
        <v>5.5884997832709198</v>
      </c>
      <c r="R95" s="310">
        <f>SUM(R58:R94)</f>
        <v>13501.539999999999</v>
      </c>
      <c r="S95" s="237"/>
      <c r="T95" s="310">
        <f>SUM(T58:T94)</f>
        <v>13.202153466560919</v>
      </c>
      <c r="U95" s="310">
        <f>SUM(U58:U94)</f>
        <v>15155.124000000002</v>
      </c>
      <c r="V95" s="237"/>
      <c r="W95" s="310">
        <f>SUM(W58:W94)</f>
        <v>14.820009399270099</v>
      </c>
      <c r="X95" s="581">
        <f>SUM(X58:X94)</f>
        <v>22157.059999999998</v>
      </c>
      <c r="Y95" s="274"/>
      <c r="Z95" s="310">
        <f>SUM(Z58:Z94)</f>
        <v>21.666345578064604</v>
      </c>
      <c r="AA95" s="587">
        <f>SUM(AA58:AA94)</f>
        <v>17717.699999999997</v>
      </c>
      <c r="AB95" s="274"/>
      <c r="AC95" s="310">
        <f>SUM(AC58:AC94)</f>
        <v>16.787876295156234</v>
      </c>
      <c r="AD95" s="310">
        <f>SUM(AD58:AD94)</f>
        <v>7407.2200000000012</v>
      </c>
      <c r="AE95" s="274"/>
      <c r="AF95" s="310">
        <f>SUM(AF58:AF94)</f>
        <v>6.8996891838105423</v>
      </c>
      <c r="AG95" s="255"/>
      <c r="AI95" s="684">
        <f t="shared" si="77"/>
        <v>95</v>
      </c>
    </row>
    <row r="96" spans="1:35" s="292" customFormat="1" ht="17.25" customHeight="1" x14ac:dyDescent="0.25">
      <c r="A96" s="264"/>
      <c r="B96" s="653"/>
      <c r="C96" s="311" t="s">
        <v>120</v>
      </c>
      <c r="D96" s="267"/>
      <c r="E96" s="309"/>
      <c r="F96" s="291"/>
      <c r="G96" s="310">
        <f>G95+G55</f>
        <v>101600.43999999999</v>
      </c>
      <c r="H96" s="435">
        <f>+H55+H95</f>
        <v>0.99355000000000016</v>
      </c>
      <c r="I96" s="310">
        <f>SUM(I55+I95)</f>
        <v>1456.29</v>
      </c>
      <c r="J96" s="310"/>
      <c r="K96" s="310">
        <f>SUM(K55+K95)</f>
        <v>1.424152144680344</v>
      </c>
      <c r="L96" s="310">
        <f>SUM(L55+L95)</f>
        <v>2652.9300000000003</v>
      </c>
      <c r="M96" s="310"/>
      <c r="N96" s="310">
        <f>SUM(N55+N95)</f>
        <v>2.5948233001475982</v>
      </c>
      <c r="O96" s="581">
        <f>+O55+O95</f>
        <v>7942.6659999999993</v>
      </c>
      <c r="P96" s="310">
        <f>SUM(P55+P95)</f>
        <v>258.97982315566361</v>
      </c>
      <c r="Q96" s="310">
        <f>+Q55+Q95</f>
        <v>7.7672841729667148</v>
      </c>
      <c r="R96" s="310">
        <f>SUM(R55+R95)</f>
        <v>15866.399999999998</v>
      </c>
      <c r="S96" s="312"/>
      <c r="T96" s="310">
        <f>+T55+T95</f>
        <v>15.514587980387855</v>
      </c>
      <c r="U96" s="310">
        <f>+U55+U95</f>
        <v>17642.414000000001</v>
      </c>
      <c r="V96" s="312"/>
      <c r="W96" s="310">
        <f>+W55+W95</f>
        <v>17.252313238153299</v>
      </c>
      <c r="X96" s="581">
        <f>+X55+X95</f>
        <v>24717.059999999998</v>
      </c>
      <c r="Y96" s="274"/>
      <c r="Z96" s="310">
        <f>+Z55+Z95</f>
        <v>24.170070377806731</v>
      </c>
      <c r="AA96" s="587">
        <f>+AA55+AA95</f>
        <v>21535.905199999997</v>
      </c>
      <c r="AB96" s="274"/>
      <c r="AC96" s="310">
        <f>+AC55+AC95</f>
        <v>20.522849545851603</v>
      </c>
      <c r="AD96" s="310">
        <f>+AD55+AD95</f>
        <v>9786.7748000000011</v>
      </c>
      <c r="AE96" s="274"/>
      <c r="AF96" s="310">
        <f>+AF55+AF95</f>
        <v>9.227506977994274</v>
      </c>
      <c r="AG96" s="255"/>
      <c r="AI96" s="684">
        <f t="shared" si="77"/>
        <v>96</v>
      </c>
    </row>
    <row r="97" spans="1:37" s="684" customFormat="1" ht="18" customHeight="1" x14ac:dyDescent="0.25">
      <c r="A97" s="313"/>
      <c r="B97" s="653">
        <v>0</v>
      </c>
      <c r="C97" s="311" t="s">
        <v>121</v>
      </c>
      <c r="D97" s="173" t="s">
        <v>191</v>
      </c>
      <c r="E97" s="685">
        <v>0</v>
      </c>
      <c r="F97" s="314" t="s">
        <v>61</v>
      </c>
      <c r="G97" s="237">
        <v>258</v>
      </c>
      <c r="H97" s="432">
        <v>2.5200000000000001E-3</v>
      </c>
      <c r="I97" s="237">
        <v>0</v>
      </c>
      <c r="J97" s="237">
        <f>I97/G97*100</f>
        <v>0</v>
      </c>
      <c r="K97" s="432">
        <f>J97*$H97</f>
        <v>0</v>
      </c>
      <c r="L97" s="237">
        <v>0</v>
      </c>
      <c r="M97" s="237">
        <f>L97/G97*100</f>
        <v>0</v>
      </c>
      <c r="N97" s="432">
        <f>M97*$H97</f>
        <v>0</v>
      </c>
      <c r="O97" s="277">
        <v>0</v>
      </c>
      <c r="P97" s="274">
        <v>0</v>
      </c>
      <c r="Q97" s="432">
        <f>P97*$H97</f>
        <v>0</v>
      </c>
      <c r="R97" s="237">
        <v>0</v>
      </c>
      <c r="S97" s="274"/>
      <c r="T97" s="432"/>
      <c r="U97" s="237">
        <v>0</v>
      </c>
      <c r="V97" s="274">
        <f>U97/G97*100</f>
        <v>0</v>
      </c>
      <c r="W97" s="432">
        <f>V97*$H97</f>
        <v>0</v>
      </c>
      <c r="X97" s="277">
        <v>0</v>
      </c>
      <c r="Y97" s="274">
        <f>X97/G97*100</f>
        <v>0</v>
      </c>
      <c r="Z97" s="432">
        <f>Y97*$H97</f>
        <v>0</v>
      </c>
      <c r="AA97" s="586">
        <v>162.54</v>
      </c>
      <c r="AB97" s="274">
        <f>AA97/G97*100</f>
        <v>63</v>
      </c>
      <c r="AC97" s="432">
        <f>AB97*$H97</f>
        <v>0.15876000000000001</v>
      </c>
      <c r="AD97" s="237">
        <v>95.46</v>
      </c>
      <c r="AE97" s="274">
        <f>AD97/G97*100</f>
        <v>37</v>
      </c>
      <c r="AF97" s="432">
        <f>AE97*$H97</f>
        <v>9.3240000000000003E-2</v>
      </c>
      <c r="AG97" s="255">
        <f>SUM(AE97+AB97+Y97+V97+S97+P97+M97+J97)</f>
        <v>100</v>
      </c>
      <c r="AH97" s="430">
        <f>N97+Q97+T97+W97+Z97+AC97+AF97</f>
        <v>0.252</v>
      </c>
      <c r="AI97" s="684">
        <f t="shared" si="77"/>
        <v>97</v>
      </c>
    </row>
    <row r="98" spans="1:37" s="684" customFormat="1" ht="19.5" customHeight="1" x14ac:dyDescent="0.25">
      <c r="A98" s="313"/>
      <c r="B98" s="653">
        <v>0</v>
      </c>
      <c r="C98" s="311" t="s">
        <v>123</v>
      </c>
      <c r="D98" s="173" t="s">
        <v>191</v>
      </c>
      <c r="E98" s="685">
        <v>0</v>
      </c>
      <c r="F98" s="314" t="s">
        <v>61</v>
      </c>
      <c r="G98" s="237">
        <v>402.14</v>
      </c>
      <c r="H98" s="432">
        <v>3.9300000000000003E-3</v>
      </c>
      <c r="I98" s="237">
        <v>0</v>
      </c>
      <c r="J98" s="237">
        <f>I98/G98*100</f>
        <v>0</v>
      </c>
      <c r="K98" s="432">
        <f>J98*$H98</f>
        <v>0</v>
      </c>
      <c r="L98" s="237">
        <v>0</v>
      </c>
      <c r="M98" s="237">
        <f>L98/G98*100</f>
        <v>0</v>
      </c>
      <c r="N98" s="432">
        <f>M98*$H98</f>
        <v>0</v>
      </c>
      <c r="O98" s="277">
        <v>0</v>
      </c>
      <c r="P98" s="274">
        <v>0</v>
      </c>
      <c r="Q98" s="432">
        <f>P98*$H98</f>
        <v>0</v>
      </c>
      <c r="R98" s="237">
        <v>0</v>
      </c>
      <c r="S98" s="274"/>
      <c r="T98" s="432"/>
      <c r="U98" s="237">
        <v>0</v>
      </c>
      <c r="V98" s="274">
        <f>U98/G98*100</f>
        <v>0</v>
      </c>
      <c r="W98" s="432">
        <f>V98*$H98</f>
        <v>0</v>
      </c>
      <c r="X98" s="277">
        <v>0</v>
      </c>
      <c r="Y98" s="274">
        <f>X98/G98*100</f>
        <v>0</v>
      </c>
      <c r="Z98" s="432">
        <f>Y98*$H98</f>
        <v>0</v>
      </c>
      <c r="AA98" s="586">
        <v>221.17699999999999</v>
      </c>
      <c r="AB98" s="274">
        <f>AA98/G98*100</f>
        <v>55.000000000000007</v>
      </c>
      <c r="AC98" s="432">
        <f>AB98*$H98</f>
        <v>0.21615000000000004</v>
      </c>
      <c r="AD98" s="237">
        <v>180.96299999999999</v>
      </c>
      <c r="AE98" s="274">
        <f>AD98/G98*100</f>
        <v>45</v>
      </c>
      <c r="AF98" s="432">
        <f>AE98*$H98</f>
        <v>0.17685000000000001</v>
      </c>
      <c r="AG98" s="255">
        <f>SUM(AE98+AB98+Y98+V98+S98+P98+M98+J98)</f>
        <v>100</v>
      </c>
      <c r="AH98" s="430">
        <f>N98+Q98+T98+W98+Z98+AC98+AF98</f>
        <v>0.39300000000000002</v>
      </c>
      <c r="AI98" s="684">
        <f t="shared" si="77"/>
        <v>98</v>
      </c>
    </row>
    <row r="99" spans="1:37" s="684" customFormat="1" ht="17.25" customHeight="1" x14ac:dyDescent="0.25">
      <c r="A99" s="315"/>
      <c r="B99" s="653"/>
      <c r="C99" s="308" t="s">
        <v>166</v>
      </c>
      <c r="D99" s="173"/>
      <c r="E99" s="190"/>
      <c r="F99" s="287"/>
      <c r="G99" s="310">
        <f>G96+G97+G98</f>
        <v>102260.57999999999</v>
      </c>
      <c r="H99" s="435">
        <f>SUM(H96:H98)</f>
        <v>1.0000000000000002</v>
      </c>
      <c r="I99" s="310">
        <f>SUM(I96:I98)</f>
        <v>1456.29</v>
      </c>
      <c r="J99" s="237"/>
      <c r="K99" s="310">
        <f>SUM(K96:K98)</f>
        <v>1.424152144680344</v>
      </c>
      <c r="L99" s="310">
        <f>SUM(L96:L98)</f>
        <v>2652.9300000000003</v>
      </c>
      <c r="M99" s="237"/>
      <c r="N99" s="310">
        <f>SUM(N96:N98)</f>
        <v>2.5948233001475982</v>
      </c>
      <c r="O99" s="581">
        <f>SUM(O96:O98)</f>
        <v>7942.6659999999993</v>
      </c>
      <c r="P99" s="274"/>
      <c r="Q99" s="310">
        <f>SUM(Q96:Q98)</f>
        <v>7.7672841729667148</v>
      </c>
      <c r="R99" s="310">
        <f>SUM(R96:R98)</f>
        <v>15866.399999999998</v>
      </c>
      <c r="S99" s="274"/>
      <c r="T99" s="310">
        <f>SUM(T96:T98)</f>
        <v>15.514587980387855</v>
      </c>
      <c r="U99" s="310">
        <f>SUM(U96:U98)</f>
        <v>17642.414000000001</v>
      </c>
      <c r="V99" s="274"/>
      <c r="W99" s="310">
        <f>SUM(W96:W98)</f>
        <v>17.252313238153299</v>
      </c>
      <c r="X99" s="581">
        <f>SUM(X96:X98)</f>
        <v>24717.059999999998</v>
      </c>
      <c r="Y99" s="274"/>
      <c r="Z99" s="310">
        <f>SUM(Z96:Z98)</f>
        <v>24.170070377806731</v>
      </c>
      <c r="AA99" s="587">
        <f>SUM(AA96:AA98)</f>
        <v>21919.622199999998</v>
      </c>
      <c r="AB99" s="274"/>
      <c r="AC99" s="310">
        <f>SUM(AC96:AC98)</f>
        <v>20.897759545851603</v>
      </c>
      <c r="AD99" s="310">
        <f>SUM(AD96:AD98)</f>
        <v>10063.1978</v>
      </c>
      <c r="AE99" s="274"/>
      <c r="AF99" s="310">
        <f>SUM(AF96:AF98)</f>
        <v>9.4975969779942737</v>
      </c>
      <c r="AH99" s="255" t="s">
        <v>72</v>
      </c>
      <c r="AI99" s="684">
        <f t="shared" si="77"/>
        <v>99</v>
      </c>
      <c r="AK99" s="255">
        <f>AF99+AC99+Z99+W99+T99+Q99+N99</f>
        <v>97.694435593308071</v>
      </c>
    </row>
    <row r="101" spans="1:37" ht="1.5" hidden="1" customHeight="1" x14ac:dyDescent="0.25">
      <c r="A101" s="766" t="s">
        <v>196</v>
      </c>
      <c r="B101" s="714"/>
      <c r="C101" s="773" t="s">
        <v>197</v>
      </c>
      <c r="D101" s="707"/>
      <c r="E101" s="707"/>
    </row>
    <row r="102" spans="1:37" ht="12.75" hidden="1" customHeight="1" x14ac:dyDescent="0.25">
      <c r="A102" s="714"/>
      <c r="B102" s="714"/>
      <c r="C102" s="766" t="s">
        <v>198</v>
      </c>
      <c r="D102" s="743"/>
      <c r="E102" s="714"/>
    </row>
    <row r="103" spans="1:37" ht="12.75" hidden="1" customHeight="1" x14ac:dyDescent="0.25">
      <c r="A103" s="766" t="s">
        <v>199</v>
      </c>
      <c r="B103" s="714"/>
      <c r="C103" s="767" t="s">
        <v>200</v>
      </c>
      <c r="D103" s="707"/>
      <c r="E103" s="707"/>
      <c r="F103" s="707"/>
      <c r="G103" s="707"/>
      <c r="H103" s="768" t="s">
        <v>201</v>
      </c>
    </row>
    <row r="104" spans="1:37" ht="25.5" hidden="1" customHeight="1" x14ac:dyDescent="0.25">
      <c r="A104" s="714"/>
      <c r="B104" s="714"/>
      <c r="C104" s="316" t="s">
        <v>202</v>
      </c>
      <c r="H104" s="769"/>
    </row>
    <row r="105" spans="1:37" ht="12.75" hidden="1" customHeight="1" x14ac:dyDescent="0.25">
      <c r="A105" s="766" t="s">
        <v>203</v>
      </c>
      <c r="B105" s="714"/>
      <c r="C105" s="766" t="s">
        <v>204</v>
      </c>
      <c r="D105" s="743"/>
      <c r="E105" s="714"/>
    </row>
    <row r="106" spans="1:37" x14ac:dyDescent="0.25">
      <c r="K106" s="683">
        <f>I99*100/$G$99</f>
        <v>1.4240971447648745</v>
      </c>
      <c r="N106" s="683">
        <f>L99*100/$G$99</f>
        <v>2.5942841317739447</v>
      </c>
      <c r="Q106" s="683">
        <f>O99*100/$G$99</f>
        <v>7.7670848336670897</v>
      </c>
      <c r="T106" s="683">
        <f>R99*100/$G$99</f>
        <v>15.515656179536631</v>
      </c>
      <c r="W106" s="683">
        <f>U99*100/$G$99</f>
        <v>17.252409481737736</v>
      </c>
      <c r="Z106" s="683">
        <f>X99*100/$G$99</f>
        <v>24.170662830193223</v>
      </c>
      <c r="AC106" s="683">
        <f>AA99*100/$G$99</f>
        <v>21.435065398612057</v>
      </c>
      <c r="AF106" s="683">
        <f>AD99*100/$G$99</f>
        <v>9.8407399997144562</v>
      </c>
      <c r="AH106" s="683">
        <f>SUM(K106:AF106)</f>
        <v>100.00000000000001</v>
      </c>
    </row>
  </sheetData>
  <mergeCells count="46">
    <mergeCell ref="AD4:AF4"/>
    <mergeCell ref="R1:T1"/>
    <mergeCell ref="AD1:AF1"/>
    <mergeCell ref="A2:H2"/>
    <mergeCell ref="A3:H3"/>
    <mergeCell ref="A4:A6"/>
    <mergeCell ref="B4:B6"/>
    <mergeCell ref="C4:C6"/>
    <mergeCell ref="D4:H4"/>
    <mergeCell ref="I4:K4"/>
    <mergeCell ref="L4:N4"/>
    <mergeCell ref="O4:Q4"/>
    <mergeCell ref="R4:T4"/>
    <mergeCell ref="U4:W4"/>
    <mergeCell ref="X4:Z4"/>
    <mergeCell ref="AA4:AC4"/>
    <mergeCell ref="O5:O6"/>
    <mergeCell ref="P5:Q5"/>
    <mergeCell ref="R5:R6"/>
    <mergeCell ref="D5:D6"/>
    <mergeCell ref="E5:E6"/>
    <mergeCell ref="F5:F6"/>
    <mergeCell ref="G5:G6"/>
    <mergeCell ref="H5:H6"/>
    <mergeCell ref="I5:I6"/>
    <mergeCell ref="AB5:AC5"/>
    <mergeCell ref="AD5:AD6"/>
    <mergeCell ref="AE5:AF5"/>
    <mergeCell ref="D55:E55"/>
    <mergeCell ref="A101:B102"/>
    <mergeCell ref="C101:E101"/>
    <mergeCell ref="C102:E102"/>
    <mergeCell ref="S5:T5"/>
    <mergeCell ref="U5:U6"/>
    <mergeCell ref="V5:W5"/>
    <mergeCell ref="X5:X6"/>
    <mergeCell ref="Y5:Z5"/>
    <mergeCell ref="AA5:AA6"/>
    <mergeCell ref="J5:K5"/>
    <mergeCell ref="L5:L6"/>
    <mergeCell ref="M5:N5"/>
    <mergeCell ref="A103:B104"/>
    <mergeCell ref="C103:G103"/>
    <mergeCell ref="H103:H104"/>
    <mergeCell ref="A105:B105"/>
    <mergeCell ref="C105:E105"/>
  </mergeCells>
  <pageMargins left="0.56999999999999995" right="0.17" top="0.76" bottom="0.34" header="0.23" footer="0"/>
  <pageSetup paperSize="9" scale="56" firstPageNumber="22" fitToHeight="4" orientation="landscape" useFirstPageNumber="1" r:id="rId1"/>
  <headerFooter alignWithMargins="0">
    <oddFooter>&amp;C&amp;20 P - &amp;P</oddFooter>
  </headerFooter>
  <rowBreaks count="1" manualBreakCount="1">
    <brk id="5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topLeftCell="A91" zoomScale="85" zoomScaleNormal="85" workbookViewId="0">
      <selection activeCell="I105" sqref="I105"/>
    </sheetView>
  </sheetViews>
  <sheetFormatPr defaultColWidth="9.140625" defaultRowHeight="15" x14ac:dyDescent="0.25"/>
  <cols>
    <col min="1" max="1" width="8.140625" style="689" customWidth="1"/>
    <col min="2" max="2" width="10.5703125" style="689" customWidth="1"/>
    <col min="3" max="3" width="39.28515625" style="690" customWidth="1"/>
    <col min="4" max="4" width="11" style="689" customWidth="1"/>
    <col min="5" max="5" width="9.42578125" style="688" customWidth="1"/>
    <col min="6" max="6" width="9.5703125" style="688" customWidth="1"/>
    <col min="7" max="7" width="9.42578125" style="688" customWidth="1"/>
    <col min="8" max="8" width="9.7109375" style="688" customWidth="1"/>
    <col min="9" max="9" width="9.85546875" style="688" customWidth="1"/>
    <col min="10" max="10" width="9.7109375" style="688" customWidth="1"/>
    <col min="11" max="11" width="8.5703125" style="688" customWidth="1"/>
    <col min="12" max="12" width="9" style="688" customWidth="1"/>
    <col min="13" max="13" width="6.7109375" style="689" customWidth="1"/>
    <col min="14" max="14" width="9.5703125" style="689" customWidth="1"/>
    <col min="15" max="15" width="9.42578125" style="689" customWidth="1"/>
    <col min="16" max="16" width="10" style="689" customWidth="1"/>
    <col min="17" max="17" width="9.28515625" style="689" customWidth="1"/>
    <col min="18" max="18" width="10.140625" style="688" customWidth="1"/>
    <col min="19" max="19" width="9.7109375" style="688" customWidth="1"/>
    <col min="20" max="20" width="9.85546875" style="688" customWidth="1"/>
    <col min="21" max="21" width="8.85546875" style="688" customWidth="1"/>
    <col min="22" max="22" width="9.140625" style="689" customWidth="1"/>
    <col min="23" max="23" width="10.85546875" style="689" customWidth="1"/>
    <col min="24" max="24" width="11.140625" style="689" customWidth="1"/>
    <col min="25" max="100" width="9.140625" style="689" customWidth="1"/>
    <col min="101" max="16384" width="9.140625" style="689"/>
  </cols>
  <sheetData>
    <row r="1" spans="1:25" s="687" customFormat="1" ht="21" customHeight="1" x14ac:dyDescent="0.25">
      <c r="A1" s="782" t="s">
        <v>205</v>
      </c>
      <c r="B1" s="783"/>
      <c r="C1" s="783"/>
      <c r="D1" s="783"/>
      <c r="E1" s="783"/>
      <c r="F1" s="783"/>
      <c r="G1" s="783"/>
      <c r="H1" s="783"/>
      <c r="I1" s="783"/>
      <c r="J1" s="783"/>
      <c r="K1" s="783"/>
      <c r="L1" s="783"/>
      <c r="M1" s="783"/>
      <c r="N1" s="783"/>
      <c r="O1" s="783"/>
      <c r="P1" s="783"/>
      <c r="Q1" s="783"/>
      <c r="R1" s="783"/>
      <c r="S1" s="783"/>
      <c r="T1" s="783"/>
      <c r="U1" s="783"/>
    </row>
    <row r="2" spans="1:25" ht="21.75" customHeight="1" x14ac:dyDescent="0.25">
      <c r="A2" s="169" t="s">
        <v>206</v>
      </c>
      <c r="B2" s="169"/>
      <c r="C2" s="169"/>
      <c r="D2" s="784" t="s">
        <v>207</v>
      </c>
      <c r="E2" s="785"/>
      <c r="F2" s="785"/>
      <c r="G2" s="785"/>
      <c r="H2" s="785"/>
      <c r="I2" s="785"/>
      <c r="J2" s="785"/>
      <c r="K2" s="785"/>
      <c r="L2" s="785"/>
      <c r="M2" s="786"/>
      <c r="N2" s="786"/>
      <c r="O2" s="786"/>
      <c r="P2" s="786"/>
      <c r="Q2" s="786"/>
      <c r="R2" s="785"/>
      <c r="S2" s="785"/>
      <c r="T2" s="785"/>
      <c r="U2" s="785"/>
      <c r="V2" s="23"/>
      <c r="W2" s="23"/>
      <c r="X2" s="23"/>
    </row>
    <row r="3" spans="1:25" ht="14.25" customHeight="1" x14ac:dyDescent="0.25">
      <c r="A3" s="787" t="s">
        <v>208</v>
      </c>
      <c r="B3" s="786"/>
      <c r="C3" s="788"/>
      <c r="D3" s="789" t="s">
        <v>209</v>
      </c>
      <c r="E3" s="785"/>
      <c r="F3" s="785"/>
      <c r="G3" s="785"/>
      <c r="H3" s="785"/>
      <c r="I3" s="785"/>
      <c r="J3" s="785"/>
      <c r="K3" s="785"/>
      <c r="L3" s="785"/>
      <c r="M3" s="786"/>
      <c r="N3" s="786"/>
      <c r="O3" s="786"/>
      <c r="P3" s="786"/>
      <c r="Q3" s="786"/>
      <c r="R3" s="785"/>
      <c r="S3" s="785"/>
      <c r="T3" s="785"/>
      <c r="U3" s="785"/>
    </row>
    <row r="4" spans="1:25" s="318" customFormat="1" ht="6.75" customHeight="1" x14ac:dyDescent="0.25">
      <c r="A4" s="317"/>
      <c r="B4" s="317"/>
      <c r="C4" s="691"/>
      <c r="D4" s="317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19"/>
      <c r="R4" s="319"/>
      <c r="S4" s="319"/>
      <c r="T4" s="790" t="s">
        <v>210</v>
      </c>
      <c r="U4" s="707"/>
      <c r="V4" s="320"/>
    </row>
    <row r="5" spans="1:25" s="318" customFormat="1" ht="26.25" customHeight="1" x14ac:dyDescent="0.25">
      <c r="A5" s="791" t="s">
        <v>211</v>
      </c>
      <c r="B5" s="791" t="s">
        <v>212</v>
      </c>
      <c r="C5" s="781" t="s">
        <v>213</v>
      </c>
      <c r="D5" s="791" t="s">
        <v>214</v>
      </c>
      <c r="E5" s="792" t="s">
        <v>215</v>
      </c>
      <c r="F5" s="717"/>
      <c r="G5" s="717"/>
      <c r="H5" s="717"/>
      <c r="I5" s="717"/>
      <c r="J5" s="717"/>
      <c r="K5" s="717"/>
      <c r="L5" s="717"/>
      <c r="M5" s="793" t="s">
        <v>216</v>
      </c>
      <c r="N5" s="794" t="s">
        <v>217</v>
      </c>
      <c r="O5" s="717"/>
      <c r="P5" s="717"/>
      <c r="Q5" s="717"/>
      <c r="R5" s="717"/>
      <c r="S5" s="717"/>
      <c r="T5" s="717"/>
      <c r="U5" s="703"/>
    </row>
    <row r="6" spans="1:25" s="318" customFormat="1" ht="19.5" customHeight="1" x14ac:dyDescent="0.25">
      <c r="A6" s="702"/>
      <c r="B6" s="702"/>
      <c r="C6" s="702"/>
      <c r="D6" s="702"/>
      <c r="E6" s="692" t="s">
        <v>218</v>
      </c>
      <c r="F6" s="692" t="s">
        <v>219</v>
      </c>
      <c r="G6" s="692" t="s">
        <v>220</v>
      </c>
      <c r="H6" s="692" t="s">
        <v>221</v>
      </c>
      <c r="I6" s="692" t="s">
        <v>222</v>
      </c>
      <c r="J6" s="692" t="s">
        <v>223</v>
      </c>
      <c r="K6" s="692" t="s">
        <v>224</v>
      </c>
      <c r="L6" s="692" t="s">
        <v>225</v>
      </c>
      <c r="M6" s="702"/>
      <c r="N6" s="692" t="s">
        <v>218</v>
      </c>
      <c r="O6" s="692" t="s">
        <v>219</v>
      </c>
      <c r="P6" s="692" t="s">
        <v>220</v>
      </c>
      <c r="Q6" s="692" t="s">
        <v>221</v>
      </c>
      <c r="R6" s="692" t="s">
        <v>222</v>
      </c>
      <c r="S6" s="692" t="s">
        <v>223</v>
      </c>
      <c r="T6" s="692" t="s">
        <v>224</v>
      </c>
      <c r="U6" s="692" t="s">
        <v>225</v>
      </c>
    </row>
    <row r="7" spans="1:25" ht="16.5" customHeight="1" x14ac:dyDescent="0.25">
      <c r="A7" s="795" t="s">
        <v>20</v>
      </c>
      <c r="B7" s="707"/>
      <c r="C7" s="707"/>
      <c r="D7" s="707"/>
      <c r="E7" s="707"/>
      <c r="F7" s="707"/>
      <c r="G7" s="707"/>
      <c r="H7" s="708"/>
      <c r="I7" s="693"/>
      <c r="J7" s="693"/>
      <c r="K7" s="693"/>
      <c r="L7" s="693"/>
      <c r="M7" s="106"/>
      <c r="N7" s="92"/>
      <c r="O7" s="92"/>
      <c r="P7" s="92"/>
      <c r="Q7" s="92"/>
      <c r="R7" s="188"/>
      <c r="S7" s="188"/>
      <c r="T7" s="188"/>
      <c r="U7" s="188"/>
    </row>
    <row r="8" spans="1:25" ht="16.5" customHeight="1" x14ac:dyDescent="0.25">
      <c r="A8" s="321"/>
      <c r="B8" s="322"/>
      <c r="C8" s="686" t="s">
        <v>21</v>
      </c>
      <c r="D8" s="188"/>
      <c r="E8" s="425"/>
      <c r="F8" s="425"/>
      <c r="G8" s="425"/>
      <c r="H8" s="425"/>
      <c r="I8" s="425"/>
      <c r="J8" s="425"/>
      <c r="K8" s="425"/>
      <c r="L8" s="425"/>
      <c r="M8" s="436"/>
      <c r="N8" s="188"/>
      <c r="O8" s="188"/>
      <c r="P8" s="188"/>
      <c r="Q8" s="188"/>
      <c r="R8" s="188"/>
      <c r="S8" s="188"/>
      <c r="T8" s="188"/>
      <c r="U8" s="188"/>
      <c r="W8" s="688"/>
      <c r="X8" s="688"/>
      <c r="Y8" s="437"/>
    </row>
    <row r="9" spans="1:25" ht="16.5" customHeight="1" x14ac:dyDescent="0.25">
      <c r="A9" s="321"/>
      <c r="B9" s="323">
        <v>3111302</v>
      </c>
      <c r="C9" s="324" t="s">
        <v>22</v>
      </c>
      <c r="D9" s="188">
        <v>5</v>
      </c>
      <c r="E9" s="325">
        <v>0</v>
      </c>
      <c r="F9" s="187">
        <v>0.3</v>
      </c>
      <c r="G9" s="187">
        <v>0.13</v>
      </c>
      <c r="H9" s="187">
        <v>0.28000000000000003</v>
      </c>
      <c r="I9" s="187">
        <v>0.3</v>
      </c>
      <c r="J9" s="187">
        <v>0.5</v>
      </c>
      <c r="K9" s="187">
        <v>2.0242</v>
      </c>
      <c r="L9" s="187">
        <v>1.4658</v>
      </c>
      <c r="M9" s="436">
        <v>0.90200000000000002</v>
      </c>
      <c r="N9" s="188">
        <f>M9*E9</f>
        <v>0</v>
      </c>
      <c r="O9" s="188">
        <f>M9*F9</f>
        <v>0.27060000000000001</v>
      </c>
      <c r="P9" s="188">
        <f>M9*G9</f>
        <v>0.11726</v>
      </c>
      <c r="Q9" s="188">
        <f>M9*H9</f>
        <v>0.25256000000000001</v>
      </c>
      <c r="R9" s="188">
        <f>M9*I9</f>
        <v>0.27060000000000001</v>
      </c>
      <c r="S9" s="188">
        <f>M9*J9</f>
        <v>0.45100000000000001</v>
      </c>
      <c r="T9" s="188">
        <f>M9*K9</f>
        <v>1.8258284</v>
      </c>
      <c r="U9" s="188">
        <f>M9*L9</f>
        <v>1.3221516</v>
      </c>
      <c r="W9" s="688"/>
      <c r="X9" s="688"/>
      <c r="Y9" s="437"/>
    </row>
    <row r="10" spans="1:25" ht="16.5" customHeight="1" x14ac:dyDescent="0.25">
      <c r="A10" s="321"/>
      <c r="B10" s="323">
        <v>3111327</v>
      </c>
      <c r="C10" s="324" t="s">
        <v>24</v>
      </c>
      <c r="D10" s="188">
        <v>10</v>
      </c>
      <c r="E10" s="187">
        <v>0</v>
      </c>
      <c r="F10" s="187">
        <v>0</v>
      </c>
      <c r="G10" s="187">
        <v>0</v>
      </c>
      <c r="H10" s="187">
        <v>0</v>
      </c>
      <c r="I10" s="187">
        <v>0</v>
      </c>
      <c r="J10" s="187">
        <v>0</v>
      </c>
      <c r="K10" s="187">
        <v>6.3</v>
      </c>
      <c r="L10" s="187">
        <v>3.7</v>
      </c>
      <c r="M10" s="436">
        <v>0.90200000000000002</v>
      </c>
      <c r="N10" s="188">
        <f>M10*E10</f>
        <v>0</v>
      </c>
      <c r="O10" s="188">
        <f>M10*F10</f>
        <v>0</v>
      </c>
      <c r="P10" s="188">
        <f>M10*G10</f>
        <v>0</v>
      </c>
      <c r="Q10" s="188">
        <f>M10*H10</f>
        <v>0</v>
      </c>
      <c r="R10" s="188">
        <f>M10*I10</f>
        <v>0</v>
      </c>
      <c r="S10" s="188">
        <f>M10*J10</f>
        <v>0</v>
      </c>
      <c r="T10" s="188">
        <f>M10*K10</f>
        <v>5.6825999999999999</v>
      </c>
      <c r="U10" s="188">
        <f>M10*L10</f>
        <v>3.3374000000000001</v>
      </c>
      <c r="W10" s="688"/>
      <c r="X10" s="688"/>
      <c r="Y10" s="437"/>
    </row>
    <row r="11" spans="1:25" ht="16.5" customHeight="1" x14ac:dyDescent="0.25">
      <c r="A11" s="321"/>
      <c r="B11" s="323">
        <v>3111338</v>
      </c>
      <c r="C11" s="324" t="s">
        <v>25</v>
      </c>
      <c r="D11" s="188">
        <v>140</v>
      </c>
      <c r="E11" s="187">
        <v>0</v>
      </c>
      <c r="F11" s="187">
        <v>0</v>
      </c>
      <c r="G11" s="187">
        <v>0</v>
      </c>
      <c r="H11" s="187">
        <v>25</v>
      </c>
      <c r="I11" s="187">
        <v>11.61</v>
      </c>
      <c r="J11" s="187">
        <v>14</v>
      </c>
      <c r="K11" s="187">
        <v>53.634</v>
      </c>
      <c r="L11" s="187">
        <v>35.756</v>
      </c>
      <c r="M11" s="436">
        <v>0.90200000000000002</v>
      </c>
      <c r="N11" s="188">
        <f>M11*E11</f>
        <v>0</v>
      </c>
      <c r="O11" s="188">
        <f>M11*F11</f>
        <v>0</v>
      </c>
      <c r="P11" s="188">
        <f>M11*G11</f>
        <v>0</v>
      </c>
      <c r="Q11" s="188">
        <f>M11*H11</f>
        <v>22.55</v>
      </c>
      <c r="R11" s="188">
        <f>M11*I11</f>
        <v>10.47222</v>
      </c>
      <c r="S11" s="188">
        <f>M11*J11</f>
        <v>12.628</v>
      </c>
      <c r="T11" s="188">
        <f>M11*K11</f>
        <v>48.377867999999999</v>
      </c>
      <c r="U11" s="188">
        <f>M11*L11</f>
        <v>32.251912000000004</v>
      </c>
      <c r="W11" s="688"/>
      <c r="X11" s="688"/>
      <c r="Y11" s="437"/>
    </row>
    <row r="12" spans="1:25" ht="15" customHeight="1" x14ac:dyDescent="0.25">
      <c r="A12" s="321"/>
      <c r="B12" s="322"/>
      <c r="C12" s="686" t="s">
        <v>144</v>
      </c>
      <c r="D12" s="188"/>
      <c r="E12" s="187"/>
      <c r="F12" s="187"/>
      <c r="G12" s="187"/>
      <c r="H12" s="187"/>
      <c r="I12" s="187"/>
      <c r="J12" s="187"/>
      <c r="K12" s="187"/>
      <c r="L12" s="187"/>
      <c r="M12" s="436"/>
      <c r="N12" s="436"/>
      <c r="O12" s="436"/>
      <c r="P12" s="436"/>
      <c r="Q12" s="436"/>
      <c r="R12" s="188"/>
      <c r="S12" s="188"/>
      <c r="T12" s="188"/>
      <c r="U12" s="188"/>
      <c r="W12" s="688"/>
      <c r="X12" s="688"/>
      <c r="Y12" s="437"/>
    </row>
    <row r="13" spans="1:25" ht="29.25" customHeight="1" x14ac:dyDescent="0.25">
      <c r="A13" s="321"/>
      <c r="B13" s="323">
        <v>3241101</v>
      </c>
      <c r="C13" s="324" t="s">
        <v>27</v>
      </c>
      <c r="D13" s="188">
        <v>120</v>
      </c>
      <c r="E13" s="187">
        <v>0.99099999999999999</v>
      </c>
      <c r="F13" s="187">
        <v>11.909000000000001</v>
      </c>
      <c r="G13" s="187">
        <v>14.98</v>
      </c>
      <c r="H13" s="187">
        <v>17.96</v>
      </c>
      <c r="I13" s="187">
        <v>12.7</v>
      </c>
      <c r="J13" s="187">
        <v>15</v>
      </c>
      <c r="K13" s="187">
        <v>28.805199999999999</v>
      </c>
      <c r="L13" s="187">
        <v>17.654800000000002</v>
      </c>
      <c r="M13" s="187">
        <v>0.90200000000000002</v>
      </c>
      <c r="N13" s="188">
        <f t="shared" ref="N13:N27" si="0">M13*E13</f>
        <v>0.89388200000000007</v>
      </c>
      <c r="O13" s="188">
        <f t="shared" ref="O13:O27" si="1">M13*F13</f>
        <v>10.741918</v>
      </c>
      <c r="P13" s="188">
        <f t="shared" ref="P13:P27" si="2">M13*G13</f>
        <v>13.51196</v>
      </c>
      <c r="Q13" s="188">
        <f t="shared" ref="Q13:Q27" si="3">M13*H13</f>
        <v>16.199920000000002</v>
      </c>
      <c r="R13" s="188">
        <f t="shared" ref="R13:R27" si="4">M13*I13</f>
        <v>11.455399999999999</v>
      </c>
      <c r="S13" s="188">
        <f t="shared" ref="S13:S27" si="5">M13*J13</f>
        <v>13.530000000000001</v>
      </c>
      <c r="T13" s="188">
        <f t="shared" ref="T13:T27" si="6">M13*K13</f>
        <v>25.9822904</v>
      </c>
      <c r="U13" s="188">
        <f t="shared" ref="U13:U27" si="7">M13*L13</f>
        <v>15.924629600000001</v>
      </c>
      <c r="W13" s="688"/>
      <c r="X13" s="688"/>
      <c r="Y13" s="437"/>
    </row>
    <row r="14" spans="1:25" ht="29.25" customHeight="1" x14ac:dyDescent="0.25">
      <c r="A14" s="321"/>
      <c r="B14" s="323">
        <v>3211129</v>
      </c>
      <c r="C14" s="324" t="s">
        <v>28</v>
      </c>
      <c r="D14" s="188">
        <v>245</v>
      </c>
      <c r="E14" s="187">
        <v>0</v>
      </c>
      <c r="F14" s="187">
        <v>16.25</v>
      </c>
      <c r="G14" s="187">
        <v>31.35</v>
      </c>
      <c r="H14" s="187">
        <v>34.86</v>
      </c>
      <c r="I14" s="187">
        <v>34.21</v>
      </c>
      <c r="J14" s="187">
        <v>34.25</v>
      </c>
      <c r="K14" s="187">
        <v>58.329599999999992</v>
      </c>
      <c r="L14" s="187">
        <v>35.750399999999992</v>
      </c>
      <c r="M14" s="436">
        <v>0.81200000000000006</v>
      </c>
      <c r="N14" s="188">
        <f t="shared" si="0"/>
        <v>0</v>
      </c>
      <c r="O14" s="188">
        <f t="shared" si="1"/>
        <v>13.195</v>
      </c>
      <c r="P14" s="188">
        <f t="shared" si="2"/>
        <v>25.456200000000003</v>
      </c>
      <c r="Q14" s="188">
        <f t="shared" si="3"/>
        <v>28.306320000000003</v>
      </c>
      <c r="R14" s="188">
        <f t="shared" si="4"/>
        <v>27.778520000000004</v>
      </c>
      <c r="S14" s="188">
        <f t="shared" si="5"/>
        <v>27.811000000000003</v>
      </c>
      <c r="T14" s="188">
        <f t="shared" si="6"/>
        <v>47.363635199999997</v>
      </c>
      <c r="U14" s="188">
        <f t="shared" si="7"/>
        <v>29.029324799999994</v>
      </c>
      <c r="W14" s="688"/>
      <c r="X14" s="688"/>
      <c r="Y14" s="437"/>
    </row>
    <row r="15" spans="1:25" ht="27.75" customHeight="1" x14ac:dyDescent="0.25">
      <c r="A15" s="321"/>
      <c r="B15" s="323">
        <v>3821103</v>
      </c>
      <c r="C15" s="324" t="s">
        <v>29</v>
      </c>
      <c r="D15" s="188">
        <v>2596.27</v>
      </c>
      <c r="E15" s="187">
        <v>223.74600000000001</v>
      </c>
      <c r="F15" s="187">
        <v>464.654</v>
      </c>
      <c r="G15" s="187">
        <v>327.7</v>
      </c>
      <c r="H15" s="187">
        <v>337.33</v>
      </c>
      <c r="I15" s="187">
        <v>249.75</v>
      </c>
      <c r="J15" s="187">
        <v>359.08</v>
      </c>
      <c r="K15" s="187">
        <v>367.72580000000011</v>
      </c>
      <c r="L15" s="187">
        <v>266.28420000000011</v>
      </c>
      <c r="M15" s="436">
        <v>0.81200000000000006</v>
      </c>
      <c r="N15" s="188">
        <f t="shared" si="0"/>
        <v>181.68175200000002</v>
      </c>
      <c r="O15" s="188">
        <f t="shared" si="1"/>
        <v>377.29904800000003</v>
      </c>
      <c r="P15" s="188">
        <f t="shared" si="2"/>
        <v>266.0924</v>
      </c>
      <c r="Q15" s="188">
        <f t="shared" si="3"/>
        <v>273.91196000000002</v>
      </c>
      <c r="R15" s="188">
        <f t="shared" si="4"/>
        <v>202.79700000000003</v>
      </c>
      <c r="S15" s="188">
        <f t="shared" si="5"/>
        <v>291.57296000000002</v>
      </c>
      <c r="T15" s="188">
        <f t="shared" si="6"/>
        <v>298.59334960000012</v>
      </c>
      <c r="U15" s="188">
        <f t="shared" si="7"/>
        <v>216.22277040000012</v>
      </c>
      <c r="W15" s="688"/>
      <c r="X15" s="688"/>
      <c r="Y15" s="437"/>
    </row>
    <row r="16" spans="1:25" ht="18" customHeight="1" x14ac:dyDescent="0.25">
      <c r="A16" s="321"/>
      <c r="B16" s="323">
        <v>3211119</v>
      </c>
      <c r="C16" s="324" t="s">
        <v>30</v>
      </c>
      <c r="D16" s="188">
        <v>5</v>
      </c>
      <c r="E16" s="187">
        <v>0</v>
      </c>
      <c r="F16" s="187">
        <v>0.05</v>
      </c>
      <c r="G16" s="187">
        <v>0.13</v>
      </c>
      <c r="H16" s="187">
        <v>0.22</v>
      </c>
      <c r="I16" s="187">
        <v>0.37</v>
      </c>
      <c r="J16" s="187">
        <v>0.5</v>
      </c>
      <c r="K16" s="187">
        <v>2.1634000000000002</v>
      </c>
      <c r="L16" s="187">
        <v>1.5666</v>
      </c>
      <c r="M16" s="436">
        <v>0.81200000000000006</v>
      </c>
      <c r="N16" s="188">
        <f t="shared" si="0"/>
        <v>0</v>
      </c>
      <c r="O16" s="188">
        <f t="shared" si="1"/>
        <v>4.0600000000000004E-2</v>
      </c>
      <c r="P16" s="188">
        <f t="shared" si="2"/>
        <v>0.10556000000000001</v>
      </c>
      <c r="Q16" s="188">
        <f t="shared" si="3"/>
        <v>0.17864000000000002</v>
      </c>
      <c r="R16" s="188">
        <f t="shared" si="4"/>
        <v>0.30044000000000004</v>
      </c>
      <c r="S16" s="188">
        <f t="shared" si="5"/>
        <v>0.40600000000000003</v>
      </c>
      <c r="T16" s="188">
        <f t="shared" si="6"/>
        <v>1.7566808000000003</v>
      </c>
      <c r="U16" s="188">
        <f t="shared" si="7"/>
        <v>1.2720792000000001</v>
      </c>
      <c r="W16" s="688"/>
      <c r="X16" s="688"/>
      <c r="Y16" s="437"/>
    </row>
    <row r="17" spans="1:26" ht="18" customHeight="1" x14ac:dyDescent="0.25">
      <c r="A17" s="321"/>
      <c r="B17" s="323">
        <v>3211120</v>
      </c>
      <c r="C17" s="324" t="s">
        <v>31</v>
      </c>
      <c r="D17" s="188">
        <v>5</v>
      </c>
      <c r="E17" s="187">
        <v>0.21</v>
      </c>
      <c r="F17" s="187">
        <v>0.24</v>
      </c>
      <c r="G17" s="187">
        <v>0.28999999999999998</v>
      </c>
      <c r="H17" s="187">
        <v>0.15</v>
      </c>
      <c r="I17" s="187">
        <v>0.08</v>
      </c>
      <c r="J17" s="187">
        <v>0.2</v>
      </c>
      <c r="K17" s="187">
        <v>2.3363</v>
      </c>
      <c r="L17" s="187">
        <v>1.4937</v>
      </c>
      <c r="M17" s="436">
        <v>0.81200000000000006</v>
      </c>
      <c r="N17" s="188">
        <f t="shared" si="0"/>
        <v>0.17052</v>
      </c>
      <c r="O17" s="188">
        <f t="shared" si="1"/>
        <v>0.19488</v>
      </c>
      <c r="P17" s="188">
        <f t="shared" si="2"/>
        <v>0.23547999999999999</v>
      </c>
      <c r="Q17" s="188">
        <f t="shared" si="3"/>
        <v>0.12180000000000001</v>
      </c>
      <c r="R17" s="188">
        <f t="shared" si="4"/>
        <v>6.4960000000000004E-2</v>
      </c>
      <c r="S17" s="188">
        <f t="shared" si="5"/>
        <v>0.16240000000000002</v>
      </c>
      <c r="T17" s="188">
        <f t="shared" si="6"/>
        <v>1.8970756000000002</v>
      </c>
      <c r="U17" s="188">
        <f t="shared" si="7"/>
        <v>1.2128844000000001</v>
      </c>
      <c r="W17" s="688"/>
      <c r="X17" s="688"/>
      <c r="Y17" s="437"/>
    </row>
    <row r="18" spans="1:26" ht="18" customHeight="1" x14ac:dyDescent="0.25">
      <c r="A18" s="321"/>
      <c r="B18" s="323">
        <v>3211117</v>
      </c>
      <c r="C18" s="324" t="s">
        <v>32</v>
      </c>
      <c r="D18" s="188">
        <v>5</v>
      </c>
      <c r="E18" s="187">
        <v>0.249</v>
      </c>
      <c r="F18" s="187">
        <v>1E-3</v>
      </c>
      <c r="G18" s="187">
        <v>0.09</v>
      </c>
      <c r="H18" s="187">
        <v>0.05</v>
      </c>
      <c r="I18" s="187">
        <v>0.05</v>
      </c>
      <c r="J18" s="187">
        <v>0.2</v>
      </c>
      <c r="K18" s="187">
        <v>2.4416000000000002</v>
      </c>
      <c r="L18" s="187">
        <v>1.9184000000000001</v>
      </c>
      <c r="M18" s="436">
        <v>0.81200000000000006</v>
      </c>
      <c r="N18" s="188">
        <f t="shared" si="0"/>
        <v>0.20218800000000001</v>
      </c>
      <c r="O18" s="188">
        <f t="shared" si="1"/>
        <v>8.1200000000000011E-4</v>
      </c>
      <c r="P18" s="188">
        <f t="shared" si="2"/>
        <v>7.3080000000000006E-2</v>
      </c>
      <c r="Q18" s="188">
        <f t="shared" si="3"/>
        <v>4.0600000000000004E-2</v>
      </c>
      <c r="R18" s="188">
        <f t="shared" si="4"/>
        <v>4.0600000000000004E-2</v>
      </c>
      <c r="S18" s="188">
        <f t="shared" si="5"/>
        <v>0.16240000000000002</v>
      </c>
      <c r="T18" s="188">
        <f t="shared" si="6"/>
        <v>1.9825792000000002</v>
      </c>
      <c r="U18" s="188">
        <f t="shared" si="7"/>
        <v>1.5577408000000001</v>
      </c>
      <c r="W18" s="688"/>
      <c r="X18" s="688"/>
      <c r="Y18" s="437"/>
    </row>
    <row r="19" spans="1:26" ht="18" customHeight="1" x14ac:dyDescent="0.25">
      <c r="A19" s="321"/>
      <c r="B19" s="323">
        <v>3221104</v>
      </c>
      <c r="C19" s="324" t="s">
        <v>33</v>
      </c>
      <c r="D19" s="188">
        <v>20</v>
      </c>
      <c r="E19" s="187">
        <v>1.1000000000000001</v>
      </c>
      <c r="F19" s="187">
        <v>8.3699999999999992</v>
      </c>
      <c r="G19" s="187">
        <v>0.08</v>
      </c>
      <c r="H19" s="187">
        <v>0</v>
      </c>
      <c r="I19" s="187">
        <v>2.37</v>
      </c>
      <c r="J19" s="187">
        <v>1</v>
      </c>
      <c r="K19" s="187">
        <v>4.4604000000000008</v>
      </c>
      <c r="L19" s="187">
        <v>2.619600000000001</v>
      </c>
      <c r="M19" s="436">
        <v>0.81200000000000006</v>
      </c>
      <c r="N19" s="188">
        <f t="shared" si="0"/>
        <v>0.8932000000000001</v>
      </c>
      <c r="O19" s="188">
        <f t="shared" si="1"/>
        <v>6.7964399999999996</v>
      </c>
      <c r="P19" s="188">
        <f t="shared" si="2"/>
        <v>6.4960000000000004E-2</v>
      </c>
      <c r="Q19" s="188">
        <f t="shared" si="3"/>
        <v>0</v>
      </c>
      <c r="R19" s="188">
        <f t="shared" si="4"/>
        <v>1.9244400000000002</v>
      </c>
      <c r="S19" s="188">
        <f t="shared" si="5"/>
        <v>0.81200000000000006</v>
      </c>
      <c r="T19" s="188">
        <f t="shared" si="6"/>
        <v>3.6218448000000008</v>
      </c>
      <c r="U19" s="188">
        <f t="shared" si="7"/>
        <v>2.1271152000000009</v>
      </c>
      <c r="W19" s="688"/>
      <c r="X19" s="688"/>
      <c r="Y19" s="437"/>
    </row>
    <row r="20" spans="1:26" ht="18" customHeight="1" x14ac:dyDescent="0.25">
      <c r="A20" s="321"/>
      <c r="B20" s="323">
        <v>3211115</v>
      </c>
      <c r="C20" s="324" t="s">
        <v>34</v>
      </c>
      <c r="D20" s="188">
        <v>5</v>
      </c>
      <c r="E20" s="187">
        <v>0</v>
      </c>
      <c r="F20" s="187">
        <v>0.11</v>
      </c>
      <c r="G20" s="187">
        <v>0.23</v>
      </c>
      <c r="H20" s="187">
        <v>0.37</v>
      </c>
      <c r="I20" s="187">
        <v>0.4</v>
      </c>
      <c r="J20" s="187">
        <v>0.45</v>
      </c>
      <c r="K20" s="187">
        <v>2.0983999999999998</v>
      </c>
      <c r="L20" s="187">
        <v>1.3415999999999999</v>
      </c>
      <c r="M20" s="436">
        <v>0.81200000000000006</v>
      </c>
      <c r="N20" s="188">
        <f t="shared" si="0"/>
        <v>0</v>
      </c>
      <c r="O20" s="188">
        <f t="shared" si="1"/>
        <v>8.932000000000001E-2</v>
      </c>
      <c r="P20" s="188">
        <f t="shared" si="2"/>
        <v>0.18676000000000001</v>
      </c>
      <c r="Q20" s="188">
        <f t="shared" si="3"/>
        <v>0.30044000000000004</v>
      </c>
      <c r="R20" s="188">
        <f t="shared" si="4"/>
        <v>0.32480000000000003</v>
      </c>
      <c r="S20" s="188">
        <f t="shared" si="5"/>
        <v>0.36540000000000006</v>
      </c>
      <c r="T20" s="188">
        <f t="shared" si="6"/>
        <v>1.7039008</v>
      </c>
      <c r="U20" s="188">
        <f t="shared" si="7"/>
        <v>1.0893792</v>
      </c>
      <c r="W20" s="688"/>
      <c r="X20" s="688"/>
      <c r="Y20" s="437"/>
    </row>
    <row r="21" spans="1:26" ht="18" customHeight="1" x14ac:dyDescent="0.25">
      <c r="A21" s="321"/>
      <c r="B21" s="323">
        <v>3211113</v>
      </c>
      <c r="C21" s="324" t="s">
        <v>35</v>
      </c>
      <c r="D21" s="188">
        <v>20</v>
      </c>
      <c r="E21" s="187">
        <v>0.187</v>
      </c>
      <c r="F21" s="187">
        <v>1.6830000000000001</v>
      </c>
      <c r="G21" s="187">
        <v>1.78</v>
      </c>
      <c r="H21" s="187">
        <v>2.31</v>
      </c>
      <c r="I21" s="187">
        <v>2.78</v>
      </c>
      <c r="J21" s="187">
        <v>3.5</v>
      </c>
      <c r="K21" s="187">
        <v>4.2679999999999998</v>
      </c>
      <c r="L21" s="187">
        <v>3.492</v>
      </c>
      <c r="M21" s="436">
        <v>0.81200000000000006</v>
      </c>
      <c r="N21" s="188">
        <f t="shared" si="0"/>
        <v>0.15184400000000001</v>
      </c>
      <c r="O21" s="188">
        <f t="shared" si="1"/>
        <v>1.3665960000000001</v>
      </c>
      <c r="P21" s="188">
        <f t="shared" si="2"/>
        <v>1.4453600000000002</v>
      </c>
      <c r="Q21" s="188">
        <f t="shared" si="3"/>
        <v>1.8757200000000003</v>
      </c>
      <c r="R21" s="188">
        <f t="shared" si="4"/>
        <v>2.2573599999999998</v>
      </c>
      <c r="S21" s="188">
        <f t="shared" si="5"/>
        <v>2.8420000000000001</v>
      </c>
      <c r="T21" s="188">
        <f t="shared" si="6"/>
        <v>3.4656160000000003</v>
      </c>
      <c r="U21" s="188">
        <f t="shared" si="7"/>
        <v>2.8355040000000002</v>
      </c>
      <c r="W21" s="688"/>
      <c r="X21" s="688"/>
      <c r="Y21" s="437"/>
    </row>
    <row r="22" spans="1:26" ht="18" customHeight="1" x14ac:dyDescent="0.25">
      <c r="A22" s="321"/>
      <c r="B22" s="323">
        <v>3243102</v>
      </c>
      <c r="C22" s="324" t="s">
        <v>36</v>
      </c>
      <c r="D22" s="188">
        <v>100</v>
      </c>
      <c r="E22" s="187">
        <v>0.93799999999999994</v>
      </c>
      <c r="F22" s="187">
        <v>3.6920000000000002</v>
      </c>
      <c r="G22" s="187">
        <v>3</v>
      </c>
      <c r="H22" s="187">
        <v>4</v>
      </c>
      <c r="I22" s="187">
        <v>5.89</v>
      </c>
      <c r="J22" s="187">
        <v>6</v>
      </c>
      <c r="K22" s="187">
        <v>46.652799999999999</v>
      </c>
      <c r="L22" s="187">
        <v>29.827200000000001</v>
      </c>
      <c r="M22" s="436">
        <v>0.81200000000000006</v>
      </c>
      <c r="N22" s="188">
        <f t="shared" si="0"/>
        <v>0.761656</v>
      </c>
      <c r="O22" s="188">
        <f t="shared" si="1"/>
        <v>2.9979040000000001</v>
      </c>
      <c r="P22" s="188">
        <f t="shared" si="2"/>
        <v>2.4359999999999999</v>
      </c>
      <c r="Q22" s="188">
        <f t="shared" si="3"/>
        <v>3.2480000000000002</v>
      </c>
      <c r="R22" s="188">
        <f t="shared" si="4"/>
        <v>4.78268</v>
      </c>
      <c r="S22" s="188">
        <f t="shared" si="5"/>
        <v>4.8719999999999999</v>
      </c>
      <c r="T22" s="188">
        <f t="shared" si="6"/>
        <v>37.882073600000005</v>
      </c>
      <c r="U22" s="188">
        <f t="shared" si="7"/>
        <v>24.219686400000004</v>
      </c>
      <c r="W22" s="688"/>
      <c r="X22" s="688"/>
      <c r="Y22" s="437"/>
    </row>
    <row r="23" spans="1:26" ht="18" customHeight="1" x14ac:dyDescent="0.25">
      <c r="A23" s="321"/>
      <c r="B23" s="323">
        <v>3243101</v>
      </c>
      <c r="C23" s="324" t="s">
        <v>37</v>
      </c>
      <c r="D23" s="188">
        <v>200</v>
      </c>
      <c r="E23" s="187">
        <v>0.625</v>
      </c>
      <c r="F23" s="187">
        <v>6.9950000000000001</v>
      </c>
      <c r="G23" s="187">
        <v>18.97</v>
      </c>
      <c r="H23" s="187">
        <v>18</v>
      </c>
      <c r="I23" s="187">
        <v>20</v>
      </c>
      <c r="J23" s="187">
        <v>20</v>
      </c>
      <c r="K23" s="187">
        <v>65.783699999999996</v>
      </c>
      <c r="L23" s="187">
        <v>49.626300000000001</v>
      </c>
      <c r="M23" s="436">
        <v>0.72</v>
      </c>
      <c r="N23" s="188">
        <f t="shared" si="0"/>
        <v>0.44999999999999996</v>
      </c>
      <c r="O23" s="188">
        <f t="shared" si="1"/>
        <v>5.0363999999999995</v>
      </c>
      <c r="P23" s="188">
        <f t="shared" si="2"/>
        <v>13.658399999999999</v>
      </c>
      <c r="Q23" s="188">
        <f t="shared" si="3"/>
        <v>12.959999999999999</v>
      </c>
      <c r="R23" s="188">
        <f t="shared" si="4"/>
        <v>14.399999999999999</v>
      </c>
      <c r="S23" s="188">
        <f t="shared" si="5"/>
        <v>14.399999999999999</v>
      </c>
      <c r="T23" s="188">
        <f t="shared" si="6"/>
        <v>47.364263999999999</v>
      </c>
      <c r="U23" s="188">
        <f t="shared" si="7"/>
        <v>35.730936</v>
      </c>
      <c r="W23" s="688"/>
      <c r="X23" s="688"/>
      <c r="Y23" s="437"/>
    </row>
    <row r="24" spans="1:26" ht="28.5" customHeight="1" x14ac:dyDescent="0.25">
      <c r="A24" s="321"/>
      <c r="B24" s="323">
        <v>3221108</v>
      </c>
      <c r="C24" s="324" t="s">
        <v>38</v>
      </c>
      <c r="D24" s="188">
        <v>3</v>
      </c>
      <c r="E24" s="187">
        <v>8.1000000000000003E-2</v>
      </c>
      <c r="F24" s="187">
        <v>0.749</v>
      </c>
      <c r="G24" s="187">
        <v>0.01</v>
      </c>
      <c r="H24" s="187">
        <v>0.22</v>
      </c>
      <c r="I24" s="187">
        <v>0.1</v>
      </c>
      <c r="J24" s="187">
        <v>0.15</v>
      </c>
      <c r="K24" s="187">
        <v>0.92949999999999999</v>
      </c>
      <c r="L24" s="187">
        <v>0.76049999999999995</v>
      </c>
      <c r="M24" s="436">
        <v>0.90200000000000002</v>
      </c>
      <c r="N24" s="188">
        <f t="shared" si="0"/>
        <v>7.3062000000000002E-2</v>
      </c>
      <c r="O24" s="188">
        <f t="shared" si="1"/>
        <v>0.67559800000000003</v>
      </c>
      <c r="P24" s="188">
        <f t="shared" si="2"/>
        <v>9.0200000000000002E-3</v>
      </c>
      <c r="Q24" s="188">
        <f t="shared" si="3"/>
        <v>0.19844000000000001</v>
      </c>
      <c r="R24" s="188">
        <f t="shared" si="4"/>
        <v>9.0200000000000002E-2</v>
      </c>
      <c r="S24" s="188">
        <f t="shared" si="5"/>
        <v>0.1353</v>
      </c>
      <c r="T24" s="188">
        <f t="shared" si="6"/>
        <v>0.83840900000000007</v>
      </c>
      <c r="U24" s="188">
        <f t="shared" si="7"/>
        <v>0.685971</v>
      </c>
      <c r="W24" s="688"/>
      <c r="X24" s="688"/>
      <c r="Y24" s="437"/>
    </row>
    <row r="25" spans="1:26" ht="18" customHeight="1" x14ac:dyDescent="0.25">
      <c r="A25" s="321"/>
      <c r="B25" s="323">
        <v>3255102</v>
      </c>
      <c r="C25" s="324" t="s">
        <v>39</v>
      </c>
      <c r="D25" s="188">
        <v>50</v>
      </c>
      <c r="E25" s="187">
        <v>0.19600000000000001</v>
      </c>
      <c r="F25" s="187">
        <v>6.9939999999999998</v>
      </c>
      <c r="G25" s="187">
        <v>16.989999999999998</v>
      </c>
      <c r="H25" s="187">
        <v>6</v>
      </c>
      <c r="I25" s="187">
        <v>3.98</v>
      </c>
      <c r="J25" s="187">
        <v>0.5</v>
      </c>
      <c r="K25" s="187">
        <v>9.3574000000000019</v>
      </c>
      <c r="L25" s="187">
        <v>5.9826000000000006</v>
      </c>
      <c r="M25" s="436">
        <v>0.81200000000000006</v>
      </c>
      <c r="N25" s="188">
        <f t="shared" si="0"/>
        <v>0.15915200000000002</v>
      </c>
      <c r="O25" s="188">
        <f t="shared" si="1"/>
        <v>5.6791280000000004</v>
      </c>
      <c r="P25" s="188">
        <f t="shared" si="2"/>
        <v>13.79588</v>
      </c>
      <c r="Q25" s="188">
        <f t="shared" si="3"/>
        <v>4.8719999999999999</v>
      </c>
      <c r="R25" s="188">
        <f t="shared" si="4"/>
        <v>3.2317600000000004</v>
      </c>
      <c r="S25" s="188">
        <f t="shared" si="5"/>
        <v>0.40600000000000003</v>
      </c>
      <c r="T25" s="188">
        <f t="shared" si="6"/>
        <v>7.5982088000000019</v>
      </c>
      <c r="U25" s="188">
        <f t="shared" si="7"/>
        <v>4.8578712000000008</v>
      </c>
      <c r="W25" s="688"/>
      <c r="X25" s="688"/>
      <c r="Y25" s="437"/>
    </row>
    <row r="26" spans="1:26" ht="18" customHeight="1" x14ac:dyDescent="0.25">
      <c r="A26" s="321"/>
      <c r="B26" s="323">
        <v>3255104</v>
      </c>
      <c r="C26" s="324" t="s">
        <v>40</v>
      </c>
      <c r="D26" s="188">
        <v>120</v>
      </c>
      <c r="E26" s="187">
        <v>0.96799999999999997</v>
      </c>
      <c r="F26" s="187">
        <v>6.9720000000000004</v>
      </c>
      <c r="G26" s="187">
        <v>11.2</v>
      </c>
      <c r="H26" s="187">
        <v>12.79</v>
      </c>
      <c r="I26" s="187">
        <v>17.98</v>
      </c>
      <c r="J26" s="187">
        <v>20</v>
      </c>
      <c r="K26" s="187">
        <v>31.556699999999999</v>
      </c>
      <c r="L26" s="187">
        <v>18.533300000000001</v>
      </c>
      <c r="M26" s="436">
        <v>0.81200000000000006</v>
      </c>
      <c r="N26" s="188">
        <f t="shared" si="0"/>
        <v>0.78601600000000005</v>
      </c>
      <c r="O26" s="188">
        <f t="shared" si="1"/>
        <v>5.661264000000001</v>
      </c>
      <c r="P26" s="188">
        <f t="shared" si="2"/>
        <v>9.0944000000000003</v>
      </c>
      <c r="Q26" s="188">
        <f t="shared" si="3"/>
        <v>10.385479999999999</v>
      </c>
      <c r="R26" s="188">
        <f t="shared" si="4"/>
        <v>14.599760000000002</v>
      </c>
      <c r="S26" s="188">
        <f t="shared" si="5"/>
        <v>16.240000000000002</v>
      </c>
      <c r="T26" s="188">
        <f t="shared" si="6"/>
        <v>25.624040400000002</v>
      </c>
      <c r="U26" s="188">
        <f t="shared" si="7"/>
        <v>15.049039600000002</v>
      </c>
      <c r="W26" s="688"/>
      <c r="X26" s="688"/>
      <c r="Y26" s="437"/>
    </row>
    <row r="27" spans="1:26" ht="18" customHeight="1" x14ac:dyDescent="0.25">
      <c r="A27" s="321"/>
      <c r="B27" s="326">
        <v>3211127</v>
      </c>
      <c r="C27" s="324" t="s">
        <v>41</v>
      </c>
      <c r="D27" s="188">
        <v>2</v>
      </c>
      <c r="E27" s="187">
        <v>0</v>
      </c>
      <c r="F27" s="187">
        <v>0.1</v>
      </c>
      <c r="G27" s="187">
        <v>0.03</v>
      </c>
      <c r="H27" s="187">
        <v>0.05</v>
      </c>
      <c r="I27" s="187">
        <v>0.1</v>
      </c>
      <c r="J27" s="187">
        <v>0.2</v>
      </c>
      <c r="K27" s="187">
        <v>0.88159999999999994</v>
      </c>
      <c r="L27" s="187">
        <v>0.63839999999999997</v>
      </c>
      <c r="M27" s="436">
        <v>0.81200000000000006</v>
      </c>
      <c r="N27" s="188">
        <f t="shared" si="0"/>
        <v>0</v>
      </c>
      <c r="O27" s="188">
        <f t="shared" si="1"/>
        <v>8.1200000000000008E-2</v>
      </c>
      <c r="P27" s="188">
        <f t="shared" si="2"/>
        <v>2.436E-2</v>
      </c>
      <c r="Q27" s="188">
        <f t="shared" si="3"/>
        <v>4.0600000000000004E-2</v>
      </c>
      <c r="R27" s="188">
        <f t="shared" si="4"/>
        <v>8.1200000000000008E-2</v>
      </c>
      <c r="S27" s="188">
        <f t="shared" si="5"/>
        <v>0.16240000000000002</v>
      </c>
      <c r="T27" s="188">
        <f t="shared" si="6"/>
        <v>0.71585920000000003</v>
      </c>
      <c r="U27" s="188">
        <f t="shared" si="7"/>
        <v>0.51838079999999997</v>
      </c>
      <c r="W27" s="688"/>
      <c r="X27" s="688"/>
      <c r="Y27" s="437"/>
    </row>
    <row r="28" spans="1:26" ht="18" customHeight="1" x14ac:dyDescent="0.25">
      <c r="A28" s="321"/>
      <c r="B28" s="327"/>
      <c r="C28" s="324" t="s">
        <v>42</v>
      </c>
      <c r="D28" s="188"/>
      <c r="E28" s="187"/>
      <c r="F28" s="187"/>
      <c r="G28" s="187"/>
      <c r="H28" s="187"/>
      <c r="I28" s="187"/>
      <c r="J28" s="187"/>
      <c r="K28" s="187"/>
      <c r="L28" s="187"/>
      <c r="M28" s="436"/>
      <c r="N28" s="188"/>
      <c r="O28" s="188"/>
      <c r="P28" s="188"/>
      <c r="Q28" s="188"/>
      <c r="R28" s="188"/>
      <c r="S28" s="188"/>
      <c r="T28" s="188"/>
      <c r="U28" s="188"/>
      <c r="W28" s="688"/>
      <c r="X28" s="688"/>
      <c r="Y28" s="437"/>
    </row>
    <row r="29" spans="1:26" ht="45.75" customHeight="1" x14ac:dyDescent="0.25">
      <c r="A29" s="321"/>
      <c r="B29" s="638">
        <v>3231201</v>
      </c>
      <c r="C29" s="324" t="s">
        <v>43</v>
      </c>
      <c r="D29" s="188">
        <v>238.54</v>
      </c>
      <c r="E29" s="187">
        <v>0</v>
      </c>
      <c r="F29" s="187">
        <v>0</v>
      </c>
      <c r="G29" s="187">
        <v>0</v>
      </c>
      <c r="H29" s="187">
        <v>0</v>
      </c>
      <c r="I29" s="187">
        <v>0</v>
      </c>
      <c r="J29" s="187">
        <v>0</v>
      </c>
      <c r="K29" s="187">
        <v>238.54</v>
      </c>
      <c r="L29" s="187">
        <v>0</v>
      </c>
      <c r="M29" s="436">
        <v>0.90200000000000002</v>
      </c>
      <c r="N29" s="188">
        <f t="shared" ref="N29:N41" si="8">M29*E29</f>
        <v>0</v>
      </c>
      <c r="O29" s="188">
        <f t="shared" ref="O29:O41" si="9">M29*F29</f>
        <v>0</v>
      </c>
      <c r="P29" s="188">
        <f t="shared" ref="P29:P41" si="10">M29*G29</f>
        <v>0</v>
      </c>
      <c r="Q29" s="188">
        <f t="shared" ref="Q29:Q41" si="11">M29*H29</f>
        <v>0</v>
      </c>
      <c r="R29" s="188">
        <f t="shared" ref="R29:R41" si="12">M29*I29</f>
        <v>0</v>
      </c>
      <c r="S29" s="188">
        <f t="shared" ref="S29:S41" si="13">M29*J29</f>
        <v>0</v>
      </c>
      <c r="T29" s="188">
        <f t="shared" ref="T29:T41" si="14">M29*K29</f>
        <v>215.16308000000001</v>
      </c>
      <c r="U29" s="188">
        <f t="shared" ref="U29:U41" si="15">M29*L29</f>
        <v>0</v>
      </c>
      <c r="W29" s="688"/>
      <c r="X29" s="688"/>
      <c r="Y29" s="437"/>
    </row>
    <row r="30" spans="1:26" ht="48" customHeight="1" x14ac:dyDescent="0.25">
      <c r="A30" s="321"/>
      <c r="B30" s="639">
        <v>3231201</v>
      </c>
      <c r="C30" s="324" t="s">
        <v>44</v>
      </c>
      <c r="D30" s="188">
        <v>536.58000000000004</v>
      </c>
      <c r="E30" s="187">
        <v>0</v>
      </c>
      <c r="F30" s="187">
        <v>9.2200000000000006</v>
      </c>
      <c r="G30" s="187">
        <v>29.86</v>
      </c>
      <c r="H30" s="187">
        <v>86.55</v>
      </c>
      <c r="I30" s="187">
        <v>175.87</v>
      </c>
      <c r="J30" s="187">
        <v>196.17</v>
      </c>
      <c r="K30" s="187">
        <v>23.34600000000005</v>
      </c>
      <c r="L30" s="187">
        <v>15.56400000000003</v>
      </c>
      <c r="M30" s="436">
        <v>0.90200000000000002</v>
      </c>
      <c r="N30" s="188">
        <f t="shared" si="8"/>
        <v>0</v>
      </c>
      <c r="O30" s="188">
        <f t="shared" si="9"/>
        <v>8.3164400000000001</v>
      </c>
      <c r="P30" s="188">
        <f t="shared" si="10"/>
        <v>26.933720000000001</v>
      </c>
      <c r="Q30" s="188">
        <f t="shared" si="11"/>
        <v>78.068100000000001</v>
      </c>
      <c r="R30" s="188">
        <f t="shared" si="12"/>
        <v>158.63474000000002</v>
      </c>
      <c r="S30" s="188">
        <f t="shared" si="13"/>
        <v>176.94533999999999</v>
      </c>
      <c r="T30" s="188">
        <f t="shared" si="14"/>
        <v>21.058092000000045</v>
      </c>
      <c r="U30" s="188">
        <f t="shared" si="15"/>
        <v>14.038728000000027</v>
      </c>
      <c r="W30" s="688">
        <f>SUM(E30:L30)</f>
        <v>536.58000000000004</v>
      </c>
      <c r="X30" s="688">
        <f>SUM(N30:U30)</f>
        <v>483.99516000000011</v>
      </c>
      <c r="Y30" s="437">
        <f>M30</f>
        <v>0.90200000000000002</v>
      </c>
      <c r="Z30" s="689">
        <f>W30*Y30</f>
        <v>483.99516000000006</v>
      </c>
    </row>
    <row r="31" spans="1:26" ht="105" customHeight="1" x14ac:dyDescent="0.25">
      <c r="A31" s="321"/>
      <c r="B31" s="639">
        <v>3231201</v>
      </c>
      <c r="C31" s="324" t="s">
        <v>45</v>
      </c>
      <c r="D31" s="188">
        <v>3139.8</v>
      </c>
      <c r="E31" s="187">
        <v>0</v>
      </c>
      <c r="F31" s="187">
        <v>0</v>
      </c>
      <c r="G31" s="187">
        <v>199.49</v>
      </c>
      <c r="H31" s="187">
        <v>524.89</v>
      </c>
      <c r="I31" s="187">
        <v>622.25</v>
      </c>
      <c r="J31" s="187">
        <v>677.14</v>
      </c>
      <c r="K31" s="187">
        <v>703.09890000000019</v>
      </c>
      <c r="L31" s="187">
        <v>412.93110000000007</v>
      </c>
      <c r="M31" s="436">
        <v>0.90200000000000002</v>
      </c>
      <c r="N31" s="188">
        <f t="shared" si="8"/>
        <v>0</v>
      </c>
      <c r="O31" s="188">
        <f t="shared" si="9"/>
        <v>0</v>
      </c>
      <c r="P31" s="188">
        <f t="shared" si="10"/>
        <v>179.93998000000002</v>
      </c>
      <c r="Q31" s="188">
        <f t="shared" si="11"/>
        <v>473.45078000000001</v>
      </c>
      <c r="R31" s="188">
        <f t="shared" si="12"/>
        <v>561.26949999999999</v>
      </c>
      <c r="S31" s="188">
        <f t="shared" si="13"/>
        <v>610.78027999999995</v>
      </c>
      <c r="T31" s="188">
        <f t="shared" si="14"/>
        <v>634.19520780000016</v>
      </c>
      <c r="U31" s="188">
        <f t="shared" si="15"/>
        <v>372.46385220000008</v>
      </c>
      <c r="W31" s="688">
        <f>SUM(E31:L31)</f>
        <v>3139.8000000000006</v>
      </c>
      <c r="X31" s="688">
        <f>SUM(N31:U31)</f>
        <v>2832.0996</v>
      </c>
      <c r="Y31" s="437">
        <f>M31</f>
        <v>0.90200000000000002</v>
      </c>
      <c r="Z31" s="689">
        <f>W31*Y31</f>
        <v>2832.0996000000005</v>
      </c>
    </row>
    <row r="32" spans="1:26" ht="120" customHeight="1" x14ac:dyDescent="0.25">
      <c r="A32" s="330"/>
      <c r="B32" s="640">
        <v>3231201</v>
      </c>
      <c r="C32" s="331" t="s">
        <v>46</v>
      </c>
      <c r="D32" s="188">
        <v>1321.68</v>
      </c>
      <c r="E32" s="187">
        <v>0</v>
      </c>
      <c r="F32" s="187">
        <v>0</v>
      </c>
      <c r="G32" s="187">
        <v>119.7</v>
      </c>
      <c r="H32" s="187">
        <v>224.29</v>
      </c>
      <c r="I32" s="187">
        <v>234.21</v>
      </c>
      <c r="J32" s="187">
        <v>246.66</v>
      </c>
      <c r="K32" s="187">
        <v>273.25099999999998</v>
      </c>
      <c r="L32" s="187">
        <v>223.56899999999999</v>
      </c>
      <c r="M32" s="436">
        <v>0.90200000000000002</v>
      </c>
      <c r="N32" s="188">
        <f t="shared" si="8"/>
        <v>0</v>
      </c>
      <c r="O32" s="188">
        <f t="shared" si="9"/>
        <v>0</v>
      </c>
      <c r="P32" s="188">
        <f t="shared" si="10"/>
        <v>107.96940000000001</v>
      </c>
      <c r="Q32" s="188">
        <f t="shared" si="11"/>
        <v>202.30958000000001</v>
      </c>
      <c r="R32" s="188">
        <f t="shared" si="12"/>
        <v>211.25742000000002</v>
      </c>
      <c r="S32" s="188">
        <f t="shared" si="13"/>
        <v>222.48732000000001</v>
      </c>
      <c r="T32" s="188">
        <f t="shared" si="14"/>
        <v>246.47240199999999</v>
      </c>
      <c r="U32" s="188">
        <f t="shared" si="15"/>
        <v>201.65923799999999</v>
      </c>
      <c r="W32" s="688">
        <f>SUM(E32:L32)</f>
        <v>1321.6799999999998</v>
      </c>
      <c r="X32" s="688">
        <f>SUM(N32:U32)</f>
        <v>1192.1553600000002</v>
      </c>
      <c r="Y32" s="437">
        <f>M32</f>
        <v>0.90200000000000002</v>
      </c>
      <c r="Z32" s="689">
        <f>W32*Y32</f>
        <v>1192.15536</v>
      </c>
    </row>
    <row r="33" spans="1:26" ht="19.5" customHeight="1" x14ac:dyDescent="0.25">
      <c r="A33" s="321"/>
      <c r="B33" s="639">
        <v>3211109</v>
      </c>
      <c r="C33" s="324" t="s">
        <v>47</v>
      </c>
      <c r="D33" s="188">
        <v>22</v>
      </c>
      <c r="E33" s="187">
        <v>0.25</v>
      </c>
      <c r="F33" s="187">
        <v>2.11</v>
      </c>
      <c r="G33" s="187">
        <v>2.35</v>
      </c>
      <c r="H33" s="187">
        <v>2</v>
      </c>
      <c r="I33" s="187">
        <v>4.25</v>
      </c>
      <c r="J33" s="187">
        <v>3.5</v>
      </c>
      <c r="K33" s="187">
        <v>4.6747999999999994</v>
      </c>
      <c r="L33" s="187">
        <v>2.8652000000000002</v>
      </c>
      <c r="M33" s="436">
        <v>0.90200000000000002</v>
      </c>
      <c r="N33" s="188">
        <f t="shared" si="8"/>
        <v>0.22550000000000001</v>
      </c>
      <c r="O33" s="188">
        <f t="shared" si="9"/>
        <v>1.9032199999999999</v>
      </c>
      <c r="P33" s="188">
        <f t="shared" si="10"/>
        <v>2.1196999999999999</v>
      </c>
      <c r="Q33" s="188">
        <f t="shared" si="11"/>
        <v>1.804</v>
      </c>
      <c r="R33" s="188">
        <f t="shared" si="12"/>
        <v>3.8334999999999999</v>
      </c>
      <c r="S33" s="188">
        <f t="shared" si="13"/>
        <v>3.157</v>
      </c>
      <c r="T33" s="188">
        <f t="shared" si="14"/>
        <v>4.2166695999999995</v>
      </c>
      <c r="U33" s="188">
        <f t="shared" si="15"/>
        <v>2.5844104000000003</v>
      </c>
      <c r="W33" s="688"/>
      <c r="X33" s="688"/>
      <c r="Y33" s="437"/>
    </row>
    <row r="34" spans="1:26" ht="15.75" customHeight="1" x14ac:dyDescent="0.25">
      <c r="A34" s="321"/>
      <c r="B34" s="639">
        <v>3256103</v>
      </c>
      <c r="C34" s="324" t="s">
        <v>48</v>
      </c>
      <c r="D34" s="188">
        <v>15</v>
      </c>
      <c r="E34" s="187">
        <v>0</v>
      </c>
      <c r="F34" s="187">
        <v>0.99</v>
      </c>
      <c r="G34" s="187">
        <v>0.75</v>
      </c>
      <c r="H34" s="187">
        <v>1</v>
      </c>
      <c r="I34" s="187">
        <v>1</v>
      </c>
      <c r="J34" s="187">
        <v>3</v>
      </c>
      <c r="K34" s="187">
        <v>4.7907999999999999</v>
      </c>
      <c r="L34" s="187">
        <v>3.4691999999999998</v>
      </c>
      <c r="M34" s="436">
        <v>0.81200000000000006</v>
      </c>
      <c r="N34" s="188">
        <f t="shared" si="8"/>
        <v>0</v>
      </c>
      <c r="O34" s="188">
        <f t="shared" si="9"/>
        <v>0.80388000000000004</v>
      </c>
      <c r="P34" s="188">
        <f t="shared" si="10"/>
        <v>0.60899999999999999</v>
      </c>
      <c r="Q34" s="188">
        <f t="shared" si="11"/>
        <v>0.81200000000000006</v>
      </c>
      <c r="R34" s="188">
        <f t="shared" si="12"/>
        <v>0.81200000000000006</v>
      </c>
      <c r="S34" s="188">
        <f t="shared" si="13"/>
        <v>2.4359999999999999</v>
      </c>
      <c r="T34" s="188">
        <f t="shared" si="14"/>
        <v>3.8901296000000003</v>
      </c>
      <c r="U34" s="188">
        <f t="shared" si="15"/>
        <v>2.8169903999999999</v>
      </c>
      <c r="W34" s="688">
        <f>SUM(E34:L34)</f>
        <v>15</v>
      </c>
      <c r="X34" s="688">
        <f>SUM(N34:U34)</f>
        <v>12.18</v>
      </c>
      <c r="Y34" s="437">
        <f>M34</f>
        <v>0.81200000000000006</v>
      </c>
      <c r="Z34" s="689">
        <f>W34*Y34</f>
        <v>12.180000000000001</v>
      </c>
    </row>
    <row r="35" spans="1:26" ht="27.75" customHeight="1" x14ac:dyDescent="0.25">
      <c r="A35" s="321"/>
      <c r="B35" s="641">
        <v>3257101</v>
      </c>
      <c r="C35" s="324" t="s">
        <v>49</v>
      </c>
      <c r="D35" s="188">
        <v>7901.4</v>
      </c>
      <c r="E35" s="187">
        <v>849.67499999999995</v>
      </c>
      <c r="F35" s="187">
        <v>1819.425</v>
      </c>
      <c r="G35" s="187">
        <v>1123.1500000000001</v>
      </c>
      <c r="H35" s="187">
        <v>689.33</v>
      </c>
      <c r="I35" s="187">
        <v>686.43</v>
      </c>
      <c r="J35" s="187">
        <v>500</v>
      </c>
      <c r="K35" s="187">
        <v>1362.3679</v>
      </c>
      <c r="L35" s="187">
        <v>871.0220999999998</v>
      </c>
      <c r="M35" s="436">
        <v>0.90200000000000002</v>
      </c>
      <c r="N35" s="188">
        <f t="shared" si="8"/>
        <v>766.40684999999996</v>
      </c>
      <c r="O35" s="188">
        <f t="shared" si="9"/>
        <v>1641.1213499999999</v>
      </c>
      <c r="P35" s="188">
        <f t="shared" si="10"/>
        <v>1013.0813000000001</v>
      </c>
      <c r="Q35" s="188">
        <f t="shared" si="11"/>
        <v>621.77566000000002</v>
      </c>
      <c r="R35" s="188">
        <f t="shared" si="12"/>
        <v>619.15985999999998</v>
      </c>
      <c r="S35" s="188">
        <f t="shared" si="13"/>
        <v>451</v>
      </c>
      <c r="T35" s="188">
        <f t="shared" si="14"/>
        <v>1228.8558458</v>
      </c>
      <c r="U35" s="188">
        <f t="shared" si="15"/>
        <v>785.66193419999979</v>
      </c>
      <c r="W35" s="688">
        <f>SUM(E35:L35)</f>
        <v>7901.4000000000005</v>
      </c>
      <c r="X35" s="688">
        <f>SUM(N35:U35)</f>
        <v>7127.0627999999988</v>
      </c>
      <c r="Y35" s="437">
        <f>M35</f>
        <v>0.90200000000000002</v>
      </c>
      <c r="Z35" s="689">
        <f>W35*Y35</f>
        <v>7127.0628000000006</v>
      </c>
    </row>
    <row r="36" spans="1:26" ht="45.75" customHeight="1" x14ac:dyDescent="0.25">
      <c r="A36" s="321"/>
      <c r="B36" s="642">
        <v>3111332</v>
      </c>
      <c r="C36" s="324" t="s">
        <v>53</v>
      </c>
      <c r="D36" s="188">
        <v>30</v>
      </c>
      <c r="E36" s="187">
        <v>0.4</v>
      </c>
      <c r="F36" s="187">
        <v>1.33</v>
      </c>
      <c r="G36" s="187">
        <v>1.5</v>
      </c>
      <c r="H36" s="187">
        <v>4.5</v>
      </c>
      <c r="I36" s="187">
        <v>5</v>
      </c>
      <c r="J36" s="187">
        <v>5</v>
      </c>
      <c r="K36" s="187">
        <v>7.1165999999999991</v>
      </c>
      <c r="L36" s="187">
        <v>5.1534000000000004</v>
      </c>
      <c r="M36" s="436">
        <v>0.90200000000000002</v>
      </c>
      <c r="N36" s="188">
        <f t="shared" si="8"/>
        <v>0.36080000000000001</v>
      </c>
      <c r="O36" s="188">
        <f t="shared" si="9"/>
        <v>1.1996600000000002</v>
      </c>
      <c r="P36" s="188">
        <f t="shared" si="10"/>
        <v>1.353</v>
      </c>
      <c r="Q36" s="188">
        <f t="shared" si="11"/>
        <v>4.0590000000000002</v>
      </c>
      <c r="R36" s="188">
        <f t="shared" si="12"/>
        <v>4.51</v>
      </c>
      <c r="S36" s="188">
        <f t="shared" si="13"/>
        <v>4.51</v>
      </c>
      <c r="T36" s="188">
        <f t="shared" si="14"/>
        <v>6.4191731999999995</v>
      </c>
      <c r="U36" s="188">
        <f t="shared" si="15"/>
        <v>4.6483668000000007</v>
      </c>
      <c r="W36" s="688">
        <f>SUM(E36:L36)</f>
        <v>30</v>
      </c>
      <c r="X36" s="688">
        <f>SUM(N36:U36)</f>
        <v>27.06</v>
      </c>
      <c r="Y36" s="437">
        <f>M36</f>
        <v>0.90200000000000002</v>
      </c>
      <c r="Z36" s="689">
        <f>W36*Y36</f>
        <v>27.060000000000002</v>
      </c>
    </row>
    <row r="37" spans="1:26" ht="21" customHeight="1" x14ac:dyDescent="0.25">
      <c r="A37" s="321"/>
      <c r="B37" s="641">
        <v>3111332</v>
      </c>
      <c r="C37" s="324" t="s">
        <v>54</v>
      </c>
      <c r="D37" s="188">
        <v>10</v>
      </c>
      <c r="E37" s="187">
        <v>0</v>
      </c>
      <c r="F37" s="187">
        <v>0</v>
      </c>
      <c r="G37" s="187">
        <v>0.27</v>
      </c>
      <c r="H37" s="187">
        <v>0.25</v>
      </c>
      <c r="I37" s="187">
        <v>0.77</v>
      </c>
      <c r="J37" s="187">
        <v>1</v>
      </c>
      <c r="K37" s="187">
        <v>7.71</v>
      </c>
      <c r="L37" s="187">
        <v>0</v>
      </c>
      <c r="M37" s="436">
        <v>0.90200000000000002</v>
      </c>
      <c r="N37" s="188">
        <f t="shared" si="8"/>
        <v>0</v>
      </c>
      <c r="O37" s="188">
        <f t="shared" si="9"/>
        <v>0</v>
      </c>
      <c r="P37" s="188">
        <f t="shared" si="10"/>
        <v>0.24354000000000003</v>
      </c>
      <c r="Q37" s="188">
        <f t="shared" si="11"/>
        <v>0.22550000000000001</v>
      </c>
      <c r="R37" s="188">
        <f t="shared" si="12"/>
        <v>0.69454000000000005</v>
      </c>
      <c r="S37" s="188">
        <f t="shared" si="13"/>
        <v>0.90200000000000002</v>
      </c>
      <c r="T37" s="188">
        <f t="shared" si="14"/>
        <v>6.9544199999999998</v>
      </c>
      <c r="U37" s="188">
        <f t="shared" si="15"/>
        <v>0</v>
      </c>
      <c r="W37" s="688"/>
      <c r="X37" s="688"/>
      <c r="Y37" s="437"/>
    </row>
    <row r="38" spans="1:26" ht="19.5" customHeight="1" x14ac:dyDescent="0.25">
      <c r="A38" s="321"/>
      <c r="B38" s="641">
        <v>3111332</v>
      </c>
      <c r="C38" s="324" t="s">
        <v>55</v>
      </c>
      <c r="D38" s="188">
        <v>10</v>
      </c>
      <c r="E38" s="187">
        <v>0</v>
      </c>
      <c r="F38" s="187">
        <v>0</v>
      </c>
      <c r="G38" s="187">
        <v>0.3</v>
      </c>
      <c r="H38" s="187">
        <v>0.25</v>
      </c>
      <c r="I38" s="187">
        <v>0.75</v>
      </c>
      <c r="J38" s="187">
        <v>1</v>
      </c>
      <c r="K38" s="187">
        <v>4.774</v>
      </c>
      <c r="L38" s="187">
        <v>2.9260000000000002</v>
      </c>
      <c r="M38" s="436">
        <v>0.90200000000000002</v>
      </c>
      <c r="N38" s="188">
        <f t="shared" si="8"/>
        <v>0</v>
      </c>
      <c r="O38" s="188">
        <f t="shared" si="9"/>
        <v>0</v>
      </c>
      <c r="P38" s="188">
        <f t="shared" si="10"/>
        <v>0.27060000000000001</v>
      </c>
      <c r="Q38" s="188">
        <f t="shared" si="11"/>
        <v>0.22550000000000001</v>
      </c>
      <c r="R38" s="188">
        <f t="shared" si="12"/>
        <v>0.67649999999999999</v>
      </c>
      <c r="S38" s="188">
        <f t="shared" si="13"/>
        <v>0.90200000000000002</v>
      </c>
      <c r="T38" s="188">
        <f t="shared" si="14"/>
        <v>4.3061480000000003</v>
      </c>
      <c r="U38" s="188">
        <f t="shared" si="15"/>
        <v>2.6392520000000004</v>
      </c>
      <c r="W38" s="688"/>
      <c r="X38" s="688"/>
      <c r="Y38" s="437"/>
    </row>
    <row r="39" spans="1:26" ht="19.5" customHeight="1" x14ac:dyDescent="0.25">
      <c r="A39" s="321"/>
      <c r="B39" s="642">
        <v>3257104</v>
      </c>
      <c r="C39" s="324" t="s">
        <v>56</v>
      </c>
      <c r="D39" s="188">
        <v>162</v>
      </c>
      <c r="E39" s="187">
        <v>0</v>
      </c>
      <c r="F39" s="187">
        <v>7.62</v>
      </c>
      <c r="G39" s="187">
        <v>17.47</v>
      </c>
      <c r="H39" s="187">
        <v>30</v>
      </c>
      <c r="I39" s="187">
        <v>29.93</v>
      </c>
      <c r="J39" s="187">
        <v>50</v>
      </c>
      <c r="K39" s="187">
        <v>15.37859999999999</v>
      </c>
      <c r="L39" s="187">
        <v>11.601399999999989</v>
      </c>
      <c r="M39" s="436">
        <v>0.90200000000000002</v>
      </c>
      <c r="N39" s="188">
        <f t="shared" si="8"/>
        <v>0</v>
      </c>
      <c r="O39" s="188">
        <f t="shared" si="9"/>
        <v>6.87324</v>
      </c>
      <c r="P39" s="188">
        <f t="shared" si="10"/>
        <v>15.75794</v>
      </c>
      <c r="Q39" s="188">
        <f t="shared" si="11"/>
        <v>27.060000000000002</v>
      </c>
      <c r="R39" s="188">
        <f t="shared" si="12"/>
        <v>26.996860000000002</v>
      </c>
      <c r="S39" s="188">
        <f t="shared" si="13"/>
        <v>45.1</v>
      </c>
      <c r="T39" s="188">
        <f t="shared" si="14"/>
        <v>13.871497199999991</v>
      </c>
      <c r="U39" s="188">
        <f t="shared" si="15"/>
        <v>10.464462799999991</v>
      </c>
      <c r="W39" s="688"/>
      <c r="X39" s="688"/>
      <c r="Y39" s="437"/>
    </row>
    <row r="40" spans="1:26" ht="17.25" customHeight="1" x14ac:dyDescent="0.25">
      <c r="A40" s="321"/>
      <c r="B40" s="642">
        <v>3255101</v>
      </c>
      <c r="C40" s="324" t="s">
        <v>57</v>
      </c>
      <c r="D40" s="188">
        <v>60</v>
      </c>
      <c r="E40" s="187">
        <v>0.49099999999999999</v>
      </c>
      <c r="F40" s="187">
        <v>1.4990000000000001</v>
      </c>
      <c r="G40" s="187">
        <v>4.5</v>
      </c>
      <c r="H40" s="187">
        <v>6.48</v>
      </c>
      <c r="I40" s="187">
        <v>7.5</v>
      </c>
      <c r="J40" s="187">
        <v>10</v>
      </c>
      <c r="K40" s="187">
        <v>16.241499999999998</v>
      </c>
      <c r="L40" s="187">
        <v>13.288500000000001</v>
      </c>
      <c r="M40" s="436">
        <v>0.90200000000000002</v>
      </c>
      <c r="N40" s="188">
        <f t="shared" si="8"/>
        <v>0.442882</v>
      </c>
      <c r="O40" s="188">
        <f t="shared" si="9"/>
        <v>1.3520980000000002</v>
      </c>
      <c r="P40" s="188">
        <f t="shared" si="10"/>
        <v>4.0590000000000002</v>
      </c>
      <c r="Q40" s="188">
        <f t="shared" si="11"/>
        <v>5.8449600000000004</v>
      </c>
      <c r="R40" s="188">
        <f t="shared" si="12"/>
        <v>6.7650000000000006</v>
      </c>
      <c r="S40" s="188">
        <f t="shared" si="13"/>
        <v>9.02</v>
      </c>
      <c r="T40" s="188">
        <f t="shared" si="14"/>
        <v>14.649832999999999</v>
      </c>
      <c r="U40" s="188">
        <f t="shared" si="15"/>
        <v>11.986227000000001</v>
      </c>
      <c r="W40" s="688">
        <f>SUM(E40:L40)</f>
        <v>60</v>
      </c>
      <c r="X40" s="688">
        <f>SUM(N40:U40)</f>
        <v>54.12</v>
      </c>
      <c r="Y40" s="437">
        <f>M40</f>
        <v>0.90200000000000002</v>
      </c>
      <c r="Z40" s="689">
        <f>W40*Y40</f>
        <v>54.120000000000005</v>
      </c>
    </row>
    <row r="41" spans="1:26" ht="27" customHeight="1" x14ac:dyDescent="0.25">
      <c r="A41" s="321"/>
      <c r="B41" s="643">
        <v>3256101</v>
      </c>
      <c r="C41" s="324" t="s">
        <v>58</v>
      </c>
      <c r="D41" s="188">
        <v>1700</v>
      </c>
      <c r="E41" s="187">
        <v>0</v>
      </c>
      <c r="F41" s="187">
        <v>84.32</v>
      </c>
      <c r="G41" s="187">
        <v>227.97</v>
      </c>
      <c r="H41" s="187">
        <v>263.24</v>
      </c>
      <c r="I41" s="187">
        <v>299.93</v>
      </c>
      <c r="J41" s="187">
        <v>300</v>
      </c>
      <c r="K41" s="187">
        <v>298.98779999999988</v>
      </c>
      <c r="L41" s="187">
        <v>225.5522</v>
      </c>
      <c r="M41" s="436">
        <v>0.86</v>
      </c>
      <c r="N41" s="188">
        <f t="shared" si="8"/>
        <v>0</v>
      </c>
      <c r="O41" s="188">
        <f t="shared" si="9"/>
        <v>72.515199999999993</v>
      </c>
      <c r="P41" s="188">
        <f t="shared" si="10"/>
        <v>196.05420000000001</v>
      </c>
      <c r="Q41" s="188">
        <f t="shared" si="11"/>
        <v>226.38640000000001</v>
      </c>
      <c r="R41" s="188">
        <f t="shared" si="12"/>
        <v>257.93979999999999</v>
      </c>
      <c r="S41" s="188">
        <f t="shared" si="13"/>
        <v>258</v>
      </c>
      <c r="T41" s="188">
        <f t="shared" si="14"/>
        <v>257.12950799999987</v>
      </c>
      <c r="U41" s="188">
        <f t="shared" si="15"/>
        <v>193.97489199999998</v>
      </c>
      <c r="W41" s="688"/>
      <c r="X41" s="688">
        <f>SUM(N41:U41)</f>
        <v>1461.9999999999998</v>
      </c>
      <c r="Y41" s="437">
        <f>M41</f>
        <v>0.86</v>
      </c>
    </row>
    <row r="42" spans="1:26" ht="17.25" customHeight="1" x14ac:dyDescent="0.25">
      <c r="A42" s="321"/>
      <c r="B42" s="322"/>
      <c r="C42" s="333" t="s">
        <v>145</v>
      </c>
      <c r="D42" s="188"/>
      <c r="E42" s="187"/>
      <c r="F42" s="187"/>
      <c r="G42" s="187"/>
      <c r="H42" s="187"/>
      <c r="I42" s="187"/>
      <c r="J42" s="187"/>
      <c r="K42" s="187"/>
      <c r="L42" s="187"/>
      <c r="M42" s="436"/>
      <c r="N42" s="436"/>
      <c r="O42" s="436"/>
      <c r="P42" s="436"/>
      <c r="Q42" s="436"/>
      <c r="R42" s="188"/>
      <c r="S42" s="188"/>
      <c r="T42" s="188"/>
      <c r="U42" s="188"/>
      <c r="W42" s="688"/>
      <c r="X42" s="688"/>
      <c r="Y42" s="437"/>
    </row>
    <row r="43" spans="1:26" ht="17.25" customHeight="1" x14ac:dyDescent="0.25">
      <c r="A43" s="321"/>
      <c r="B43" s="323">
        <v>3258101</v>
      </c>
      <c r="C43" s="333" t="s">
        <v>60</v>
      </c>
      <c r="D43" s="188">
        <v>125</v>
      </c>
      <c r="E43" s="187">
        <v>0.98299999999999998</v>
      </c>
      <c r="F43" s="187">
        <v>5.9669999999999996</v>
      </c>
      <c r="G43" s="187">
        <v>12</v>
      </c>
      <c r="H43" s="187">
        <v>21.99</v>
      </c>
      <c r="I43" s="187">
        <v>20.46</v>
      </c>
      <c r="J43" s="187">
        <v>15</v>
      </c>
      <c r="K43" s="187">
        <v>26.73</v>
      </c>
      <c r="L43" s="187">
        <v>21.87</v>
      </c>
      <c r="M43" s="436">
        <v>0.86</v>
      </c>
      <c r="N43" s="188">
        <f t="shared" ref="N43:N49" si="16">M43*E43</f>
        <v>0.84538000000000002</v>
      </c>
      <c r="O43" s="188">
        <f t="shared" ref="O43:O49" si="17">M43*F43</f>
        <v>5.1316199999999998</v>
      </c>
      <c r="P43" s="188">
        <f t="shared" ref="P43:P49" si="18">M43*G43</f>
        <v>10.32</v>
      </c>
      <c r="Q43" s="188">
        <f t="shared" ref="Q43:Q49" si="19">M43*H43</f>
        <v>18.911399999999997</v>
      </c>
      <c r="R43" s="188">
        <f t="shared" ref="R43:R49" si="20">M43*I43</f>
        <v>17.595600000000001</v>
      </c>
      <c r="S43" s="188">
        <f t="shared" ref="S43:S49" si="21">M43*J43</f>
        <v>12.9</v>
      </c>
      <c r="T43" s="188">
        <f t="shared" ref="T43:T49" si="22">M43*K43</f>
        <v>22.9878</v>
      </c>
      <c r="U43" s="188">
        <f t="shared" ref="U43:U49" si="23">M43*L43</f>
        <v>18.808199999999999</v>
      </c>
      <c r="W43" s="688"/>
      <c r="X43" s="688"/>
      <c r="Y43" s="437"/>
    </row>
    <row r="44" spans="1:26" ht="17.25" customHeight="1" x14ac:dyDescent="0.25">
      <c r="A44" s="321"/>
      <c r="B44" s="323">
        <v>3258102</v>
      </c>
      <c r="C44" s="333" t="s">
        <v>62</v>
      </c>
      <c r="D44" s="188">
        <v>10</v>
      </c>
      <c r="E44" s="187">
        <v>0</v>
      </c>
      <c r="F44" s="187">
        <v>0.49</v>
      </c>
      <c r="G44" s="187">
        <v>0.74</v>
      </c>
      <c r="H44" s="187">
        <v>0.98</v>
      </c>
      <c r="I44" s="187">
        <v>0.99</v>
      </c>
      <c r="J44" s="187">
        <v>2</v>
      </c>
      <c r="K44" s="187">
        <v>2.88</v>
      </c>
      <c r="L44" s="187">
        <v>1.92</v>
      </c>
      <c r="M44" s="436">
        <v>0.86</v>
      </c>
      <c r="N44" s="188">
        <f t="shared" si="16"/>
        <v>0</v>
      </c>
      <c r="O44" s="188">
        <f t="shared" si="17"/>
        <v>0.4214</v>
      </c>
      <c r="P44" s="188">
        <f t="shared" si="18"/>
        <v>0.63639999999999997</v>
      </c>
      <c r="Q44" s="188">
        <f t="shared" si="19"/>
        <v>0.84279999999999999</v>
      </c>
      <c r="R44" s="188">
        <f t="shared" si="20"/>
        <v>0.85139999999999993</v>
      </c>
      <c r="S44" s="188">
        <f t="shared" si="21"/>
        <v>1.72</v>
      </c>
      <c r="T44" s="188">
        <f t="shared" si="22"/>
        <v>2.4767999999999999</v>
      </c>
      <c r="U44" s="188">
        <f t="shared" si="23"/>
        <v>1.6512</v>
      </c>
      <c r="W44" s="688"/>
      <c r="X44" s="688"/>
      <c r="Y44" s="437"/>
    </row>
    <row r="45" spans="1:26" ht="17.25" customHeight="1" x14ac:dyDescent="0.25">
      <c r="A45" s="321"/>
      <c r="B45" s="323">
        <v>3258103</v>
      </c>
      <c r="C45" s="333" t="s">
        <v>63</v>
      </c>
      <c r="D45" s="188">
        <v>15</v>
      </c>
      <c r="E45" s="187">
        <v>0</v>
      </c>
      <c r="F45" s="187">
        <v>0.5</v>
      </c>
      <c r="G45" s="187">
        <v>0.85</v>
      </c>
      <c r="H45" s="187">
        <v>2</v>
      </c>
      <c r="I45" s="187">
        <v>1.99</v>
      </c>
      <c r="J45" s="187">
        <v>3</v>
      </c>
      <c r="K45" s="187">
        <v>3.9293999999999998</v>
      </c>
      <c r="L45" s="187">
        <v>2.7305999999999999</v>
      </c>
      <c r="M45" s="436">
        <v>0.86</v>
      </c>
      <c r="N45" s="188">
        <f t="shared" si="16"/>
        <v>0</v>
      </c>
      <c r="O45" s="188">
        <f t="shared" si="17"/>
        <v>0.43</v>
      </c>
      <c r="P45" s="188">
        <f t="shared" si="18"/>
        <v>0.73099999999999998</v>
      </c>
      <c r="Q45" s="188">
        <f t="shared" si="19"/>
        <v>1.72</v>
      </c>
      <c r="R45" s="188">
        <f t="shared" si="20"/>
        <v>1.7114</v>
      </c>
      <c r="S45" s="188">
        <f t="shared" si="21"/>
        <v>2.58</v>
      </c>
      <c r="T45" s="188">
        <f t="shared" si="22"/>
        <v>3.3792839999999997</v>
      </c>
      <c r="U45" s="188">
        <f t="shared" si="23"/>
        <v>2.3483160000000001</v>
      </c>
      <c r="W45" s="688"/>
      <c r="X45" s="688"/>
      <c r="Y45" s="437"/>
    </row>
    <row r="46" spans="1:26" ht="16.5" customHeight="1" x14ac:dyDescent="0.25">
      <c r="A46" s="321"/>
      <c r="B46" s="323">
        <v>3258105</v>
      </c>
      <c r="C46" s="333" t="s">
        <v>64</v>
      </c>
      <c r="D46" s="188">
        <v>10</v>
      </c>
      <c r="E46" s="187">
        <v>0</v>
      </c>
      <c r="F46" s="187">
        <v>0.21</v>
      </c>
      <c r="G46" s="187">
        <v>0.01</v>
      </c>
      <c r="H46" s="187">
        <v>0.5</v>
      </c>
      <c r="I46" s="187">
        <v>0.5</v>
      </c>
      <c r="J46" s="187">
        <v>2</v>
      </c>
      <c r="K46" s="187">
        <v>4.1357999999999997</v>
      </c>
      <c r="L46" s="187">
        <v>2.6442000000000001</v>
      </c>
      <c r="M46" s="436">
        <v>0.86</v>
      </c>
      <c r="N46" s="188">
        <f t="shared" si="16"/>
        <v>0</v>
      </c>
      <c r="O46" s="188">
        <f t="shared" si="17"/>
        <v>0.18059999999999998</v>
      </c>
      <c r="P46" s="188">
        <f t="shared" si="18"/>
        <v>8.6E-3</v>
      </c>
      <c r="Q46" s="188">
        <f t="shared" si="19"/>
        <v>0.43</v>
      </c>
      <c r="R46" s="188">
        <f t="shared" si="20"/>
        <v>0.43</v>
      </c>
      <c r="S46" s="188">
        <f t="shared" si="21"/>
        <v>1.72</v>
      </c>
      <c r="T46" s="188">
        <f t="shared" si="22"/>
        <v>3.5567879999999996</v>
      </c>
      <c r="U46" s="188">
        <f t="shared" si="23"/>
        <v>2.2740119999999999</v>
      </c>
      <c r="W46" s="688">
        <f>SUM(E46:L46)</f>
        <v>10</v>
      </c>
      <c r="X46" s="688">
        <f>SUM(N46:U46)</f>
        <v>8.5999999999999979</v>
      </c>
      <c r="Y46" s="437">
        <f>M46</f>
        <v>0.86</v>
      </c>
      <c r="Z46" s="689">
        <f>W46*Y46</f>
        <v>8.6</v>
      </c>
    </row>
    <row r="47" spans="1:26" ht="21.75" customHeight="1" x14ac:dyDescent="0.25">
      <c r="A47" s="321"/>
      <c r="B47" s="334">
        <v>3258107</v>
      </c>
      <c r="C47" s="58" t="s">
        <v>65</v>
      </c>
      <c r="D47" s="188">
        <v>25</v>
      </c>
      <c r="E47" s="187">
        <v>0</v>
      </c>
      <c r="F47" s="187">
        <v>0</v>
      </c>
      <c r="G47" s="187">
        <v>0</v>
      </c>
      <c r="H47" s="187">
        <v>9.98</v>
      </c>
      <c r="I47" s="187">
        <v>10</v>
      </c>
      <c r="J47" s="187">
        <v>0</v>
      </c>
      <c r="K47" s="187">
        <v>2.9618000000000002</v>
      </c>
      <c r="L47" s="187">
        <v>2.0581999999999998</v>
      </c>
      <c r="M47" s="436">
        <v>0.76500000000000001</v>
      </c>
      <c r="N47" s="188">
        <f t="shared" si="16"/>
        <v>0</v>
      </c>
      <c r="O47" s="188">
        <f t="shared" si="17"/>
        <v>0</v>
      </c>
      <c r="P47" s="188">
        <f t="shared" si="18"/>
        <v>0</v>
      </c>
      <c r="Q47" s="188">
        <f t="shared" si="19"/>
        <v>7.6347000000000005</v>
      </c>
      <c r="R47" s="188">
        <f t="shared" si="20"/>
        <v>7.65</v>
      </c>
      <c r="S47" s="188">
        <f t="shared" si="21"/>
        <v>0</v>
      </c>
      <c r="T47" s="188">
        <f t="shared" si="22"/>
        <v>2.2657770000000004</v>
      </c>
      <c r="U47" s="188">
        <f t="shared" si="23"/>
        <v>1.5745229999999999</v>
      </c>
      <c r="W47" s="688">
        <f>SUM(E47:L47)</f>
        <v>25</v>
      </c>
      <c r="X47" s="688">
        <f>SUM(N47:U47)</f>
        <v>19.125</v>
      </c>
      <c r="Y47" s="437">
        <f>M47</f>
        <v>0.76500000000000001</v>
      </c>
      <c r="Z47" s="689">
        <f>W47*Y47</f>
        <v>19.125</v>
      </c>
    </row>
    <row r="48" spans="1:26" ht="27.75" customHeight="1" x14ac:dyDescent="0.25">
      <c r="A48" s="321"/>
      <c r="B48" s="334">
        <v>3258106</v>
      </c>
      <c r="C48" s="58" t="s">
        <v>66</v>
      </c>
      <c r="D48" s="188">
        <v>40</v>
      </c>
      <c r="E48" s="187">
        <v>0</v>
      </c>
      <c r="F48" s="187">
        <v>0</v>
      </c>
      <c r="G48" s="187">
        <v>0</v>
      </c>
      <c r="H48" s="187">
        <v>8.9499999999999993</v>
      </c>
      <c r="I48" s="187">
        <v>5.58</v>
      </c>
      <c r="J48" s="187">
        <v>5</v>
      </c>
      <c r="K48" s="187">
        <v>11.8726</v>
      </c>
      <c r="L48" s="187">
        <v>8.5973999999999986</v>
      </c>
      <c r="M48" s="436">
        <v>0.76500000000000001</v>
      </c>
      <c r="N48" s="188">
        <f t="shared" si="16"/>
        <v>0</v>
      </c>
      <c r="O48" s="188">
        <f t="shared" si="17"/>
        <v>0</v>
      </c>
      <c r="P48" s="188">
        <f t="shared" si="18"/>
        <v>0</v>
      </c>
      <c r="Q48" s="188">
        <f t="shared" si="19"/>
        <v>6.8467499999999992</v>
      </c>
      <c r="R48" s="188">
        <f t="shared" si="20"/>
        <v>4.2686999999999999</v>
      </c>
      <c r="S48" s="188">
        <f t="shared" si="21"/>
        <v>3.8250000000000002</v>
      </c>
      <c r="T48" s="188">
        <f t="shared" si="22"/>
        <v>9.0825390000000006</v>
      </c>
      <c r="U48" s="188">
        <f t="shared" si="23"/>
        <v>6.5770109999999988</v>
      </c>
      <c r="W48" s="688">
        <f>SUM(E48:L48)</f>
        <v>40</v>
      </c>
      <c r="X48" s="688">
        <f>SUM(N48:U48)</f>
        <v>30.599999999999998</v>
      </c>
      <c r="Y48" s="437">
        <f>M48</f>
        <v>0.76500000000000001</v>
      </c>
      <c r="Z48" s="689">
        <f>W48*Y48</f>
        <v>30.6</v>
      </c>
    </row>
    <row r="49" spans="1:26" ht="16.5" customHeight="1" x14ac:dyDescent="0.25">
      <c r="A49" s="321"/>
      <c r="B49" s="323">
        <v>3258105</v>
      </c>
      <c r="C49" s="333" t="s">
        <v>67</v>
      </c>
      <c r="D49" s="188">
        <v>20</v>
      </c>
      <c r="E49" s="187">
        <v>0</v>
      </c>
      <c r="F49" s="187">
        <v>0.09</v>
      </c>
      <c r="G49" s="187">
        <v>0.3</v>
      </c>
      <c r="H49" s="187">
        <v>0.5</v>
      </c>
      <c r="I49" s="187">
        <v>0.5</v>
      </c>
      <c r="J49" s="187">
        <v>2</v>
      </c>
      <c r="K49" s="187">
        <v>9.1355000000000004</v>
      </c>
      <c r="L49" s="187">
        <v>7.4744999999999999</v>
      </c>
      <c r="M49" s="436">
        <v>0.86</v>
      </c>
      <c r="N49" s="188">
        <f t="shared" si="16"/>
        <v>0</v>
      </c>
      <c r="O49" s="188">
        <f t="shared" si="17"/>
        <v>7.7399999999999997E-2</v>
      </c>
      <c r="P49" s="188">
        <f t="shared" si="18"/>
        <v>0.25800000000000001</v>
      </c>
      <c r="Q49" s="188">
        <f t="shared" si="19"/>
        <v>0.43</v>
      </c>
      <c r="R49" s="188">
        <f t="shared" si="20"/>
        <v>0.43</v>
      </c>
      <c r="S49" s="188">
        <f t="shared" si="21"/>
        <v>1.72</v>
      </c>
      <c r="T49" s="188">
        <f t="shared" si="22"/>
        <v>7.8565300000000002</v>
      </c>
      <c r="U49" s="188">
        <f t="shared" si="23"/>
        <v>6.42807</v>
      </c>
      <c r="W49" s="688"/>
      <c r="X49" s="688"/>
      <c r="Y49" s="437"/>
    </row>
    <row r="50" spans="1:26" ht="16.5" customHeight="1" x14ac:dyDescent="0.25">
      <c r="A50" s="321"/>
      <c r="B50" s="644"/>
      <c r="C50" s="333" t="s">
        <v>103</v>
      </c>
      <c r="D50" s="188"/>
      <c r="E50" s="187"/>
      <c r="F50" s="187"/>
      <c r="G50" s="187"/>
      <c r="H50" s="187"/>
      <c r="I50" s="187"/>
      <c r="J50" s="187"/>
      <c r="K50" s="187"/>
      <c r="L50" s="187"/>
      <c r="M50" s="436"/>
      <c r="N50" s="188"/>
      <c r="O50" s="188"/>
      <c r="P50" s="188"/>
      <c r="Q50" s="188"/>
      <c r="R50" s="188"/>
      <c r="S50" s="188"/>
      <c r="T50" s="188"/>
      <c r="U50" s="188"/>
      <c r="W50" s="688"/>
      <c r="X50" s="688"/>
      <c r="Y50" s="437"/>
    </row>
    <row r="51" spans="1:26" ht="33.75" customHeight="1" x14ac:dyDescent="0.25">
      <c r="A51" s="321"/>
      <c r="B51" s="667">
        <v>3258114</v>
      </c>
      <c r="C51" s="335" t="s">
        <v>68</v>
      </c>
      <c r="D51" s="188">
        <v>294.33999999999997</v>
      </c>
      <c r="E51" s="187">
        <v>0</v>
      </c>
      <c r="F51" s="187">
        <v>0</v>
      </c>
      <c r="G51" s="187">
        <v>59.7</v>
      </c>
      <c r="H51" s="187">
        <v>24.34</v>
      </c>
      <c r="I51" s="187">
        <v>10.99</v>
      </c>
      <c r="J51" s="187">
        <v>58.25</v>
      </c>
      <c r="K51" s="187">
        <v>88.867799999999988</v>
      </c>
      <c r="L51" s="187">
        <v>52.192199999999993</v>
      </c>
      <c r="M51" s="436">
        <v>0.81200000000000006</v>
      </c>
      <c r="N51" s="188">
        <f>M51*E51</f>
        <v>0</v>
      </c>
      <c r="O51" s="188">
        <f>M51*F51</f>
        <v>0</v>
      </c>
      <c r="P51" s="188">
        <f>M51*G51</f>
        <v>48.476400000000005</v>
      </c>
      <c r="Q51" s="188">
        <f>M51*H51</f>
        <v>19.76408</v>
      </c>
      <c r="R51" s="188">
        <f>M51*I51</f>
        <v>8.9238800000000005</v>
      </c>
      <c r="S51" s="188">
        <f>M51*J51</f>
        <v>47.299000000000007</v>
      </c>
      <c r="T51" s="188">
        <f>M51*K51</f>
        <v>72.160653599999989</v>
      </c>
      <c r="U51" s="188">
        <f>M51*L51</f>
        <v>42.380066399999997</v>
      </c>
      <c r="W51" s="688">
        <f>SUM(E51:L51)</f>
        <v>294.33999999999997</v>
      </c>
      <c r="X51" s="688">
        <f>SUM(N51:U51)</f>
        <v>239.00408000000002</v>
      </c>
      <c r="Y51" s="437">
        <f>M51</f>
        <v>0.81200000000000006</v>
      </c>
      <c r="Z51" s="689">
        <f>W51*Y51</f>
        <v>239.00407999999999</v>
      </c>
    </row>
    <row r="52" spans="1:26" ht="17.25" customHeight="1" x14ac:dyDescent="0.25">
      <c r="A52" s="321"/>
      <c r="B52" s="336">
        <v>3258128</v>
      </c>
      <c r="C52" s="94" t="s">
        <v>69</v>
      </c>
      <c r="D52" s="188">
        <v>5</v>
      </c>
      <c r="E52" s="187">
        <v>0</v>
      </c>
      <c r="F52" s="187">
        <v>0.9</v>
      </c>
      <c r="G52" s="187">
        <v>0</v>
      </c>
      <c r="H52" s="187">
        <v>0.75</v>
      </c>
      <c r="I52" s="187">
        <v>0.74</v>
      </c>
      <c r="J52" s="187">
        <v>0.75</v>
      </c>
      <c r="K52" s="187">
        <v>1.1346000000000001</v>
      </c>
      <c r="L52" s="187">
        <v>0.72540000000000016</v>
      </c>
      <c r="M52" s="436">
        <v>0.81200000000000006</v>
      </c>
      <c r="N52" s="188">
        <f>M52*E52</f>
        <v>0</v>
      </c>
      <c r="O52" s="188">
        <f>M52*F52</f>
        <v>0.73080000000000012</v>
      </c>
      <c r="P52" s="188">
        <f>M52*G52</f>
        <v>0</v>
      </c>
      <c r="Q52" s="188">
        <f>M52*H52</f>
        <v>0.60899999999999999</v>
      </c>
      <c r="R52" s="188">
        <f>M52*I52</f>
        <v>0.60088000000000008</v>
      </c>
      <c r="S52" s="188">
        <f>M52*J52</f>
        <v>0.60899999999999999</v>
      </c>
      <c r="T52" s="188">
        <f>M52*K52</f>
        <v>0.92129520000000009</v>
      </c>
      <c r="U52" s="188">
        <f>M52*L52</f>
        <v>0.58902480000000013</v>
      </c>
      <c r="W52" s="688">
        <f>SUM(E52:L52)</f>
        <v>5</v>
      </c>
      <c r="X52" s="688">
        <f>SUM(N52:U52)</f>
        <v>4.0600000000000005</v>
      </c>
      <c r="Y52" s="437">
        <f>M52</f>
        <v>0.81200000000000006</v>
      </c>
      <c r="Z52" s="689">
        <f>W52*Y52</f>
        <v>4.0600000000000005</v>
      </c>
    </row>
    <row r="53" spans="1:26" ht="17.25" customHeight="1" x14ac:dyDescent="0.25">
      <c r="A53" s="321"/>
      <c r="B53" s="336">
        <v>3258107</v>
      </c>
      <c r="C53" s="73" t="s">
        <v>70</v>
      </c>
      <c r="D53" s="188">
        <v>40</v>
      </c>
      <c r="E53" s="187">
        <v>0</v>
      </c>
      <c r="F53" s="187">
        <v>0</v>
      </c>
      <c r="G53" s="187">
        <v>0</v>
      </c>
      <c r="H53" s="187">
        <v>2.5</v>
      </c>
      <c r="I53" s="187">
        <v>4.9800000000000004</v>
      </c>
      <c r="J53" s="187">
        <v>3</v>
      </c>
      <c r="K53" s="187">
        <v>16.531199999999998</v>
      </c>
      <c r="L53" s="187">
        <v>12.988799999999999</v>
      </c>
      <c r="M53" s="436">
        <v>0.90200000000000002</v>
      </c>
      <c r="N53" s="188">
        <f>M53*E53</f>
        <v>0</v>
      </c>
      <c r="O53" s="188">
        <f>M53*F53</f>
        <v>0</v>
      </c>
      <c r="P53" s="188">
        <f>M53*G53</f>
        <v>0</v>
      </c>
      <c r="Q53" s="188">
        <f>M53*H53</f>
        <v>2.2549999999999999</v>
      </c>
      <c r="R53" s="188">
        <f>M53*I53</f>
        <v>4.4919600000000006</v>
      </c>
      <c r="S53" s="188">
        <f>M53*J53</f>
        <v>2.706</v>
      </c>
      <c r="T53" s="188">
        <f>M53*K53</f>
        <v>14.911142399999999</v>
      </c>
      <c r="U53" s="188">
        <f>M53*L53</f>
        <v>11.7158976</v>
      </c>
      <c r="W53" s="688">
        <f>SUM(E53:L53)</f>
        <v>40</v>
      </c>
      <c r="X53" s="688">
        <f>SUM(N53:U53)</f>
        <v>36.08</v>
      </c>
      <c r="Y53" s="437">
        <f>M53</f>
        <v>0.90200000000000002</v>
      </c>
      <c r="Z53" s="689">
        <f>W53*Y53</f>
        <v>36.08</v>
      </c>
    </row>
    <row r="54" spans="1:26" ht="16.5" customHeight="1" x14ac:dyDescent="0.25">
      <c r="A54" s="330"/>
      <c r="B54" s="781" t="s">
        <v>192</v>
      </c>
      <c r="C54" s="703"/>
      <c r="D54" s="337">
        <f t="shared" ref="D54:L54" si="24">SUM(D8:D53)</f>
        <v>19382.61</v>
      </c>
      <c r="E54" s="337">
        <f t="shared" si="24"/>
        <v>1081.0899999999999</v>
      </c>
      <c r="F54" s="337">
        <f t="shared" si="24"/>
        <v>2463.7400000000002</v>
      </c>
      <c r="G54" s="337">
        <f t="shared" si="24"/>
        <v>2227.87</v>
      </c>
      <c r="H54" s="337">
        <f t="shared" si="24"/>
        <v>2364.8599999999997</v>
      </c>
      <c r="I54" s="337">
        <f t="shared" si="24"/>
        <v>2487.2899999999986</v>
      </c>
      <c r="J54" s="337">
        <f t="shared" si="24"/>
        <v>2560</v>
      </c>
      <c r="K54" s="337">
        <f t="shared" si="24"/>
        <v>3818.2051999999999</v>
      </c>
      <c r="L54" s="337">
        <f t="shared" si="24"/>
        <v>2379.5547999999994</v>
      </c>
      <c r="M54" s="337"/>
      <c r="N54" s="337">
        <f t="shared" ref="N54:U54" si="25">SUM(N8:N53)</f>
        <v>954.50468400000011</v>
      </c>
      <c r="O54" s="337">
        <f t="shared" si="25"/>
        <v>2171.1836159999998</v>
      </c>
      <c r="P54" s="337">
        <f t="shared" si="25"/>
        <v>1955.12886</v>
      </c>
      <c r="Q54" s="337">
        <f t="shared" si="25"/>
        <v>2076.90769</v>
      </c>
      <c r="R54" s="337">
        <f t="shared" si="25"/>
        <v>2194.3754799999997</v>
      </c>
      <c r="S54" s="337">
        <f t="shared" si="25"/>
        <v>2247.2777999999989</v>
      </c>
      <c r="T54" s="337">
        <f t="shared" si="25"/>
        <v>3359.0567391999994</v>
      </c>
      <c r="U54" s="337">
        <f t="shared" si="25"/>
        <v>2086.5294508000002</v>
      </c>
      <c r="W54" s="688">
        <f>SUM(E54:L54)</f>
        <v>19382.609999999997</v>
      </c>
      <c r="X54" s="688">
        <f>SUM(N54:U54)</f>
        <v>17044.964319999995</v>
      </c>
      <c r="Y54" s="437">
        <f>M54</f>
        <v>0</v>
      </c>
      <c r="Z54" s="688">
        <f>SUM(Z8:Z53)</f>
        <v>12066.142000000002</v>
      </c>
    </row>
    <row r="55" spans="1:26" ht="16.5" customHeight="1" x14ac:dyDescent="0.25">
      <c r="A55" s="338"/>
      <c r="B55" s="781" t="s">
        <v>73</v>
      </c>
      <c r="C55" s="703"/>
      <c r="D55" s="188"/>
      <c r="E55" s="187"/>
      <c r="F55" s="187"/>
      <c r="G55" s="187"/>
      <c r="H55" s="187"/>
      <c r="I55" s="187"/>
      <c r="J55" s="187"/>
      <c r="K55" s="187"/>
      <c r="L55" s="187"/>
      <c r="M55" s="436"/>
      <c r="N55" s="436"/>
      <c r="O55" s="436"/>
      <c r="P55" s="436"/>
      <c r="Q55" s="436"/>
      <c r="R55" s="188"/>
      <c r="S55" s="188"/>
      <c r="T55" s="188"/>
      <c r="U55" s="188"/>
      <c r="W55" s="688"/>
      <c r="X55" s="688"/>
      <c r="Y55" s="437"/>
    </row>
    <row r="56" spans="1:26" ht="15.75" customHeight="1" x14ac:dyDescent="0.25">
      <c r="A56" s="321"/>
      <c r="B56" s="322"/>
      <c r="C56" s="333" t="s">
        <v>74</v>
      </c>
      <c r="D56" s="188"/>
      <c r="E56" s="187"/>
      <c r="F56" s="187"/>
      <c r="G56" s="187"/>
      <c r="H56" s="187"/>
      <c r="I56" s="187"/>
      <c r="J56" s="187"/>
      <c r="K56" s="187"/>
      <c r="L56" s="187"/>
      <c r="M56" s="436"/>
      <c r="N56" s="188"/>
      <c r="O56" s="188"/>
      <c r="P56" s="188"/>
      <c r="Q56" s="188"/>
      <c r="R56" s="188"/>
      <c r="S56" s="188"/>
      <c r="T56" s="188"/>
      <c r="U56" s="188"/>
      <c r="W56" s="688"/>
      <c r="X56" s="688"/>
      <c r="Y56" s="437"/>
    </row>
    <row r="57" spans="1:26" ht="14.25" customHeight="1" x14ac:dyDescent="0.25">
      <c r="A57" s="321"/>
      <c r="B57" s="327"/>
      <c r="C57" s="686" t="s">
        <v>75</v>
      </c>
      <c r="D57" s="188"/>
      <c r="E57" s="187"/>
      <c r="F57" s="187"/>
      <c r="G57" s="187"/>
      <c r="H57" s="187"/>
      <c r="I57" s="187"/>
      <c r="J57" s="187"/>
      <c r="K57" s="187"/>
      <c r="L57" s="187"/>
      <c r="M57" s="436"/>
      <c r="N57" s="188"/>
      <c r="O57" s="188"/>
      <c r="P57" s="188"/>
      <c r="Q57" s="188"/>
      <c r="R57" s="188"/>
      <c r="S57" s="188"/>
      <c r="T57" s="188"/>
      <c r="U57" s="188"/>
      <c r="W57" s="688">
        <f>SUM(E57:L57)</f>
        <v>0</v>
      </c>
      <c r="X57" s="688">
        <f>SUM(N57:U57)</f>
        <v>0</v>
      </c>
      <c r="Y57" s="437">
        <f>M57</f>
        <v>0</v>
      </c>
      <c r="Z57" s="689">
        <f>W57*Y57</f>
        <v>0</v>
      </c>
    </row>
    <row r="58" spans="1:26" ht="116.25" customHeight="1" x14ac:dyDescent="0.25">
      <c r="A58" s="321"/>
      <c r="B58" s="328">
        <v>4112101</v>
      </c>
      <c r="C58" s="339" t="s">
        <v>76</v>
      </c>
      <c r="D58" s="188">
        <v>702.5</v>
      </c>
      <c r="E58" s="187">
        <v>346.3</v>
      </c>
      <c r="F58" s="187">
        <v>138.6</v>
      </c>
      <c r="G58" s="187">
        <v>0</v>
      </c>
      <c r="H58" s="187">
        <v>122</v>
      </c>
      <c r="I58" s="187">
        <v>0</v>
      </c>
      <c r="J58" s="187">
        <v>95.6</v>
      </c>
      <c r="K58" s="187">
        <v>0</v>
      </c>
      <c r="L58" s="187">
        <v>0</v>
      </c>
      <c r="M58" s="436">
        <v>0.68</v>
      </c>
      <c r="N58" s="188">
        <f>M58*E58</f>
        <v>235.48400000000004</v>
      </c>
      <c r="O58" s="188">
        <f>M58*F58</f>
        <v>94.248000000000005</v>
      </c>
      <c r="P58" s="188">
        <f>M58*G58</f>
        <v>0</v>
      </c>
      <c r="Q58" s="188">
        <f>M58*H58</f>
        <v>82.960000000000008</v>
      </c>
      <c r="R58" s="188">
        <f>M58*I58</f>
        <v>0</v>
      </c>
      <c r="S58" s="188">
        <f>M58*J58</f>
        <v>65.007999999999996</v>
      </c>
      <c r="T58" s="188">
        <f>M58*K58</f>
        <v>0</v>
      </c>
      <c r="U58" s="188">
        <f>M58*L58</f>
        <v>0</v>
      </c>
      <c r="V58" s="318"/>
      <c r="W58" s="688">
        <f>SUM(E58:L58)</f>
        <v>702.5</v>
      </c>
      <c r="X58" s="688">
        <f>SUM(N58:U58)</f>
        <v>477.7</v>
      </c>
      <c r="Y58" s="437">
        <f>M58</f>
        <v>0.68</v>
      </c>
      <c r="Z58" s="689">
        <f>W58*Y58</f>
        <v>477.70000000000005</v>
      </c>
    </row>
    <row r="59" spans="1:26" ht="52.5" customHeight="1" x14ac:dyDescent="0.25">
      <c r="A59" s="321"/>
      <c r="B59" s="329">
        <v>4112101</v>
      </c>
      <c r="C59" s="335" t="s">
        <v>78</v>
      </c>
      <c r="D59" s="188">
        <v>68.25</v>
      </c>
      <c r="E59" s="187">
        <v>5.8250000000000002</v>
      </c>
      <c r="F59" s="187">
        <v>26.315000000000001</v>
      </c>
      <c r="G59" s="187">
        <v>10.08</v>
      </c>
      <c r="H59" s="187">
        <v>8</v>
      </c>
      <c r="I59" s="187">
        <v>0</v>
      </c>
      <c r="J59" s="187">
        <v>0</v>
      </c>
      <c r="K59" s="187">
        <v>18.03</v>
      </c>
      <c r="L59" s="187">
        <v>0</v>
      </c>
      <c r="M59" s="436">
        <v>0.68</v>
      </c>
      <c r="N59" s="188">
        <f>M59*E59</f>
        <v>3.9610000000000003</v>
      </c>
      <c r="O59" s="188">
        <f>M59*F59</f>
        <v>17.894200000000001</v>
      </c>
      <c r="P59" s="188">
        <f>M59*G59</f>
        <v>6.8544000000000009</v>
      </c>
      <c r="Q59" s="188">
        <f>M59*H59</f>
        <v>5.44</v>
      </c>
      <c r="R59" s="188">
        <f>M59*I59</f>
        <v>0</v>
      </c>
      <c r="S59" s="188">
        <f>M59*J59</f>
        <v>0</v>
      </c>
      <c r="T59" s="188">
        <f>M59*K59</f>
        <v>12.260400000000002</v>
      </c>
      <c r="U59" s="188">
        <f>M59*L59</f>
        <v>0</v>
      </c>
      <c r="V59" s="318"/>
      <c r="W59" s="688">
        <f>SUM(E59:L59)</f>
        <v>68.25</v>
      </c>
      <c r="X59" s="688">
        <f>SUM(N59:U59)</f>
        <v>46.410000000000011</v>
      </c>
      <c r="Y59" s="437">
        <f>M59</f>
        <v>0.68</v>
      </c>
      <c r="Z59" s="689">
        <f>W59*Y59</f>
        <v>46.410000000000004</v>
      </c>
    </row>
    <row r="60" spans="1:26" ht="17.25" customHeight="1" x14ac:dyDescent="0.25">
      <c r="A60" s="321"/>
      <c r="B60" s="645"/>
      <c r="C60" s="333" t="s">
        <v>79</v>
      </c>
      <c r="D60" s="188"/>
      <c r="E60" s="187"/>
      <c r="F60" s="187"/>
      <c r="G60" s="187"/>
      <c r="H60" s="187"/>
      <c r="I60" s="187"/>
      <c r="J60" s="187"/>
      <c r="K60" s="187"/>
      <c r="L60" s="187"/>
      <c r="M60" s="436"/>
      <c r="N60" s="188"/>
      <c r="O60" s="188"/>
      <c r="P60" s="188"/>
      <c r="Q60" s="188"/>
      <c r="R60" s="188"/>
      <c r="S60" s="188"/>
      <c r="T60" s="188"/>
      <c r="U60" s="188"/>
      <c r="W60" s="688"/>
      <c r="X60" s="688"/>
      <c r="Y60" s="437"/>
    </row>
    <row r="61" spans="1:26" ht="27" customHeight="1" x14ac:dyDescent="0.25">
      <c r="A61" s="321"/>
      <c r="B61" s="667">
        <v>4112102</v>
      </c>
      <c r="C61" s="335" t="s">
        <v>80</v>
      </c>
      <c r="D61" s="188">
        <v>90</v>
      </c>
      <c r="E61" s="187">
        <v>0</v>
      </c>
      <c r="F61" s="187">
        <v>0</v>
      </c>
      <c r="G61" s="187">
        <v>40.29</v>
      </c>
      <c r="H61" s="187">
        <v>21</v>
      </c>
      <c r="I61" s="187">
        <v>0</v>
      </c>
      <c r="J61" s="187">
        <v>0</v>
      </c>
      <c r="K61" s="187">
        <v>28.71</v>
      </c>
      <c r="L61" s="187">
        <v>0</v>
      </c>
      <c r="M61" s="436">
        <v>0.68</v>
      </c>
      <c r="N61" s="188">
        <f>M61*E61</f>
        <v>0</v>
      </c>
      <c r="O61" s="188">
        <f>M61*F61</f>
        <v>0</v>
      </c>
      <c r="P61" s="188">
        <f>M61*G61</f>
        <v>27.397200000000002</v>
      </c>
      <c r="Q61" s="188">
        <f>M61*H61</f>
        <v>14.280000000000001</v>
      </c>
      <c r="R61" s="188">
        <f>M61*I61</f>
        <v>0</v>
      </c>
      <c r="S61" s="188">
        <f>M61*J61</f>
        <v>0</v>
      </c>
      <c r="T61" s="188">
        <f>M61*K61</f>
        <v>19.522800000000004</v>
      </c>
      <c r="U61" s="188">
        <f>M61*L61</f>
        <v>0</v>
      </c>
      <c r="V61" s="318"/>
      <c r="W61" s="688"/>
      <c r="X61" s="688"/>
      <c r="Y61" s="437"/>
    </row>
    <row r="62" spans="1:26" ht="17.25" customHeight="1" x14ac:dyDescent="0.25">
      <c r="A62" s="321"/>
      <c r="B62" s="644"/>
      <c r="C62" s="335" t="s">
        <v>153</v>
      </c>
      <c r="D62" s="188"/>
      <c r="E62" s="187"/>
      <c r="F62" s="187"/>
      <c r="G62" s="187"/>
      <c r="H62" s="187"/>
      <c r="I62" s="187"/>
      <c r="J62" s="187"/>
      <c r="K62" s="187"/>
      <c r="L62" s="187"/>
      <c r="M62" s="436"/>
      <c r="N62" s="188"/>
      <c r="O62" s="188"/>
      <c r="P62" s="188"/>
      <c r="Q62" s="188"/>
      <c r="R62" s="188"/>
      <c r="S62" s="188"/>
      <c r="T62" s="188"/>
      <c r="U62" s="188"/>
      <c r="W62" s="688"/>
      <c r="X62" s="688"/>
      <c r="Y62" s="437"/>
    </row>
    <row r="63" spans="1:26" ht="51.75" customHeight="1" x14ac:dyDescent="0.25">
      <c r="A63" s="321"/>
      <c r="B63" s="666">
        <v>4112316</v>
      </c>
      <c r="C63" s="335" t="s">
        <v>81</v>
      </c>
      <c r="D63" s="188">
        <v>8.9700000000000006</v>
      </c>
      <c r="E63" s="187">
        <v>3.726</v>
      </c>
      <c r="F63" s="187">
        <v>2.7440000000000002</v>
      </c>
      <c r="G63" s="187">
        <v>2.48</v>
      </c>
      <c r="H63" s="187">
        <v>0</v>
      </c>
      <c r="I63" s="187">
        <v>0</v>
      </c>
      <c r="J63" s="187">
        <v>0</v>
      </c>
      <c r="K63" s="187">
        <v>0</v>
      </c>
      <c r="L63" s="187">
        <v>0</v>
      </c>
      <c r="M63" s="436">
        <v>0.81200000000000006</v>
      </c>
      <c r="N63" s="188">
        <f>M63*E63</f>
        <v>3.025512</v>
      </c>
      <c r="O63" s="188">
        <f>M63*F63</f>
        <v>2.2281280000000003</v>
      </c>
      <c r="P63" s="188">
        <f>M63*G63</f>
        <v>2.01376</v>
      </c>
      <c r="Q63" s="188">
        <f>M63*H63</f>
        <v>0</v>
      </c>
      <c r="R63" s="188">
        <f>M63*I63</f>
        <v>0</v>
      </c>
      <c r="S63" s="188">
        <f>M63*J63</f>
        <v>0</v>
      </c>
      <c r="T63" s="188">
        <f>M63*K63</f>
        <v>0</v>
      </c>
      <c r="U63" s="188">
        <f>M63*L63</f>
        <v>0</v>
      </c>
      <c r="V63" s="318"/>
      <c r="W63" s="688">
        <f>SUM(E63:L63)</f>
        <v>8.9500000000000011</v>
      </c>
      <c r="X63" s="688">
        <f>SUM(N63:U63)</f>
        <v>7.2674000000000003</v>
      </c>
      <c r="Y63" s="437">
        <f>M63</f>
        <v>0.81200000000000006</v>
      </c>
      <c r="Z63" s="689">
        <f>W63*Y63</f>
        <v>7.2674000000000012</v>
      </c>
    </row>
    <row r="64" spans="1:26" ht="43.5" customHeight="1" x14ac:dyDescent="0.25">
      <c r="A64" s="321"/>
      <c r="B64" s="667">
        <v>4112316</v>
      </c>
      <c r="C64" s="335" t="s">
        <v>82</v>
      </c>
      <c r="D64" s="188">
        <v>1</v>
      </c>
      <c r="E64" s="187">
        <v>0.79600000000000004</v>
      </c>
      <c r="F64" s="187">
        <v>0</v>
      </c>
      <c r="G64" s="187">
        <v>0</v>
      </c>
      <c r="H64" s="187">
        <v>0</v>
      </c>
      <c r="I64" s="187">
        <v>-6.0000000000000001E-3</v>
      </c>
      <c r="J64" s="187">
        <v>0</v>
      </c>
      <c r="K64" s="187">
        <v>0</v>
      </c>
      <c r="L64" s="187">
        <v>0</v>
      </c>
      <c r="M64" s="436">
        <v>0.81200000000000006</v>
      </c>
      <c r="N64" s="188">
        <f>M64*E64</f>
        <v>0.64635200000000004</v>
      </c>
      <c r="O64" s="188">
        <f>M64*F64</f>
        <v>0</v>
      </c>
      <c r="P64" s="188">
        <f>M64*G64</f>
        <v>0</v>
      </c>
      <c r="Q64" s="188">
        <f>M64*H64</f>
        <v>0</v>
      </c>
      <c r="R64" s="188">
        <f>M64*I64</f>
        <v>-4.8720000000000005E-3</v>
      </c>
      <c r="S64" s="188">
        <f>M64*J64</f>
        <v>0</v>
      </c>
      <c r="T64" s="188">
        <f>M64*K64</f>
        <v>0</v>
      </c>
      <c r="U64" s="188">
        <f>M64*L64</f>
        <v>0</v>
      </c>
      <c r="V64" s="318"/>
      <c r="W64" s="688">
        <f>SUM(E64:L64)</f>
        <v>0.79</v>
      </c>
      <c r="X64" s="688">
        <f>SUM(N64:U64)</f>
        <v>0.64148000000000005</v>
      </c>
      <c r="Y64" s="437">
        <f>M64</f>
        <v>0.81200000000000006</v>
      </c>
      <c r="Z64" s="689">
        <f>W64*Y64</f>
        <v>0.64148000000000005</v>
      </c>
    </row>
    <row r="65" spans="1:26" ht="16.5" customHeight="1" x14ac:dyDescent="0.25">
      <c r="A65" s="321"/>
      <c r="B65" s="644"/>
      <c r="C65" s="335" t="s">
        <v>67</v>
      </c>
      <c r="D65" s="188"/>
      <c r="E65" s="187"/>
      <c r="F65" s="187"/>
      <c r="G65" s="187"/>
      <c r="H65" s="187"/>
      <c r="I65" s="187"/>
      <c r="J65" s="187"/>
      <c r="K65" s="187"/>
      <c r="L65" s="187"/>
      <c r="M65" s="436"/>
      <c r="N65" s="188"/>
      <c r="O65" s="188"/>
      <c r="P65" s="188"/>
      <c r="Q65" s="188"/>
      <c r="R65" s="188"/>
      <c r="S65" s="188"/>
      <c r="T65" s="188"/>
      <c r="U65" s="188"/>
      <c r="W65" s="688"/>
      <c r="X65" s="688"/>
      <c r="Y65" s="437"/>
    </row>
    <row r="66" spans="1:26" ht="55.5" customHeight="1" x14ac:dyDescent="0.25">
      <c r="A66" s="321"/>
      <c r="B66" s="666">
        <v>4112304</v>
      </c>
      <c r="C66" s="335" t="s">
        <v>83</v>
      </c>
      <c r="D66" s="188">
        <v>20.5</v>
      </c>
      <c r="E66" s="187">
        <v>0</v>
      </c>
      <c r="F66" s="187">
        <v>5.55</v>
      </c>
      <c r="G66" s="187">
        <v>11.15</v>
      </c>
      <c r="H66" s="187">
        <v>3.48</v>
      </c>
      <c r="I66" s="187">
        <v>0</v>
      </c>
      <c r="J66" s="187">
        <v>0</v>
      </c>
      <c r="K66" s="187">
        <v>0</v>
      </c>
      <c r="L66" s="187">
        <v>0</v>
      </c>
      <c r="M66" s="436">
        <v>0.68</v>
      </c>
      <c r="N66" s="188">
        <f>M66*E66</f>
        <v>0</v>
      </c>
      <c r="O66" s="188">
        <f>M66*F66</f>
        <v>3.774</v>
      </c>
      <c r="P66" s="188">
        <f>M66*G66</f>
        <v>7.5820000000000007</v>
      </c>
      <c r="Q66" s="188">
        <f>M66*H66</f>
        <v>2.3664000000000001</v>
      </c>
      <c r="R66" s="188">
        <f>M66*I66</f>
        <v>0</v>
      </c>
      <c r="S66" s="188">
        <f>M66*J66</f>
        <v>0</v>
      </c>
      <c r="T66" s="188">
        <f>M66*K66</f>
        <v>0</v>
      </c>
      <c r="U66" s="188">
        <f>M66*L66</f>
        <v>0</v>
      </c>
      <c r="V66" s="318"/>
      <c r="W66" s="688">
        <f>SUM(E66:L66)</f>
        <v>20.18</v>
      </c>
      <c r="X66" s="688">
        <f>SUM(N66:U66)</f>
        <v>13.722400000000002</v>
      </c>
      <c r="Y66" s="437">
        <f>M66</f>
        <v>0.68</v>
      </c>
      <c r="Z66" s="689">
        <f>W66*Y66</f>
        <v>13.7224</v>
      </c>
    </row>
    <row r="67" spans="1:26" ht="53.25" customHeight="1" x14ac:dyDescent="0.25">
      <c r="A67" s="321"/>
      <c r="B67" s="666">
        <v>4112304</v>
      </c>
      <c r="C67" s="335" t="s">
        <v>84</v>
      </c>
      <c r="D67" s="188">
        <v>3</v>
      </c>
      <c r="E67" s="187">
        <v>0</v>
      </c>
      <c r="F67" s="187">
        <v>0</v>
      </c>
      <c r="G67" s="187">
        <v>0</v>
      </c>
      <c r="H67" s="187">
        <v>2.13</v>
      </c>
      <c r="I67" s="187">
        <v>0</v>
      </c>
      <c r="J67" s="187">
        <v>0</v>
      </c>
      <c r="K67" s="187">
        <v>0</v>
      </c>
      <c r="L67" s="187">
        <v>0</v>
      </c>
      <c r="M67" s="436">
        <v>0.68</v>
      </c>
      <c r="N67" s="188">
        <f>M67*E67</f>
        <v>0</v>
      </c>
      <c r="O67" s="188">
        <f>M67*F67</f>
        <v>0</v>
      </c>
      <c r="P67" s="188">
        <f>M67*G67</f>
        <v>0</v>
      </c>
      <c r="Q67" s="188">
        <f>M67*H67</f>
        <v>1.4484000000000001</v>
      </c>
      <c r="R67" s="188">
        <f>M67*I67</f>
        <v>0</v>
      </c>
      <c r="S67" s="188">
        <f>M67*J67</f>
        <v>0</v>
      </c>
      <c r="T67" s="188">
        <f>M67*K67</f>
        <v>0</v>
      </c>
      <c r="U67" s="188">
        <f>M67*L67</f>
        <v>0</v>
      </c>
      <c r="V67" s="318"/>
      <c r="W67" s="688">
        <f>SUM(E67:L67)</f>
        <v>2.13</v>
      </c>
      <c r="X67" s="688">
        <f>SUM(N67:U67)</f>
        <v>1.4484000000000001</v>
      </c>
      <c r="Y67" s="437">
        <f>M67</f>
        <v>0.68</v>
      </c>
      <c r="Z67" s="689">
        <f>W67*Y67</f>
        <v>1.4484000000000001</v>
      </c>
    </row>
    <row r="68" spans="1:26" ht="30" customHeight="1" x14ac:dyDescent="0.25">
      <c r="A68" s="321"/>
      <c r="B68" s="667">
        <v>4112304</v>
      </c>
      <c r="C68" s="335" t="s">
        <v>85</v>
      </c>
      <c r="D68" s="188">
        <v>50</v>
      </c>
      <c r="E68" s="187">
        <v>0</v>
      </c>
      <c r="F68" s="187">
        <v>0</v>
      </c>
      <c r="G68" s="187">
        <v>0</v>
      </c>
      <c r="H68" s="187">
        <v>7.89</v>
      </c>
      <c r="I68" s="187">
        <v>1.6</v>
      </c>
      <c r="J68" s="187">
        <v>5</v>
      </c>
      <c r="K68" s="187">
        <v>35.51</v>
      </c>
      <c r="L68" s="187">
        <v>0</v>
      </c>
      <c r="M68" s="436">
        <v>0.68</v>
      </c>
      <c r="N68" s="188">
        <f>M68*E68</f>
        <v>0</v>
      </c>
      <c r="O68" s="188">
        <f>M68*F68</f>
        <v>0</v>
      </c>
      <c r="P68" s="188">
        <f>M68*G68</f>
        <v>0</v>
      </c>
      <c r="Q68" s="188">
        <f>M68*H68</f>
        <v>5.3651999999999997</v>
      </c>
      <c r="R68" s="188">
        <f>M68*I68</f>
        <v>1.0880000000000001</v>
      </c>
      <c r="S68" s="188">
        <f>M68*J68</f>
        <v>3.4000000000000004</v>
      </c>
      <c r="T68" s="188">
        <f>M68*K68</f>
        <v>24.146799999999999</v>
      </c>
      <c r="U68" s="188">
        <f>M68*L68</f>
        <v>0</v>
      </c>
      <c r="V68" s="318"/>
      <c r="W68" s="688">
        <f>SUM(E68:L68)</f>
        <v>50</v>
      </c>
      <c r="X68" s="688">
        <f>SUM(N68:U68)</f>
        <v>34</v>
      </c>
      <c r="Y68" s="437">
        <f>M68</f>
        <v>0.68</v>
      </c>
      <c r="Z68" s="689">
        <f>W68*Y68</f>
        <v>34</v>
      </c>
    </row>
    <row r="69" spans="1:26" ht="24.75" customHeight="1" x14ac:dyDescent="0.25">
      <c r="A69" s="321"/>
      <c r="B69" s="644"/>
      <c r="C69" s="335" t="s">
        <v>87</v>
      </c>
      <c r="D69" s="188"/>
      <c r="E69" s="187"/>
      <c r="F69" s="187"/>
      <c r="G69" s="187"/>
      <c r="H69" s="187"/>
      <c r="I69" s="187"/>
      <c r="J69" s="187"/>
      <c r="K69" s="187"/>
      <c r="L69" s="187"/>
      <c r="M69" s="436"/>
      <c r="N69" s="188"/>
      <c r="O69" s="188"/>
      <c r="P69" s="188"/>
      <c r="Q69" s="188"/>
      <c r="R69" s="188"/>
      <c r="S69" s="188"/>
      <c r="T69" s="188"/>
      <c r="U69" s="188"/>
      <c r="V69" s="318"/>
      <c r="W69" s="688"/>
      <c r="X69" s="688"/>
      <c r="Y69" s="437"/>
    </row>
    <row r="70" spans="1:26" ht="58.5" customHeight="1" x14ac:dyDescent="0.25">
      <c r="A70" s="321"/>
      <c r="B70" s="666">
        <v>4112202</v>
      </c>
      <c r="C70" s="335" t="s">
        <v>88</v>
      </c>
      <c r="D70" s="188">
        <v>24.5</v>
      </c>
      <c r="E70" s="187">
        <v>3.879</v>
      </c>
      <c r="F70" s="187">
        <v>7.141</v>
      </c>
      <c r="G70" s="187">
        <v>6.18</v>
      </c>
      <c r="H70" s="187">
        <v>2.27</v>
      </c>
      <c r="I70" s="187">
        <v>0</v>
      </c>
      <c r="J70" s="187">
        <v>0</v>
      </c>
      <c r="K70" s="187">
        <v>5.0300000000000011</v>
      </c>
      <c r="L70" s="187">
        <v>0</v>
      </c>
      <c r="M70" s="436">
        <v>0.81200000000000006</v>
      </c>
      <c r="N70" s="188">
        <f t="shared" ref="N70:N75" si="26">M70*E70</f>
        <v>3.1497480000000002</v>
      </c>
      <c r="O70" s="188">
        <f t="shared" ref="O70:O75" si="27">M70*F70</f>
        <v>5.7984920000000004</v>
      </c>
      <c r="P70" s="188">
        <f t="shared" ref="P70:P75" si="28">M70*G70</f>
        <v>5.01816</v>
      </c>
      <c r="Q70" s="188">
        <f t="shared" ref="Q70:Q75" si="29">M70*H70</f>
        <v>1.8432400000000002</v>
      </c>
      <c r="R70" s="188">
        <f t="shared" ref="R70:R75" si="30">M70*I70</f>
        <v>0</v>
      </c>
      <c r="S70" s="188">
        <f t="shared" ref="S70:S75" si="31">M70*J70</f>
        <v>0</v>
      </c>
      <c r="T70" s="188">
        <f t="shared" ref="T70:T75" si="32">M70*K70</f>
        <v>4.0843600000000011</v>
      </c>
      <c r="U70" s="188">
        <f t="shared" ref="U70:U75" si="33">M70*L70</f>
        <v>0</v>
      </c>
      <c r="V70" s="318"/>
      <c r="W70" s="688">
        <f>SUM(E70:L70)</f>
        <v>24.5</v>
      </c>
      <c r="X70" s="688">
        <f>SUM(N70:U70)</f>
        <v>19.894000000000002</v>
      </c>
      <c r="Y70" s="437">
        <f>M70</f>
        <v>0.81200000000000006</v>
      </c>
      <c r="Z70" s="689">
        <f>W70*Y70</f>
        <v>19.894000000000002</v>
      </c>
    </row>
    <row r="71" spans="1:26" ht="60.75" customHeight="1" x14ac:dyDescent="0.25">
      <c r="A71" s="321"/>
      <c r="B71" s="666">
        <v>4112202</v>
      </c>
      <c r="C71" s="335" t="s">
        <v>89</v>
      </c>
      <c r="D71" s="188">
        <v>13.75</v>
      </c>
      <c r="E71" s="187">
        <v>3.7440000000000002</v>
      </c>
      <c r="F71" s="187">
        <v>0</v>
      </c>
      <c r="G71" s="187">
        <v>2.9860000000000002</v>
      </c>
      <c r="H71" s="187">
        <v>3.15</v>
      </c>
      <c r="I71" s="187">
        <v>0</v>
      </c>
      <c r="J71" s="187">
        <v>0</v>
      </c>
      <c r="K71" s="187">
        <v>3.8699999999999992</v>
      </c>
      <c r="L71" s="187">
        <v>0</v>
      </c>
      <c r="M71" s="436">
        <v>0.81200000000000006</v>
      </c>
      <c r="N71" s="188">
        <f t="shared" si="26"/>
        <v>3.0401280000000002</v>
      </c>
      <c r="O71" s="188">
        <f t="shared" si="27"/>
        <v>0</v>
      </c>
      <c r="P71" s="188">
        <f t="shared" si="28"/>
        <v>2.4246320000000003</v>
      </c>
      <c r="Q71" s="188">
        <f t="shared" si="29"/>
        <v>2.5578000000000003</v>
      </c>
      <c r="R71" s="188">
        <f t="shared" si="30"/>
        <v>0</v>
      </c>
      <c r="S71" s="188">
        <f t="shared" si="31"/>
        <v>0</v>
      </c>
      <c r="T71" s="188">
        <f t="shared" si="32"/>
        <v>3.1424399999999997</v>
      </c>
      <c r="U71" s="188">
        <f t="shared" si="33"/>
        <v>0</v>
      </c>
      <c r="V71" s="318"/>
      <c r="W71" s="688">
        <f>SUM(E71:L71)</f>
        <v>13.75</v>
      </c>
      <c r="X71" s="688">
        <f>SUM(N71:U71)</f>
        <v>11.164999999999999</v>
      </c>
      <c r="Y71" s="437">
        <f>M71</f>
        <v>0.81200000000000006</v>
      </c>
      <c r="Z71" s="689">
        <f>W71*Y71</f>
        <v>11.165000000000001</v>
      </c>
    </row>
    <row r="72" spans="1:26" ht="24" customHeight="1" x14ac:dyDescent="0.25">
      <c r="A72" s="321"/>
      <c r="B72" s="666">
        <v>4112202</v>
      </c>
      <c r="C72" s="335" t="s">
        <v>90</v>
      </c>
      <c r="D72" s="188">
        <v>1.5</v>
      </c>
      <c r="E72" s="187">
        <v>0</v>
      </c>
      <c r="F72" s="187">
        <v>0.2</v>
      </c>
      <c r="G72" s="187">
        <v>0</v>
      </c>
      <c r="H72" s="187">
        <v>0</v>
      </c>
      <c r="I72" s="187">
        <v>0</v>
      </c>
      <c r="J72" s="187">
        <v>0</v>
      </c>
      <c r="K72" s="187">
        <v>1.3</v>
      </c>
      <c r="L72" s="187">
        <v>0</v>
      </c>
      <c r="M72" s="436">
        <v>0.81200000000000006</v>
      </c>
      <c r="N72" s="188">
        <f t="shared" si="26"/>
        <v>0</v>
      </c>
      <c r="O72" s="188">
        <f t="shared" si="27"/>
        <v>0.16240000000000002</v>
      </c>
      <c r="P72" s="188">
        <f t="shared" si="28"/>
        <v>0</v>
      </c>
      <c r="Q72" s="188">
        <f t="shared" si="29"/>
        <v>0</v>
      </c>
      <c r="R72" s="188">
        <f t="shared" si="30"/>
        <v>0</v>
      </c>
      <c r="S72" s="188">
        <f t="shared" si="31"/>
        <v>0</v>
      </c>
      <c r="T72" s="188">
        <f t="shared" si="32"/>
        <v>1.0556000000000001</v>
      </c>
      <c r="U72" s="188">
        <f t="shared" si="33"/>
        <v>0</v>
      </c>
      <c r="V72" s="318"/>
      <c r="W72" s="688">
        <f>SUM(E72:L72)</f>
        <v>1.5</v>
      </c>
      <c r="X72" s="688">
        <f>SUM(N72:U72)</f>
        <v>1.2180000000000002</v>
      </c>
      <c r="Y72" s="437">
        <f>M72</f>
        <v>0.81200000000000006</v>
      </c>
      <c r="Z72" s="689">
        <f>W72*Y72</f>
        <v>1.218</v>
      </c>
    </row>
    <row r="73" spans="1:26" ht="54" customHeight="1" x14ac:dyDescent="0.25">
      <c r="A73" s="321"/>
      <c r="B73" s="667">
        <v>4112202</v>
      </c>
      <c r="C73" s="335" t="s">
        <v>91</v>
      </c>
      <c r="D73" s="188">
        <v>5.25</v>
      </c>
      <c r="E73" s="187">
        <v>2.97</v>
      </c>
      <c r="F73" s="187">
        <v>0.2</v>
      </c>
      <c r="G73" s="187">
        <v>0</v>
      </c>
      <c r="H73" s="187">
        <v>0.91</v>
      </c>
      <c r="I73" s="187">
        <v>0</v>
      </c>
      <c r="J73" s="187">
        <v>0</v>
      </c>
      <c r="K73" s="187">
        <v>1.17</v>
      </c>
      <c r="L73" s="187">
        <v>0</v>
      </c>
      <c r="M73" s="436">
        <v>0.81200000000000006</v>
      </c>
      <c r="N73" s="188">
        <f t="shared" si="26"/>
        <v>2.4116400000000002</v>
      </c>
      <c r="O73" s="188">
        <f t="shared" si="27"/>
        <v>0.16240000000000002</v>
      </c>
      <c r="P73" s="188">
        <f t="shared" si="28"/>
        <v>0</v>
      </c>
      <c r="Q73" s="188">
        <f t="shared" si="29"/>
        <v>0.73892000000000002</v>
      </c>
      <c r="R73" s="188">
        <f t="shared" si="30"/>
        <v>0</v>
      </c>
      <c r="S73" s="188">
        <f t="shared" si="31"/>
        <v>0</v>
      </c>
      <c r="T73" s="188">
        <f t="shared" si="32"/>
        <v>0.95004</v>
      </c>
      <c r="U73" s="188">
        <f t="shared" si="33"/>
        <v>0</v>
      </c>
      <c r="V73" s="318"/>
      <c r="W73" s="688"/>
      <c r="X73" s="688"/>
      <c r="Y73" s="437"/>
    </row>
    <row r="74" spans="1:26" ht="18" customHeight="1" x14ac:dyDescent="0.25">
      <c r="A74" s="321"/>
      <c r="B74" s="332">
        <v>4112314</v>
      </c>
      <c r="C74" s="335" t="s">
        <v>62</v>
      </c>
      <c r="D74" s="188">
        <v>50</v>
      </c>
      <c r="E74" s="187">
        <v>7.96</v>
      </c>
      <c r="F74" s="187">
        <v>8.44</v>
      </c>
      <c r="G74" s="187">
        <v>8.99</v>
      </c>
      <c r="H74" s="187">
        <v>9.9600000000000009</v>
      </c>
      <c r="I74" s="187">
        <v>9.9700000000000006</v>
      </c>
      <c r="J74" s="187">
        <v>0</v>
      </c>
      <c r="K74" s="187">
        <v>2.9016000000000002</v>
      </c>
      <c r="L74" s="187">
        <v>1.7784</v>
      </c>
      <c r="M74" s="436">
        <v>0.81200000000000006</v>
      </c>
      <c r="N74" s="188">
        <f t="shared" si="26"/>
        <v>6.4635200000000008</v>
      </c>
      <c r="O74" s="188">
        <f t="shared" si="27"/>
        <v>6.8532799999999998</v>
      </c>
      <c r="P74" s="188">
        <f t="shared" si="28"/>
        <v>7.2998800000000008</v>
      </c>
      <c r="Q74" s="188">
        <f t="shared" si="29"/>
        <v>8.0875200000000014</v>
      </c>
      <c r="R74" s="188">
        <f t="shared" si="30"/>
        <v>8.0956400000000013</v>
      </c>
      <c r="S74" s="188">
        <f t="shared" si="31"/>
        <v>0</v>
      </c>
      <c r="T74" s="188">
        <f t="shared" si="32"/>
        <v>2.3560992000000005</v>
      </c>
      <c r="U74" s="188">
        <f t="shared" si="33"/>
        <v>1.4440608000000001</v>
      </c>
      <c r="V74" s="318"/>
      <c r="W74" s="688"/>
      <c r="X74" s="688"/>
      <c r="Y74" s="437"/>
    </row>
    <row r="75" spans="1:26" ht="15" customHeight="1" x14ac:dyDescent="0.25">
      <c r="A75" s="321"/>
      <c r="B75" s="323">
        <v>4112303</v>
      </c>
      <c r="C75" s="335" t="s">
        <v>93</v>
      </c>
      <c r="D75" s="188">
        <v>15</v>
      </c>
      <c r="E75" s="187">
        <v>0</v>
      </c>
      <c r="F75" s="187">
        <v>0</v>
      </c>
      <c r="G75" s="187">
        <v>3.77</v>
      </c>
      <c r="H75" s="187">
        <v>2</v>
      </c>
      <c r="I75" s="187">
        <v>3.96</v>
      </c>
      <c r="J75" s="187">
        <v>4</v>
      </c>
      <c r="K75" s="187">
        <v>0.77469999999999972</v>
      </c>
      <c r="L75" s="187">
        <v>0.49529999999999991</v>
      </c>
      <c r="M75" s="436">
        <v>0.81200000000000006</v>
      </c>
      <c r="N75" s="188">
        <f t="shared" si="26"/>
        <v>0</v>
      </c>
      <c r="O75" s="188">
        <f t="shared" si="27"/>
        <v>0</v>
      </c>
      <c r="P75" s="188">
        <f t="shared" si="28"/>
        <v>3.0612400000000002</v>
      </c>
      <c r="Q75" s="188">
        <f t="shared" si="29"/>
        <v>1.6240000000000001</v>
      </c>
      <c r="R75" s="188">
        <f t="shared" si="30"/>
        <v>3.2155200000000002</v>
      </c>
      <c r="S75" s="188">
        <f t="shared" si="31"/>
        <v>3.2480000000000002</v>
      </c>
      <c r="T75" s="188">
        <f t="shared" si="32"/>
        <v>0.62905639999999985</v>
      </c>
      <c r="U75" s="188">
        <f t="shared" si="33"/>
        <v>0.40218359999999997</v>
      </c>
      <c r="V75" s="318"/>
      <c r="W75" s="688"/>
      <c r="X75" s="688"/>
      <c r="Y75" s="437"/>
    </row>
    <row r="76" spans="1:26" ht="26.25" customHeight="1" x14ac:dyDescent="0.25">
      <c r="A76" s="321"/>
      <c r="B76" s="322"/>
      <c r="C76" s="333" t="s">
        <v>97</v>
      </c>
      <c r="D76" s="188"/>
      <c r="E76" s="187"/>
      <c r="F76" s="187"/>
      <c r="G76" s="187"/>
      <c r="H76" s="187"/>
      <c r="I76" s="187"/>
      <c r="J76" s="187"/>
      <c r="K76" s="187"/>
      <c r="L76" s="187"/>
      <c r="M76" s="436"/>
      <c r="N76" s="436"/>
      <c r="O76" s="436"/>
      <c r="P76" s="436"/>
      <c r="Q76" s="436"/>
      <c r="R76" s="188"/>
      <c r="S76" s="188"/>
      <c r="T76" s="188"/>
      <c r="U76" s="188"/>
      <c r="W76" s="688"/>
      <c r="X76" s="688"/>
      <c r="Y76" s="437"/>
    </row>
    <row r="77" spans="1:26" ht="17.25" customHeight="1" x14ac:dyDescent="0.25">
      <c r="A77" s="330"/>
      <c r="B77" s="323">
        <v>4141101</v>
      </c>
      <c r="C77" s="335" t="s">
        <v>98</v>
      </c>
      <c r="D77" s="188">
        <v>22850</v>
      </c>
      <c r="E77" s="187">
        <v>0</v>
      </c>
      <c r="F77" s="187">
        <v>0</v>
      </c>
      <c r="G77" s="187">
        <v>4649.6499999999996</v>
      </c>
      <c r="H77" s="187">
        <v>5794.05</v>
      </c>
      <c r="I77" s="187">
        <v>3879.9</v>
      </c>
      <c r="J77" s="187">
        <v>2049.42</v>
      </c>
      <c r="K77" s="187">
        <v>6476.98</v>
      </c>
      <c r="L77" s="187">
        <v>0</v>
      </c>
      <c r="M77" s="436">
        <v>0.90200000000000002</v>
      </c>
      <c r="N77" s="188">
        <f>M77*E77</f>
        <v>0</v>
      </c>
      <c r="O77" s="188">
        <f>M77*F77</f>
        <v>0</v>
      </c>
      <c r="P77" s="188">
        <f>M77*G77</f>
        <v>4193.9843000000001</v>
      </c>
      <c r="Q77" s="188">
        <f>M77*H77</f>
        <v>5226.2331000000004</v>
      </c>
      <c r="R77" s="188">
        <f>M77*I77</f>
        <v>3499.6698000000001</v>
      </c>
      <c r="S77" s="188">
        <f>M77*J77</f>
        <v>1848.5768400000002</v>
      </c>
      <c r="T77" s="188">
        <f>M77*K77</f>
        <v>5842.23596</v>
      </c>
      <c r="U77" s="188">
        <f>M77*L77</f>
        <v>0</v>
      </c>
      <c r="V77" s="318"/>
      <c r="W77" s="688">
        <f>SUM(E77:L77)</f>
        <v>22850</v>
      </c>
      <c r="X77" s="688">
        <f>SUM(N77:U77)</f>
        <v>20610.7</v>
      </c>
      <c r="Y77" s="437">
        <f>M77</f>
        <v>0.90200000000000002</v>
      </c>
      <c r="Z77" s="689">
        <f>W77*Y77</f>
        <v>20610.7</v>
      </c>
    </row>
    <row r="78" spans="1:26" ht="20.25" customHeight="1" x14ac:dyDescent="0.25">
      <c r="A78" s="338"/>
      <c r="B78" s="322"/>
      <c r="C78" s="333" t="s">
        <v>100</v>
      </c>
      <c r="D78" s="188"/>
      <c r="E78" s="187"/>
      <c r="F78" s="187"/>
      <c r="G78" s="187"/>
      <c r="H78" s="187"/>
      <c r="I78" s="187"/>
      <c r="J78" s="187"/>
      <c r="K78" s="187"/>
      <c r="L78" s="187"/>
      <c r="M78" s="436"/>
      <c r="N78" s="188"/>
      <c r="O78" s="188"/>
      <c r="P78" s="188"/>
      <c r="Q78" s="188"/>
      <c r="R78" s="188"/>
      <c r="S78" s="188"/>
      <c r="T78" s="188"/>
      <c r="U78" s="188"/>
      <c r="W78" s="688"/>
      <c r="X78" s="688"/>
      <c r="Y78" s="437"/>
    </row>
    <row r="79" spans="1:26" ht="12.75" customHeight="1" x14ac:dyDescent="0.25">
      <c r="A79" s="321"/>
      <c r="B79" s="340"/>
      <c r="C79" s="333" t="s">
        <v>162</v>
      </c>
      <c r="D79" s="188"/>
      <c r="E79" s="187"/>
      <c r="F79" s="187"/>
      <c r="G79" s="187"/>
      <c r="H79" s="187"/>
      <c r="I79" s="187"/>
      <c r="J79" s="187"/>
      <c r="K79" s="187"/>
      <c r="L79" s="187"/>
      <c r="M79" s="436"/>
      <c r="N79" s="188"/>
      <c r="O79" s="188"/>
      <c r="P79" s="188"/>
      <c r="Q79" s="188"/>
      <c r="R79" s="188"/>
      <c r="S79" s="188"/>
      <c r="T79" s="188"/>
      <c r="U79" s="188"/>
      <c r="W79" s="688">
        <f>SUM(E79:L79)</f>
        <v>0</v>
      </c>
      <c r="X79" s="688">
        <f>SUM(N79:U79)</f>
        <v>0</v>
      </c>
      <c r="Y79" s="437">
        <f>M79</f>
        <v>0</v>
      </c>
      <c r="Z79" s="689">
        <f>W79*Y79</f>
        <v>0</v>
      </c>
    </row>
    <row r="80" spans="1:26" ht="27" customHeight="1" x14ac:dyDescent="0.25">
      <c r="A80" s="321"/>
      <c r="B80" s="340">
        <v>4111306</v>
      </c>
      <c r="C80" s="335" t="s">
        <v>102</v>
      </c>
      <c r="D80" s="188">
        <v>1213.55</v>
      </c>
      <c r="E80" s="187">
        <v>0</v>
      </c>
      <c r="F80" s="187">
        <v>0</v>
      </c>
      <c r="G80" s="187">
        <v>0</v>
      </c>
      <c r="H80" s="187">
        <v>0</v>
      </c>
      <c r="I80" s="187">
        <v>116.72</v>
      </c>
      <c r="J80" s="187">
        <v>490.33</v>
      </c>
      <c r="K80" s="187">
        <v>333.57499999999999</v>
      </c>
      <c r="L80" s="187">
        <v>272.92500000000001</v>
      </c>
      <c r="M80" s="436">
        <v>0.90200000000000002</v>
      </c>
      <c r="N80" s="188">
        <f>M80*E80</f>
        <v>0</v>
      </c>
      <c r="O80" s="188">
        <f>M80*F80</f>
        <v>0</v>
      </c>
      <c r="P80" s="188">
        <f>M80*G80</f>
        <v>0</v>
      </c>
      <c r="Q80" s="188">
        <f>M80*H80</f>
        <v>0</v>
      </c>
      <c r="R80" s="188">
        <f>M80*I80</f>
        <v>105.28144</v>
      </c>
      <c r="S80" s="188">
        <f>M80*J80</f>
        <v>442.27766000000003</v>
      </c>
      <c r="T80" s="188">
        <f>M80*K80</f>
        <v>300.88465000000002</v>
      </c>
      <c r="U80" s="188">
        <f>M80*L80</f>
        <v>246.17835000000002</v>
      </c>
      <c r="V80" s="318"/>
      <c r="W80" s="688">
        <v>1310</v>
      </c>
      <c r="X80" s="688">
        <v>996.91</v>
      </c>
      <c r="Y80" s="437">
        <v>0.76100000000000001</v>
      </c>
      <c r="Z80" s="689">
        <v>996.91</v>
      </c>
    </row>
    <row r="81" spans="1:26" ht="12.75" customHeight="1" x14ac:dyDescent="0.25">
      <c r="A81" s="321"/>
      <c r="B81" s="341"/>
      <c r="C81" s="333" t="s">
        <v>103</v>
      </c>
      <c r="D81" s="188"/>
      <c r="E81" s="187"/>
      <c r="F81" s="187"/>
      <c r="G81" s="187"/>
      <c r="H81" s="187"/>
      <c r="I81" s="187"/>
      <c r="J81" s="187"/>
      <c r="K81" s="187"/>
      <c r="L81" s="187"/>
      <c r="M81" s="436"/>
      <c r="N81" s="188"/>
      <c r="O81" s="188"/>
      <c r="P81" s="188"/>
      <c r="Q81" s="188"/>
      <c r="R81" s="188"/>
      <c r="S81" s="188"/>
      <c r="T81" s="188"/>
      <c r="U81" s="188"/>
      <c r="W81" s="688">
        <f>SUM(E81:L81)</f>
        <v>0</v>
      </c>
      <c r="X81" s="688">
        <f>SUM(N81:U81)</f>
        <v>0</v>
      </c>
      <c r="Y81" s="437">
        <f>M81</f>
        <v>0</v>
      </c>
      <c r="Z81" s="689">
        <f>W81*Y81</f>
        <v>0</v>
      </c>
    </row>
    <row r="82" spans="1:26" ht="38.25" customHeight="1" x14ac:dyDescent="0.25">
      <c r="A82" s="321"/>
      <c r="B82" s="342">
        <v>4111307</v>
      </c>
      <c r="C82" s="335" t="s">
        <v>104</v>
      </c>
      <c r="D82" s="188">
        <v>1276.6199999999999</v>
      </c>
      <c r="E82" s="187">
        <v>0</v>
      </c>
      <c r="F82" s="187">
        <v>0</v>
      </c>
      <c r="G82" s="187">
        <v>0</v>
      </c>
      <c r="H82" s="187">
        <v>0</v>
      </c>
      <c r="I82" s="187">
        <v>0</v>
      </c>
      <c r="J82" s="187">
        <v>0</v>
      </c>
      <c r="K82" s="187">
        <v>778.73819999999989</v>
      </c>
      <c r="L82" s="187">
        <v>497.8818</v>
      </c>
      <c r="M82" s="436">
        <v>0.76500000000000001</v>
      </c>
      <c r="N82" s="188">
        <f>M82*E82</f>
        <v>0</v>
      </c>
      <c r="O82" s="188">
        <f>M82*F82</f>
        <v>0</v>
      </c>
      <c r="P82" s="188">
        <f>M82*G82</f>
        <v>0</v>
      </c>
      <c r="Q82" s="188">
        <f>M82*H82</f>
        <v>0</v>
      </c>
      <c r="R82" s="188">
        <f>M82*I82</f>
        <v>0</v>
      </c>
      <c r="S82" s="188">
        <f>M82*J82</f>
        <v>0</v>
      </c>
      <c r="T82" s="188">
        <f>M82*K82</f>
        <v>595.73472299999992</v>
      </c>
      <c r="U82" s="188">
        <f>M82*L82</f>
        <v>380.87957699999998</v>
      </c>
      <c r="V82" s="318"/>
      <c r="W82" s="688">
        <f>SUM(E82:L82)</f>
        <v>1276.6199999999999</v>
      </c>
      <c r="X82" s="688">
        <f>SUM(N82:U82)</f>
        <v>976.61429999999996</v>
      </c>
      <c r="Y82" s="437">
        <f>M82</f>
        <v>0.76500000000000001</v>
      </c>
      <c r="Z82" s="689">
        <f>W82*Y82</f>
        <v>976.61429999999996</v>
      </c>
    </row>
    <row r="83" spans="1:26" ht="43.5" customHeight="1" x14ac:dyDescent="0.25">
      <c r="A83" s="321"/>
      <c r="B83" s="342">
        <v>4111307</v>
      </c>
      <c r="C83" s="335" t="s">
        <v>106</v>
      </c>
      <c r="D83" s="188">
        <v>17903.939999999999</v>
      </c>
      <c r="E83" s="187">
        <v>0</v>
      </c>
      <c r="F83" s="187">
        <v>0</v>
      </c>
      <c r="G83" s="187">
        <v>293.14999999999998</v>
      </c>
      <c r="H83" s="187">
        <v>2773.9</v>
      </c>
      <c r="I83" s="187">
        <v>3076.61</v>
      </c>
      <c r="J83" s="187">
        <v>8105.58</v>
      </c>
      <c r="K83" s="187">
        <v>2229.3669999999988</v>
      </c>
      <c r="L83" s="187">
        <v>1425.3330000000001</v>
      </c>
      <c r="M83" s="436">
        <v>0.76500000000000001</v>
      </c>
      <c r="N83" s="188">
        <f>M83*E83</f>
        <v>0</v>
      </c>
      <c r="O83" s="188">
        <f>M83*F83</f>
        <v>0</v>
      </c>
      <c r="P83" s="188">
        <f>M83*G83</f>
        <v>224.25975</v>
      </c>
      <c r="Q83" s="188">
        <f>M83*H83</f>
        <v>2122.0335</v>
      </c>
      <c r="R83" s="188">
        <f>M83*I83</f>
        <v>2353.6066500000002</v>
      </c>
      <c r="S83" s="188">
        <f>M83*J83</f>
        <v>6200.7686999999996</v>
      </c>
      <c r="T83" s="188">
        <f>M83*K83</f>
        <v>1705.465754999999</v>
      </c>
      <c r="U83" s="188">
        <f>M83*L83</f>
        <v>1090.3797450000002</v>
      </c>
      <c r="V83" s="318"/>
      <c r="W83" s="688">
        <f>SUM(E83:L83)</f>
        <v>17903.939999999999</v>
      </c>
      <c r="X83" s="688">
        <f>SUM(N83:U83)</f>
        <v>13696.5141</v>
      </c>
      <c r="Y83" s="437">
        <f>M83</f>
        <v>0.76500000000000001</v>
      </c>
      <c r="Z83" s="689">
        <f>W83*Y83</f>
        <v>13696.514099999999</v>
      </c>
    </row>
    <row r="84" spans="1:26" ht="39.75" customHeight="1" x14ac:dyDescent="0.25">
      <c r="A84" s="321"/>
      <c r="B84" s="342">
        <v>4111307</v>
      </c>
      <c r="C84" s="335" t="s">
        <v>108</v>
      </c>
      <c r="D84" s="188">
        <v>10091.780000000001</v>
      </c>
      <c r="E84" s="187">
        <v>0</v>
      </c>
      <c r="F84" s="187">
        <v>0</v>
      </c>
      <c r="G84" s="187">
        <v>349.16</v>
      </c>
      <c r="H84" s="187">
        <v>840.8</v>
      </c>
      <c r="I84" s="187">
        <v>4821.5200000000004</v>
      </c>
      <c r="J84" s="187">
        <v>3936.68</v>
      </c>
      <c r="K84" s="187">
        <v>83.299600000000453</v>
      </c>
      <c r="L84" s="187">
        <v>60.320400000000333</v>
      </c>
      <c r="M84" s="436">
        <v>0.76100000000000001</v>
      </c>
      <c r="N84" s="188">
        <f>M84*E84</f>
        <v>0</v>
      </c>
      <c r="O84" s="188">
        <f>M84*F84</f>
        <v>0</v>
      </c>
      <c r="P84" s="188">
        <f>M84*G84</f>
        <v>265.71076000000005</v>
      </c>
      <c r="Q84" s="188">
        <f>M84*H84</f>
        <v>639.84879999999998</v>
      </c>
      <c r="R84" s="188">
        <f>M84*I84</f>
        <v>3669.1767200000004</v>
      </c>
      <c r="S84" s="188">
        <f>M84*J84</f>
        <v>2995.8134799999998</v>
      </c>
      <c r="T84" s="188">
        <f>M84*K84</f>
        <v>63.390995600000345</v>
      </c>
      <c r="U84" s="188">
        <f>M84*L84</f>
        <v>45.903824400000254</v>
      </c>
      <c r="V84" s="318"/>
      <c r="W84" s="688">
        <f>SUM(E84:L84)</f>
        <v>10091.780000000001</v>
      </c>
      <c r="X84" s="688">
        <f>SUM(N84:U84)</f>
        <v>7679.8445800000009</v>
      </c>
      <c r="Y84" s="437">
        <f>M84</f>
        <v>0.76100000000000001</v>
      </c>
      <c r="Z84" s="689">
        <f>W84*Y84</f>
        <v>7679.8445800000009</v>
      </c>
    </row>
    <row r="85" spans="1:26" ht="15" customHeight="1" x14ac:dyDescent="0.25">
      <c r="A85" s="321"/>
      <c r="B85" s="646"/>
      <c r="C85" s="333" t="s">
        <v>164</v>
      </c>
      <c r="D85" s="188"/>
      <c r="E85" s="187"/>
      <c r="F85" s="187"/>
      <c r="G85" s="187"/>
      <c r="H85" s="187"/>
      <c r="I85" s="187"/>
      <c r="J85" s="187"/>
      <c r="K85" s="187"/>
      <c r="L85" s="187"/>
      <c r="M85" s="436"/>
      <c r="N85" s="188"/>
      <c r="O85" s="188"/>
      <c r="P85" s="188"/>
      <c r="Q85" s="188"/>
      <c r="R85" s="188"/>
      <c r="S85" s="188"/>
      <c r="T85" s="188"/>
      <c r="U85" s="188"/>
      <c r="W85" s="688"/>
      <c r="X85" s="688"/>
      <c r="Y85" s="437"/>
    </row>
    <row r="86" spans="1:26" ht="52.5" customHeight="1" x14ac:dyDescent="0.25">
      <c r="A86" s="321"/>
      <c r="B86" s="666">
        <v>4111201</v>
      </c>
      <c r="C86" s="335" t="s">
        <v>110</v>
      </c>
      <c r="D86" s="188">
        <v>3145.78</v>
      </c>
      <c r="E86" s="187">
        <v>0</v>
      </c>
      <c r="F86" s="187">
        <v>0</v>
      </c>
      <c r="G86" s="187">
        <v>0</v>
      </c>
      <c r="H86" s="187">
        <v>0</v>
      </c>
      <c r="I86" s="187">
        <v>455.04</v>
      </c>
      <c r="J86" s="187">
        <v>900.73</v>
      </c>
      <c r="K86" s="187">
        <v>1020.3057</v>
      </c>
      <c r="L86" s="187">
        <v>769.7043000000001</v>
      </c>
      <c r="M86" s="436">
        <v>0.76100000000000001</v>
      </c>
      <c r="N86" s="188">
        <f t="shared" ref="N86:N93" si="34">M86*E86</f>
        <v>0</v>
      </c>
      <c r="O86" s="188">
        <f t="shared" ref="O86:O93" si="35">M86*F86</f>
        <v>0</v>
      </c>
      <c r="P86" s="188">
        <f t="shared" ref="P86:P93" si="36">M86*G86</f>
        <v>0</v>
      </c>
      <c r="Q86" s="188">
        <f t="shared" ref="Q86:Q93" si="37">M86*H86</f>
        <v>0</v>
      </c>
      <c r="R86" s="188">
        <f t="shared" ref="R86:R93" si="38">M86*I86</f>
        <v>346.28543999999999</v>
      </c>
      <c r="S86" s="188">
        <f t="shared" ref="S86:S93" si="39">M86*J86</f>
        <v>685.45553000000007</v>
      </c>
      <c r="T86" s="188">
        <f t="shared" ref="T86:T93" si="40">M86*K86</f>
        <v>776.45263769999997</v>
      </c>
      <c r="U86" s="188">
        <f t="shared" ref="U86:U93" si="41">M86*L86</f>
        <v>585.74497230000009</v>
      </c>
      <c r="V86" s="318"/>
      <c r="W86" s="688">
        <f>SUM(E86:L86)</f>
        <v>3145.7799999999997</v>
      </c>
      <c r="X86" s="688">
        <f>SUM(N86:U86)</f>
        <v>2393.93858</v>
      </c>
      <c r="Y86" s="437">
        <f>M86</f>
        <v>0.76100000000000001</v>
      </c>
      <c r="Z86" s="689">
        <f>W86*Y86</f>
        <v>2393.93858</v>
      </c>
    </row>
    <row r="87" spans="1:26" ht="51.75" customHeight="1" x14ac:dyDescent="0.25">
      <c r="A87" s="321"/>
      <c r="B87" s="666">
        <v>4111201</v>
      </c>
      <c r="C87" s="335" t="s">
        <v>111</v>
      </c>
      <c r="D87" s="188">
        <v>1684.96</v>
      </c>
      <c r="E87" s="187">
        <v>0</v>
      </c>
      <c r="F87" s="187">
        <v>0</v>
      </c>
      <c r="G87" s="187">
        <v>0</v>
      </c>
      <c r="H87" s="187">
        <v>0</v>
      </c>
      <c r="I87" s="187">
        <v>452.46</v>
      </c>
      <c r="J87" s="187">
        <v>913.26</v>
      </c>
      <c r="K87" s="187">
        <v>181.96680000000001</v>
      </c>
      <c r="L87" s="187">
        <v>137.2732</v>
      </c>
      <c r="M87" s="436">
        <v>0.76100000000000001</v>
      </c>
      <c r="N87" s="188">
        <f t="shared" si="34"/>
        <v>0</v>
      </c>
      <c r="O87" s="188">
        <f t="shared" si="35"/>
        <v>0</v>
      </c>
      <c r="P87" s="188">
        <f t="shared" si="36"/>
        <v>0</v>
      </c>
      <c r="Q87" s="188">
        <f t="shared" si="37"/>
        <v>0</v>
      </c>
      <c r="R87" s="188">
        <f t="shared" si="38"/>
        <v>344.32205999999996</v>
      </c>
      <c r="S87" s="188">
        <f t="shared" si="39"/>
        <v>694.99086</v>
      </c>
      <c r="T87" s="188">
        <f t="shared" si="40"/>
        <v>138.4767348</v>
      </c>
      <c r="U87" s="188">
        <f t="shared" si="41"/>
        <v>104.4649052</v>
      </c>
      <c r="V87" s="318"/>
      <c r="W87" s="688">
        <f>SUM(E87:L87)</f>
        <v>1684.96</v>
      </c>
      <c r="X87" s="688">
        <f>SUM(N87:U87)</f>
        <v>1282.2545599999999</v>
      </c>
      <c r="Y87" s="437">
        <f>M87</f>
        <v>0.76100000000000001</v>
      </c>
      <c r="Z87" s="689">
        <f>W87*Y87</f>
        <v>1282.2545600000001</v>
      </c>
    </row>
    <row r="88" spans="1:26" ht="52.5" customHeight="1" x14ac:dyDescent="0.25">
      <c r="A88" s="321"/>
      <c r="B88" s="666">
        <v>4111201</v>
      </c>
      <c r="C88" s="335" t="s">
        <v>112</v>
      </c>
      <c r="D88" s="188">
        <v>1568.07</v>
      </c>
      <c r="E88" s="187">
        <v>0</v>
      </c>
      <c r="F88" s="187">
        <v>0</v>
      </c>
      <c r="G88" s="187">
        <v>0</v>
      </c>
      <c r="H88" s="187">
        <v>0</v>
      </c>
      <c r="I88" s="187">
        <v>341.85</v>
      </c>
      <c r="J88" s="187">
        <v>657.55</v>
      </c>
      <c r="K88" s="187">
        <v>358.26209999999998</v>
      </c>
      <c r="L88" s="187">
        <v>210.40790000000001</v>
      </c>
      <c r="M88" s="436">
        <v>0.76100000000000001</v>
      </c>
      <c r="N88" s="188">
        <f t="shared" si="34"/>
        <v>0</v>
      </c>
      <c r="O88" s="188">
        <f t="shared" si="35"/>
        <v>0</v>
      </c>
      <c r="P88" s="188">
        <f t="shared" si="36"/>
        <v>0</v>
      </c>
      <c r="Q88" s="188">
        <f t="shared" si="37"/>
        <v>0</v>
      </c>
      <c r="R88" s="188">
        <f t="shared" si="38"/>
        <v>260.14785000000001</v>
      </c>
      <c r="S88" s="188">
        <f t="shared" si="39"/>
        <v>500.39554999999996</v>
      </c>
      <c r="T88" s="188">
        <f t="shared" si="40"/>
        <v>272.6374581</v>
      </c>
      <c r="U88" s="188">
        <f t="shared" si="41"/>
        <v>160.12041190000002</v>
      </c>
      <c r="V88" s="318"/>
      <c r="W88" s="688">
        <f>SUM(E88:L88)</f>
        <v>1568.07</v>
      </c>
      <c r="X88" s="688">
        <f>SUM(N88:U88)</f>
        <v>1193.3012699999999</v>
      </c>
      <c r="Y88" s="437">
        <f>M88</f>
        <v>0.76100000000000001</v>
      </c>
      <c r="Z88" s="689">
        <f>W88*Y88</f>
        <v>1193.3012699999999</v>
      </c>
    </row>
    <row r="89" spans="1:26" ht="39" customHeight="1" x14ac:dyDescent="0.25">
      <c r="A89" s="321"/>
      <c r="B89" s="666">
        <v>4111201</v>
      </c>
      <c r="C89" s="335" t="s">
        <v>113</v>
      </c>
      <c r="D89" s="188">
        <v>17676.21</v>
      </c>
      <c r="E89" s="187">
        <v>0</v>
      </c>
      <c r="F89" s="187">
        <v>0</v>
      </c>
      <c r="G89" s="187">
        <v>336.91</v>
      </c>
      <c r="H89" s="187">
        <v>3910</v>
      </c>
      <c r="I89" s="187">
        <v>1880.15</v>
      </c>
      <c r="J89" s="187">
        <v>4650.7700000000004</v>
      </c>
      <c r="K89" s="187">
        <v>4208.0117999999993</v>
      </c>
      <c r="L89" s="187">
        <v>2690.3681999999999</v>
      </c>
      <c r="M89" s="436">
        <v>0.76100000000000001</v>
      </c>
      <c r="N89" s="188">
        <f t="shared" si="34"/>
        <v>0</v>
      </c>
      <c r="O89" s="188">
        <f t="shared" si="35"/>
        <v>0</v>
      </c>
      <c r="P89" s="188">
        <f t="shared" si="36"/>
        <v>256.38851</v>
      </c>
      <c r="Q89" s="188">
        <f t="shared" si="37"/>
        <v>2975.51</v>
      </c>
      <c r="R89" s="188">
        <f t="shared" si="38"/>
        <v>1430.7941500000002</v>
      </c>
      <c r="S89" s="188">
        <f t="shared" si="39"/>
        <v>3539.2359700000002</v>
      </c>
      <c r="T89" s="188">
        <f t="shared" si="40"/>
        <v>3202.2969797999995</v>
      </c>
      <c r="U89" s="188">
        <f t="shared" si="41"/>
        <v>2047.3702002</v>
      </c>
      <c r="V89" s="318"/>
      <c r="W89" s="688">
        <f>SUM(E89:L89)</f>
        <v>17676.21</v>
      </c>
      <c r="X89" s="688">
        <f>SUM(N89:U89)</f>
        <v>13451.595809999999</v>
      </c>
      <c r="Y89" s="437">
        <f>M89</f>
        <v>0.76100000000000001</v>
      </c>
      <c r="Z89" s="689">
        <f>W89*Y89</f>
        <v>13451.595809999999</v>
      </c>
    </row>
    <row r="90" spans="1:26" ht="18" customHeight="1" x14ac:dyDescent="0.25">
      <c r="A90" s="321"/>
      <c r="B90" s="666">
        <v>4111201</v>
      </c>
      <c r="C90" s="335" t="s">
        <v>114</v>
      </c>
      <c r="D90" s="188">
        <v>154.12</v>
      </c>
      <c r="E90" s="187">
        <v>0</v>
      </c>
      <c r="F90" s="187">
        <v>0</v>
      </c>
      <c r="G90" s="187">
        <v>0</v>
      </c>
      <c r="H90" s="187">
        <v>0</v>
      </c>
      <c r="I90" s="187">
        <v>73.260000000000005</v>
      </c>
      <c r="J90" s="187">
        <v>0</v>
      </c>
      <c r="K90" s="187">
        <v>50.133200000000002</v>
      </c>
      <c r="L90" s="187">
        <v>30.726800000000001</v>
      </c>
      <c r="M90" s="436">
        <v>0.76100000000000001</v>
      </c>
      <c r="N90" s="188">
        <f t="shared" si="34"/>
        <v>0</v>
      </c>
      <c r="O90" s="188">
        <f t="shared" si="35"/>
        <v>0</v>
      </c>
      <c r="P90" s="188">
        <f t="shared" si="36"/>
        <v>0</v>
      </c>
      <c r="Q90" s="188">
        <f t="shared" si="37"/>
        <v>0</v>
      </c>
      <c r="R90" s="188">
        <f t="shared" si="38"/>
        <v>55.750860000000003</v>
      </c>
      <c r="S90" s="188">
        <f t="shared" si="39"/>
        <v>0</v>
      </c>
      <c r="T90" s="188">
        <f t="shared" si="40"/>
        <v>38.151365200000001</v>
      </c>
      <c r="U90" s="188">
        <f t="shared" si="41"/>
        <v>23.383094800000002</v>
      </c>
      <c r="V90" s="318"/>
      <c r="W90" s="688">
        <f>SUM(E90:L90)</f>
        <v>154.12</v>
      </c>
      <c r="X90" s="688">
        <f>SUM(N90:U90)</f>
        <v>117.28532000000001</v>
      </c>
      <c r="Y90" s="437">
        <f>M90</f>
        <v>0.76100000000000001</v>
      </c>
      <c r="Z90" s="689">
        <f>W90*Y90</f>
        <v>117.28532</v>
      </c>
    </row>
    <row r="91" spans="1:26" ht="18" customHeight="1" x14ac:dyDescent="0.25">
      <c r="A91" s="321"/>
      <c r="B91" s="666">
        <v>4111201</v>
      </c>
      <c r="C91" s="335" t="s">
        <v>115</v>
      </c>
      <c r="D91" s="188">
        <v>900</v>
      </c>
      <c r="E91" s="187">
        <v>0</v>
      </c>
      <c r="F91" s="187">
        <v>0</v>
      </c>
      <c r="G91" s="187">
        <v>0</v>
      </c>
      <c r="H91" s="187">
        <v>0</v>
      </c>
      <c r="I91" s="187">
        <v>0</v>
      </c>
      <c r="J91" s="187">
        <v>0</v>
      </c>
      <c r="K91" s="187">
        <v>549</v>
      </c>
      <c r="L91" s="187">
        <v>351</v>
      </c>
      <c r="M91" s="436">
        <v>2.7610000000000001</v>
      </c>
      <c r="N91" s="188">
        <f t="shared" si="34"/>
        <v>0</v>
      </c>
      <c r="O91" s="188">
        <f t="shared" si="35"/>
        <v>0</v>
      </c>
      <c r="P91" s="188">
        <f t="shared" si="36"/>
        <v>0</v>
      </c>
      <c r="Q91" s="188">
        <f t="shared" si="37"/>
        <v>0</v>
      </c>
      <c r="R91" s="188">
        <f t="shared" si="38"/>
        <v>0</v>
      </c>
      <c r="S91" s="188">
        <f t="shared" si="39"/>
        <v>0</v>
      </c>
      <c r="T91" s="188">
        <f t="shared" si="40"/>
        <v>1515.789</v>
      </c>
      <c r="U91" s="188">
        <f t="shared" si="41"/>
        <v>969.11099999999999</v>
      </c>
      <c r="V91" s="318"/>
      <c r="W91" s="688"/>
      <c r="X91" s="688"/>
      <c r="Y91" s="437"/>
    </row>
    <row r="92" spans="1:26" ht="16.5" customHeight="1" x14ac:dyDescent="0.25">
      <c r="A92" s="321"/>
      <c r="B92" s="666">
        <v>4111201</v>
      </c>
      <c r="C92" s="335" t="s">
        <v>116</v>
      </c>
      <c r="D92" s="188">
        <v>2100</v>
      </c>
      <c r="E92" s="187">
        <v>0</v>
      </c>
      <c r="F92" s="187">
        <v>0</v>
      </c>
      <c r="G92" s="187">
        <v>0</v>
      </c>
      <c r="H92" s="187">
        <v>0</v>
      </c>
      <c r="I92" s="187">
        <v>42.09</v>
      </c>
      <c r="J92" s="187">
        <v>348.14</v>
      </c>
      <c r="K92" s="187">
        <v>1008.7643</v>
      </c>
      <c r="L92" s="187">
        <v>701.00569999999993</v>
      </c>
      <c r="M92" s="436">
        <v>0.76500000000000001</v>
      </c>
      <c r="N92" s="188">
        <f t="shared" si="34"/>
        <v>0</v>
      </c>
      <c r="O92" s="188">
        <f t="shared" si="35"/>
        <v>0</v>
      </c>
      <c r="P92" s="188">
        <f t="shared" si="36"/>
        <v>0</v>
      </c>
      <c r="Q92" s="188">
        <f t="shared" si="37"/>
        <v>0</v>
      </c>
      <c r="R92" s="188">
        <f t="shared" si="38"/>
        <v>32.19885</v>
      </c>
      <c r="S92" s="188">
        <f t="shared" si="39"/>
        <v>266.32709999999997</v>
      </c>
      <c r="T92" s="188">
        <f t="shared" si="40"/>
        <v>771.70468950000009</v>
      </c>
      <c r="U92" s="188">
        <f t="shared" si="41"/>
        <v>536.26936049999995</v>
      </c>
      <c r="V92" s="318"/>
      <c r="W92" s="688">
        <f>SUM(E92:L92)</f>
        <v>2100</v>
      </c>
      <c r="X92" s="688">
        <f>SUM(N92:U92)</f>
        <v>1606.5</v>
      </c>
      <c r="Y92" s="437">
        <f>M92</f>
        <v>0.76500000000000001</v>
      </c>
      <c r="Z92" s="689">
        <f>W92*Y92</f>
        <v>1606.5</v>
      </c>
    </row>
    <row r="93" spans="1:26" ht="16.5" customHeight="1" x14ac:dyDescent="0.25">
      <c r="A93" s="321"/>
      <c r="B93" s="667">
        <v>4111201</v>
      </c>
      <c r="C93" s="335" t="s">
        <v>117</v>
      </c>
      <c r="D93" s="188">
        <v>600</v>
      </c>
      <c r="E93" s="187">
        <v>0</v>
      </c>
      <c r="F93" s="187">
        <v>0</v>
      </c>
      <c r="G93" s="187">
        <v>0</v>
      </c>
      <c r="H93" s="187">
        <v>0</v>
      </c>
      <c r="I93" s="187">
        <v>0</v>
      </c>
      <c r="J93" s="187">
        <v>0</v>
      </c>
      <c r="K93" s="187">
        <v>341.99999999999989</v>
      </c>
      <c r="L93" s="187">
        <v>258</v>
      </c>
      <c r="M93" s="436">
        <v>0.76100000000000001</v>
      </c>
      <c r="N93" s="188">
        <f t="shared" si="34"/>
        <v>0</v>
      </c>
      <c r="O93" s="188">
        <f t="shared" si="35"/>
        <v>0</v>
      </c>
      <c r="P93" s="188">
        <f t="shared" si="36"/>
        <v>0</v>
      </c>
      <c r="Q93" s="188">
        <f t="shared" si="37"/>
        <v>0</v>
      </c>
      <c r="R93" s="188">
        <f t="shared" si="38"/>
        <v>0</v>
      </c>
      <c r="S93" s="188">
        <f t="shared" si="39"/>
        <v>0</v>
      </c>
      <c r="T93" s="188">
        <f t="shared" si="40"/>
        <v>260.26199999999994</v>
      </c>
      <c r="U93" s="188">
        <f t="shared" si="41"/>
        <v>196.33799999999999</v>
      </c>
      <c r="V93" s="318"/>
      <c r="W93" s="688">
        <f>SUM(E93:L93)</f>
        <v>599.99999999999989</v>
      </c>
      <c r="X93" s="688">
        <f>SUM(N93:U93)</f>
        <v>456.59999999999991</v>
      </c>
      <c r="Y93" s="437">
        <f>M93</f>
        <v>0.76100000000000001</v>
      </c>
      <c r="Z93" s="689">
        <f>W93*Y93</f>
        <v>456.59999999999991</v>
      </c>
    </row>
    <row r="94" spans="1:26" s="343" customFormat="1" ht="24" customHeight="1" x14ac:dyDescent="0.25">
      <c r="B94" s="656"/>
      <c r="C94" s="677" t="s">
        <v>195</v>
      </c>
      <c r="D94" s="244">
        <f t="shared" ref="D94:L94" si="42">SUM(D86:D93,D82:D84,D80,D77,D70:D75,D66:D68,D63:D64,D61,D58:D59)</f>
        <v>82219.25</v>
      </c>
      <c r="E94" s="244">
        <f t="shared" si="42"/>
        <v>375.2</v>
      </c>
      <c r="F94" s="244">
        <f t="shared" si="42"/>
        <v>189.19</v>
      </c>
      <c r="G94" s="244">
        <f t="shared" si="42"/>
        <v>5714.7959999999994</v>
      </c>
      <c r="H94" s="244">
        <f t="shared" si="42"/>
        <v>13501.539999999997</v>
      </c>
      <c r="I94" s="244">
        <f t="shared" si="42"/>
        <v>15155.124</v>
      </c>
      <c r="J94" s="244">
        <f t="shared" si="42"/>
        <v>22157.059999999998</v>
      </c>
      <c r="K94" s="244">
        <f t="shared" si="42"/>
        <v>17717.699999999993</v>
      </c>
      <c r="L94" s="244">
        <f t="shared" si="42"/>
        <v>7407.22</v>
      </c>
      <c r="M94" s="244"/>
      <c r="N94" s="244">
        <f t="shared" ref="N94:U94" si="43">SUM(N86:N93,N82:N84,N80,N77,N70:N75,N66:N68,N63:N64,N61,N58:N59)</f>
        <v>258.18190000000004</v>
      </c>
      <c r="O94" s="244">
        <f t="shared" si="43"/>
        <v>131.12090000000001</v>
      </c>
      <c r="P94" s="244">
        <f t="shared" si="43"/>
        <v>5001.994592</v>
      </c>
      <c r="Q94" s="244">
        <f t="shared" si="43"/>
        <v>11090.336880000001</v>
      </c>
      <c r="R94" s="244">
        <f t="shared" si="43"/>
        <v>12109.628108000001</v>
      </c>
      <c r="S94" s="244">
        <f t="shared" si="43"/>
        <v>17245.497690000004</v>
      </c>
      <c r="T94" s="244">
        <f t="shared" si="43"/>
        <v>15551.630544299998</v>
      </c>
      <c r="U94" s="244">
        <f t="shared" si="43"/>
        <v>6387.9896857000003</v>
      </c>
    </row>
    <row r="95" spans="1:26" s="343" customFormat="1" ht="24" customHeight="1" x14ac:dyDescent="0.25">
      <c r="B95" s="656"/>
      <c r="C95" s="677" t="s">
        <v>120</v>
      </c>
      <c r="D95" s="244">
        <f t="shared" ref="D95:L95" si="44">SUM(D94,D54)</f>
        <v>101601.86</v>
      </c>
      <c r="E95" s="244">
        <f t="shared" si="44"/>
        <v>1456.29</v>
      </c>
      <c r="F95" s="244">
        <f t="shared" si="44"/>
        <v>2652.9300000000003</v>
      </c>
      <c r="G95" s="244">
        <f t="shared" si="44"/>
        <v>7942.6659999999993</v>
      </c>
      <c r="H95" s="244">
        <f t="shared" si="44"/>
        <v>15866.399999999998</v>
      </c>
      <c r="I95" s="244">
        <f t="shared" si="44"/>
        <v>17642.413999999997</v>
      </c>
      <c r="J95" s="244">
        <f t="shared" si="44"/>
        <v>24717.059999999998</v>
      </c>
      <c r="K95" s="244">
        <f t="shared" si="44"/>
        <v>21535.905199999994</v>
      </c>
      <c r="L95" s="244">
        <f t="shared" si="44"/>
        <v>9786.7747999999992</v>
      </c>
      <c r="M95" s="244"/>
      <c r="N95" s="244">
        <f t="shared" ref="N95:U95" si="45">SUM(N94,N54)</f>
        <v>1212.686584</v>
      </c>
      <c r="O95" s="244">
        <f t="shared" si="45"/>
        <v>2302.3045159999997</v>
      </c>
      <c r="P95" s="244">
        <f t="shared" si="45"/>
        <v>6957.1234519999998</v>
      </c>
      <c r="Q95" s="244">
        <f t="shared" si="45"/>
        <v>13167.244570000001</v>
      </c>
      <c r="R95" s="244">
        <f t="shared" si="45"/>
        <v>14304.003588</v>
      </c>
      <c r="S95" s="244">
        <f t="shared" si="45"/>
        <v>19492.775490000004</v>
      </c>
      <c r="T95" s="244">
        <f t="shared" si="45"/>
        <v>18910.687283499996</v>
      </c>
      <c r="U95" s="244">
        <f t="shared" si="45"/>
        <v>8474.519136500001</v>
      </c>
    </row>
    <row r="96" spans="1:26" s="343" customFormat="1" ht="24.75" customHeight="1" x14ac:dyDescent="0.25">
      <c r="B96" s="656">
        <v>0</v>
      </c>
      <c r="C96" s="677" t="s">
        <v>121</v>
      </c>
      <c r="D96" s="244">
        <v>258</v>
      </c>
      <c r="E96" s="187">
        <v>0</v>
      </c>
      <c r="F96" s="337">
        <v>0</v>
      </c>
      <c r="G96" s="337">
        <v>0</v>
      </c>
      <c r="H96" s="337">
        <v>0</v>
      </c>
      <c r="I96" s="337">
        <v>0</v>
      </c>
      <c r="J96" s="337">
        <v>0</v>
      </c>
      <c r="K96" s="337">
        <v>162.54</v>
      </c>
      <c r="L96" s="337">
        <v>95.46</v>
      </c>
      <c r="M96" s="436">
        <v>0.76500000000000001</v>
      </c>
      <c r="N96" s="188">
        <f>M96*E96</f>
        <v>0</v>
      </c>
      <c r="O96" s="188">
        <f>M96*F96</f>
        <v>0</v>
      </c>
      <c r="P96" s="188">
        <f>M96*G96</f>
        <v>0</v>
      </c>
      <c r="Q96" s="188">
        <f>M96*H96</f>
        <v>0</v>
      </c>
      <c r="R96" s="188">
        <f>M96*I96</f>
        <v>0</v>
      </c>
      <c r="S96" s="188">
        <f>M96*J96</f>
        <v>0</v>
      </c>
      <c r="T96" s="188">
        <f>M96*K96</f>
        <v>124.34309999999999</v>
      </c>
      <c r="U96" s="188">
        <f>M96*L96</f>
        <v>73.026899999999998</v>
      </c>
      <c r="V96" s="318"/>
    </row>
    <row r="97" spans="2:24" s="343" customFormat="1" ht="18.75" customHeight="1" x14ac:dyDescent="0.25">
      <c r="B97" s="656">
        <v>0</v>
      </c>
      <c r="C97" s="677" t="s">
        <v>123</v>
      </c>
      <c r="D97" s="244">
        <v>402.14</v>
      </c>
      <c r="E97" s="187">
        <v>0</v>
      </c>
      <c r="F97" s="337">
        <v>0</v>
      </c>
      <c r="G97" s="337">
        <v>0</v>
      </c>
      <c r="H97" s="337">
        <v>0</v>
      </c>
      <c r="I97" s="337">
        <v>0</v>
      </c>
      <c r="J97" s="337">
        <v>0</v>
      </c>
      <c r="K97" s="337">
        <v>221.17699999999999</v>
      </c>
      <c r="L97" s="337">
        <v>180.96299999999999</v>
      </c>
      <c r="M97" s="436">
        <v>0</v>
      </c>
      <c r="N97" s="188">
        <f>M97*E97</f>
        <v>0</v>
      </c>
      <c r="O97" s="188">
        <f>M97*F97</f>
        <v>0</v>
      </c>
      <c r="P97" s="188">
        <f>M97*G97</f>
        <v>0</v>
      </c>
      <c r="Q97" s="188">
        <f>M97*H97</f>
        <v>0</v>
      </c>
      <c r="R97" s="188">
        <f>M97*I97</f>
        <v>0</v>
      </c>
      <c r="S97" s="188">
        <f>M97*J97</f>
        <v>0</v>
      </c>
      <c r="T97" s="188">
        <f>M97*K97</f>
        <v>0</v>
      </c>
      <c r="U97" s="188">
        <f>M97*L97</f>
        <v>0</v>
      </c>
      <c r="V97" s="318"/>
    </row>
    <row r="98" spans="2:24" s="343" customFormat="1" ht="20.25" customHeight="1" x14ac:dyDescent="0.25">
      <c r="B98" s="656"/>
      <c r="C98" s="677" t="s">
        <v>166</v>
      </c>
      <c r="D98" s="244">
        <f t="shared" ref="D98:L98" si="46">SUM(D95:D97)</f>
        <v>102262</v>
      </c>
      <c r="E98" s="244">
        <f t="shared" si="46"/>
        <v>1456.29</v>
      </c>
      <c r="F98" s="244">
        <f t="shared" si="46"/>
        <v>2652.9300000000003</v>
      </c>
      <c r="G98" s="244">
        <f t="shared" si="46"/>
        <v>7942.6659999999993</v>
      </c>
      <c r="H98" s="244">
        <f t="shared" si="46"/>
        <v>15866.399999999998</v>
      </c>
      <c r="I98" s="244">
        <f t="shared" si="46"/>
        <v>17642.413999999997</v>
      </c>
      <c r="J98" s="244">
        <f t="shared" si="46"/>
        <v>24717.059999999998</v>
      </c>
      <c r="K98" s="244">
        <f t="shared" si="46"/>
        <v>21919.622199999994</v>
      </c>
      <c r="L98" s="244">
        <f t="shared" si="46"/>
        <v>10063.197799999998</v>
      </c>
      <c r="M98" s="244"/>
      <c r="N98" s="244">
        <f t="shared" ref="N98:U98" si="47">SUM(N95:N97)</f>
        <v>1212.686584</v>
      </c>
      <c r="O98" s="244">
        <f t="shared" si="47"/>
        <v>2302.3045159999997</v>
      </c>
      <c r="P98" s="244">
        <f t="shared" si="47"/>
        <v>6957.1234519999998</v>
      </c>
      <c r="Q98" s="244">
        <f t="shared" si="47"/>
        <v>13167.244570000001</v>
      </c>
      <c r="R98" s="244">
        <f t="shared" si="47"/>
        <v>14304.003588</v>
      </c>
      <c r="S98" s="244">
        <f t="shared" si="47"/>
        <v>19492.775490000004</v>
      </c>
      <c r="T98" s="244">
        <f t="shared" si="47"/>
        <v>19035.030383499994</v>
      </c>
      <c r="U98" s="244">
        <f t="shared" si="47"/>
        <v>8547.5460365000017</v>
      </c>
      <c r="W98" s="12">
        <f>SUM(N98:U98)</f>
        <v>85018.714619999999</v>
      </c>
      <c r="X98" s="12">
        <f>SUM(E98:L98)</f>
        <v>102260.57999999999</v>
      </c>
    </row>
    <row r="100" spans="2:24" x14ac:dyDescent="0.25">
      <c r="O100" s="688">
        <f>SUM(N98:U98)</f>
        <v>85018.714619999999</v>
      </c>
    </row>
    <row r="101" spans="2:24" x14ac:dyDescent="0.25">
      <c r="D101" s="688"/>
    </row>
  </sheetData>
  <mergeCells count="15">
    <mergeCell ref="B55:C55"/>
    <mergeCell ref="A1:U1"/>
    <mergeCell ref="D2:U2"/>
    <mergeCell ref="A3:C3"/>
    <mergeCell ref="D3:U3"/>
    <mergeCell ref="T4:U4"/>
    <mergeCell ref="A5:A6"/>
    <mergeCell ref="B5:B6"/>
    <mergeCell ref="C5:C6"/>
    <mergeCell ref="D5:D6"/>
    <mergeCell ref="E5:L5"/>
    <mergeCell ref="M5:M6"/>
    <mergeCell ref="N5:U5"/>
    <mergeCell ref="A7:H7"/>
    <mergeCell ref="B54:C54"/>
  </mergeCells>
  <printOptions horizontalCentered="1"/>
  <pageMargins left="0.15748031496063" right="0.23622047244094499" top="0.59055118110236204" bottom="3.9370078740157501E-2" header="0" footer="0"/>
  <pageSetup paperSize="9" scale="65" firstPageNumber="49" orientation="landscape" useFirstPageNumber="1"/>
  <headerFooter alignWithMargins="0">
    <oddFooter>&amp;C&amp;18 P - &amp;P</oddFooter>
  </headerFooter>
  <rowBreaks count="3" manualBreakCount="3">
    <brk id="32" max="20" man="1"/>
    <brk id="54" max="20" man="1"/>
    <brk id="77" max="2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7"/>
  <sheetViews>
    <sheetView topLeftCell="A80" zoomScale="130" zoomScaleNormal="130" workbookViewId="0">
      <selection activeCell="E150" sqref="E150"/>
    </sheetView>
  </sheetViews>
  <sheetFormatPr defaultColWidth="12.42578125" defaultRowHeight="18" customHeight="1" x14ac:dyDescent="0.2"/>
  <cols>
    <col min="1" max="1" width="5.5703125" style="694" customWidth="1"/>
    <col min="2" max="3" width="10.85546875" style="694" customWidth="1"/>
    <col min="4" max="4" width="9.5703125" style="694" customWidth="1"/>
    <col min="5" max="5" width="11.85546875" style="694" customWidth="1"/>
    <col min="6" max="6" width="11.7109375" style="694" customWidth="1"/>
    <col min="7" max="7" width="9" style="694" customWidth="1"/>
    <col min="8" max="8" width="10.7109375" style="694" customWidth="1"/>
    <col min="9" max="9" width="10.42578125" style="694" customWidth="1"/>
    <col min="10" max="85" width="12.42578125" style="694" customWidth="1"/>
    <col min="86" max="16384" width="12.42578125" style="694"/>
  </cols>
  <sheetData>
    <row r="1" spans="1:14" ht="16.5" customHeight="1" x14ac:dyDescent="0.25">
      <c r="A1" s="344"/>
      <c r="B1" s="344"/>
      <c r="C1" s="345"/>
      <c r="D1" s="346"/>
      <c r="E1" s="347" t="s">
        <v>226</v>
      </c>
      <c r="F1" s="344"/>
      <c r="G1" s="344"/>
      <c r="H1" s="344"/>
    </row>
    <row r="2" spans="1:14" ht="6.75" customHeight="1" x14ac:dyDescent="0.25">
      <c r="A2" s="344"/>
      <c r="B2" s="344"/>
      <c r="C2" s="344"/>
      <c r="D2" s="344"/>
      <c r="E2" s="347"/>
      <c r="F2" s="344"/>
      <c r="G2" s="344"/>
      <c r="H2" s="344"/>
    </row>
    <row r="3" spans="1:14" ht="14.25" customHeight="1" x14ac:dyDescent="0.25">
      <c r="A3" s="344"/>
      <c r="E3" s="347" t="s">
        <v>227</v>
      </c>
    </row>
    <row r="4" spans="1:14" ht="10.5" customHeight="1" x14ac:dyDescent="0.25">
      <c r="A4" s="344"/>
      <c r="B4" s="344"/>
      <c r="C4" s="344"/>
      <c r="D4" s="344"/>
      <c r="E4" s="344"/>
      <c r="F4" s="344"/>
      <c r="G4" s="344"/>
      <c r="H4" s="348"/>
      <c r="I4" s="349"/>
    </row>
    <row r="5" spans="1:14" ht="18" customHeight="1" x14ac:dyDescent="0.2">
      <c r="A5" s="350" t="s">
        <v>228</v>
      </c>
      <c r="B5" s="351"/>
    </row>
    <row r="6" spans="1:14" ht="8.25" customHeight="1" x14ac:dyDescent="0.2">
      <c r="B6" s="352"/>
    </row>
    <row r="7" spans="1:14" ht="18" customHeight="1" x14ac:dyDescent="0.2">
      <c r="A7" s="353" t="s">
        <v>229</v>
      </c>
      <c r="B7" s="353"/>
      <c r="C7" s="353" t="s">
        <v>230</v>
      </c>
      <c r="D7" s="353" t="s">
        <v>231</v>
      </c>
      <c r="E7" s="353" t="s">
        <v>11</v>
      </c>
      <c r="F7" s="354" t="s">
        <v>232</v>
      </c>
      <c r="G7" s="353"/>
      <c r="H7" s="355" t="s">
        <v>233</v>
      </c>
      <c r="I7" s="356"/>
    </row>
    <row r="8" spans="1:14" ht="15.75" customHeight="1" x14ac:dyDescent="0.2">
      <c r="A8" s="357" t="s">
        <v>160</v>
      </c>
      <c r="B8" s="357" t="s">
        <v>234</v>
      </c>
      <c r="C8" s="357" t="s">
        <v>235</v>
      </c>
      <c r="D8" s="357" t="s">
        <v>236</v>
      </c>
      <c r="E8" s="357" t="s">
        <v>237</v>
      </c>
      <c r="F8" s="353" t="s">
        <v>215</v>
      </c>
      <c r="G8" s="353" t="s">
        <v>217</v>
      </c>
      <c r="H8" s="353" t="s">
        <v>215</v>
      </c>
      <c r="I8" s="358" t="s">
        <v>217</v>
      </c>
      <c r="J8" s="694" t="s">
        <v>238</v>
      </c>
      <c r="K8" s="694" t="s">
        <v>239</v>
      </c>
      <c r="L8" s="694" t="s">
        <v>240</v>
      </c>
      <c r="M8" s="694" t="s">
        <v>241</v>
      </c>
      <c r="N8" s="694" t="s">
        <v>242</v>
      </c>
    </row>
    <row r="9" spans="1:14" s="363" customFormat="1" ht="15.75" customHeight="1" x14ac:dyDescent="0.2">
      <c r="A9" s="359" t="s">
        <v>243</v>
      </c>
      <c r="B9" s="360" t="s">
        <v>244</v>
      </c>
      <c r="C9" s="361">
        <v>47000</v>
      </c>
      <c r="D9" s="694">
        <v>3.5</v>
      </c>
      <c r="E9" s="694">
        <f>D9*C9</f>
        <v>164500</v>
      </c>
      <c r="F9" s="694">
        <v>10000</v>
      </c>
      <c r="G9" s="694">
        <f>F9*1.005</f>
        <v>10049.999999999998</v>
      </c>
      <c r="H9" s="694">
        <f>+(E9*F9)/100000</f>
        <v>16450</v>
      </c>
      <c r="I9" s="694">
        <f>+(E9*G9)/100000</f>
        <v>16532.249999999996</v>
      </c>
      <c r="J9" s="362">
        <f>C9*115</f>
        <v>5405000</v>
      </c>
      <c r="K9" s="362">
        <f>C9*40</f>
        <v>1880000</v>
      </c>
      <c r="L9" s="362">
        <f>C9*200</f>
        <v>9400000</v>
      </c>
      <c r="M9" s="362">
        <f>L9*0.8</f>
        <v>7520000</v>
      </c>
      <c r="N9" s="362">
        <f>L9*0.5</f>
        <v>4700000</v>
      </c>
    </row>
    <row r="10" spans="1:14" s="363" customFormat="1" ht="15.75" customHeight="1" x14ac:dyDescent="0.2">
      <c r="A10" s="359" t="s">
        <v>245</v>
      </c>
      <c r="B10" s="360" t="s">
        <v>246</v>
      </c>
      <c r="C10" s="361">
        <v>125000</v>
      </c>
      <c r="D10" s="694">
        <v>4</v>
      </c>
      <c r="E10" s="694">
        <f>D10*C10</f>
        <v>500000</v>
      </c>
      <c r="F10" s="694">
        <v>11000</v>
      </c>
      <c r="G10" s="694">
        <f>F10*1.005</f>
        <v>11054.999999999998</v>
      </c>
      <c r="H10" s="694">
        <f>+(E10*F10)/100000</f>
        <v>55000</v>
      </c>
      <c r="I10" s="694">
        <f>+(E10*G10)/100000</f>
        <v>55274.999999999993</v>
      </c>
      <c r="J10" s="362">
        <f>C10*150</f>
        <v>18750000</v>
      </c>
      <c r="K10" s="362">
        <f>C10*40</f>
        <v>5000000</v>
      </c>
      <c r="L10" s="362">
        <f>C10*300</f>
        <v>37500000</v>
      </c>
      <c r="M10" s="362">
        <f>L10*0.8</f>
        <v>30000000</v>
      </c>
      <c r="N10" s="362">
        <f>L10*0.5</f>
        <v>18750000</v>
      </c>
    </row>
    <row r="11" spans="1:14" ht="15.75" customHeight="1" x14ac:dyDescent="0.2">
      <c r="A11" s="356"/>
      <c r="B11" s="364" t="s">
        <v>247</v>
      </c>
      <c r="C11" s="365">
        <f>SUM(C9:C10)</f>
        <v>172000</v>
      </c>
      <c r="D11" s="366" t="s">
        <v>248</v>
      </c>
      <c r="E11" s="366" t="s">
        <v>248</v>
      </c>
      <c r="F11" s="366" t="s">
        <v>248</v>
      </c>
      <c r="G11" s="366" t="s">
        <v>248</v>
      </c>
      <c r="H11" s="366">
        <f>SUM(H9:H10)</f>
        <v>71450</v>
      </c>
      <c r="I11" s="366">
        <f>SUM(I9:I10)</f>
        <v>71807.249999999985</v>
      </c>
      <c r="J11" s="362">
        <f>SUM(J9:J10)</f>
        <v>24155000</v>
      </c>
      <c r="K11" s="362">
        <f>SUM(K9:K10)</f>
        <v>6880000</v>
      </c>
      <c r="L11" s="362">
        <f>SUM(L9:L10)</f>
        <v>46900000</v>
      </c>
      <c r="M11" s="362">
        <f>L11*0.8</f>
        <v>37520000</v>
      </c>
      <c r="N11" s="362">
        <f>L11*0.5</f>
        <v>23450000</v>
      </c>
    </row>
    <row r="12" spans="1:14" ht="7.5" customHeight="1" x14ac:dyDescent="0.2"/>
    <row r="13" spans="1:14" ht="15.75" customHeight="1" x14ac:dyDescent="0.2">
      <c r="A13" s="349"/>
      <c r="B13" s="349"/>
      <c r="C13" s="694" t="s">
        <v>249</v>
      </c>
      <c r="E13" s="367">
        <f>C11/156392</f>
        <v>1.0998005013044145</v>
      </c>
      <c r="F13" s="360"/>
      <c r="G13" s="349"/>
      <c r="H13" s="349"/>
      <c r="I13" s="349"/>
    </row>
    <row r="14" spans="1:14" ht="6" customHeight="1" x14ac:dyDescent="0.2"/>
    <row r="15" spans="1:14" ht="15.75" customHeight="1" x14ac:dyDescent="0.2">
      <c r="C15" s="694" t="s">
        <v>250</v>
      </c>
      <c r="F15" s="694">
        <f>SUM(E9:E10)</f>
        <v>664500</v>
      </c>
      <c r="G15" s="694" t="s">
        <v>251</v>
      </c>
    </row>
    <row r="16" spans="1:14" ht="15.75" customHeight="1" x14ac:dyDescent="0.2"/>
    <row r="17" spans="2:8" ht="15.75" customHeight="1" x14ac:dyDescent="0.2"/>
    <row r="18" spans="2:8" ht="15.75" customHeight="1" x14ac:dyDescent="0.2"/>
    <row r="19" spans="2:8" ht="15.75" customHeight="1" x14ac:dyDescent="0.2"/>
    <row r="20" spans="2:8" ht="15.75" customHeight="1" x14ac:dyDescent="0.2"/>
    <row r="21" spans="2:8" ht="15.75" customHeight="1" x14ac:dyDescent="0.2"/>
    <row r="22" spans="2:8" ht="15.75" customHeight="1" x14ac:dyDescent="0.2"/>
    <row r="23" spans="2:8" ht="15.75" customHeight="1" x14ac:dyDescent="0.2"/>
    <row r="24" spans="2:8" ht="15.75" customHeight="1" x14ac:dyDescent="0.2"/>
    <row r="25" spans="2:8" ht="15.75" customHeight="1" x14ac:dyDescent="0.2"/>
    <row r="26" spans="2:8" ht="15.75" customHeight="1" x14ac:dyDescent="0.2"/>
    <row r="27" spans="2:8" ht="11.25" customHeight="1" x14ac:dyDescent="0.2"/>
    <row r="28" spans="2:8" ht="11.25" customHeight="1" x14ac:dyDescent="0.2"/>
    <row r="29" spans="2:8" ht="16.5" customHeight="1" x14ac:dyDescent="0.25">
      <c r="B29" s="344"/>
      <c r="C29" s="345"/>
      <c r="D29" s="346"/>
      <c r="E29" s="347" t="s">
        <v>226</v>
      </c>
      <c r="F29" s="344"/>
      <c r="G29" s="344"/>
      <c r="H29" s="344"/>
    </row>
    <row r="30" spans="2:8" ht="6.75" customHeight="1" x14ac:dyDescent="0.25">
      <c r="B30" s="344"/>
      <c r="C30" s="344"/>
      <c r="D30" s="344"/>
      <c r="E30" s="347"/>
      <c r="F30" s="344"/>
      <c r="G30" s="344"/>
      <c r="H30" s="344"/>
    </row>
    <row r="31" spans="2:8" ht="14.25" customHeight="1" x14ac:dyDescent="0.25">
      <c r="B31" s="344"/>
      <c r="C31" s="345"/>
      <c r="D31" s="345"/>
      <c r="E31" s="347" t="s">
        <v>227</v>
      </c>
      <c r="F31" s="344"/>
      <c r="G31" s="344"/>
      <c r="H31" s="344"/>
    </row>
    <row r="32" spans="2:8" ht="14.25" customHeight="1" x14ac:dyDescent="0.25">
      <c r="B32" s="344"/>
      <c r="C32" s="345"/>
      <c r="D32" s="345"/>
      <c r="E32" s="347"/>
      <c r="F32" s="344"/>
      <c r="G32" s="344"/>
      <c r="H32" s="344"/>
    </row>
    <row r="33" spans="1:14" ht="18" customHeight="1" x14ac:dyDescent="0.2">
      <c r="A33" s="350" t="s">
        <v>252</v>
      </c>
      <c r="B33" s="352"/>
    </row>
    <row r="34" spans="1:14" ht="8.25" customHeight="1" x14ac:dyDescent="0.2">
      <c r="B34" s="352"/>
    </row>
    <row r="35" spans="1:14" ht="18" customHeight="1" x14ac:dyDescent="0.2">
      <c r="A35" s="353" t="s">
        <v>229</v>
      </c>
      <c r="B35" s="353"/>
      <c r="C35" s="353" t="s">
        <v>230</v>
      </c>
      <c r="D35" s="353" t="s">
        <v>231</v>
      </c>
      <c r="E35" s="353" t="s">
        <v>11</v>
      </c>
      <c r="F35" s="354" t="s">
        <v>232</v>
      </c>
      <c r="G35" s="353"/>
      <c r="H35" s="355" t="s">
        <v>233</v>
      </c>
      <c r="I35" s="356"/>
    </row>
    <row r="36" spans="1:14" ht="15.75" customHeight="1" x14ac:dyDescent="0.2">
      <c r="A36" s="357" t="s">
        <v>160</v>
      </c>
      <c r="B36" s="357" t="s">
        <v>234</v>
      </c>
      <c r="C36" s="357" t="s">
        <v>235</v>
      </c>
      <c r="D36" s="357" t="s">
        <v>236</v>
      </c>
      <c r="E36" s="357" t="s">
        <v>237</v>
      </c>
      <c r="F36" s="353" t="s">
        <v>215</v>
      </c>
      <c r="G36" s="353" t="s">
        <v>217</v>
      </c>
      <c r="H36" s="353" t="s">
        <v>215</v>
      </c>
      <c r="I36" s="358" t="s">
        <v>217</v>
      </c>
    </row>
    <row r="37" spans="1:14" ht="15.75" customHeight="1" x14ac:dyDescent="0.2">
      <c r="A37" s="359" t="s">
        <v>243</v>
      </c>
      <c r="B37" s="360" t="s">
        <v>246</v>
      </c>
      <c r="C37" s="361">
        <v>280500</v>
      </c>
      <c r="D37" s="694">
        <v>5.5</v>
      </c>
      <c r="E37" s="694">
        <f>D37*C37</f>
        <v>1542750</v>
      </c>
      <c r="F37" s="694">
        <v>10000</v>
      </c>
      <c r="G37" s="694">
        <f>F37*1.005</f>
        <v>10049.999999999998</v>
      </c>
      <c r="H37" s="694">
        <f>+(E37*F37)/100000</f>
        <v>154275</v>
      </c>
      <c r="I37" s="694">
        <f>+(E37*G37)/100000</f>
        <v>155046.37499999997</v>
      </c>
      <c r="J37" s="362">
        <f>C37*155</f>
        <v>43477500</v>
      </c>
      <c r="K37" s="362">
        <f>C37*40</f>
        <v>11220000</v>
      </c>
      <c r="L37" s="362">
        <f>C37*300</f>
        <v>84150000</v>
      </c>
      <c r="M37" s="362">
        <f>L37*0.8</f>
        <v>67320000</v>
      </c>
      <c r="N37" s="362">
        <f>L37*0.5</f>
        <v>42075000</v>
      </c>
    </row>
    <row r="38" spans="1:14" ht="15.75" customHeight="1" x14ac:dyDescent="0.2">
      <c r="A38" s="356"/>
      <c r="B38" s="364" t="s">
        <v>247</v>
      </c>
      <c r="C38" s="365">
        <f>SUM(C37:C37)</f>
        <v>280500</v>
      </c>
      <c r="D38" s="366" t="s">
        <v>248</v>
      </c>
      <c r="E38" s="366" t="s">
        <v>248</v>
      </c>
      <c r="F38" s="366" t="s">
        <v>248</v>
      </c>
      <c r="G38" s="366" t="s">
        <v>248</v>
      </c>
      <c r="H38" s="366">
        <f t="shared" ref="H38:N38" si="0">SUM(H37:H37)</f>
        <v>154275</v>
      </c>
      <c r="I38" s="366">
        <f t="shared" si="0"/>
        <v>155046.37499999997</v>
      </c>
      <c r="J38" s="361">
        <f t="shared" si="0"/>
        <v>43477500</v>
      </c>
      <c r="K38" s="361">
        <f t="shared" si="0"/>
        <v>11220000</v>
      </c>
      <c r="L38" s="361">
        <f t="shared" si="0"/>
        <v>84150000</v>
      </c>
      <c r="M38" s="361">
        <f t="shared" si="0"/>
        <v>67320000</v>
      </c>
      <c r="N38" s="361">
        <f t="shared" si="0"/>
        <v>42075000</v>
      </c>
    </row>
    <row r="39" spans="1:14" ht="18.75" customHeight="1" x14ac:dyDescent="0.2">
      <c r="A39" s="349"/>
      <c r="B39" s="349"/>
      <c r="C39" s="694" t="s">
        <v>249</v>
      </c>
      <c r="E39" s="361">
        <f>+(C38*100)/156392</f>
        <v>179.35700035807457</v>
      </c>
      <c r="F39" s="360" t="s">
        <v>253</v>
      </c>
      <c r="G39" s="349"/>
      <c r="H39" s="349"/>
      <c r="I39" s="349"/>
    </row>
    <row r="40" spans="1:14" ht="18.75" customHeight="1" x14ac:dyDescent="0.2">
      <c r="C40" s="694" t="s">
        <v>250</v>
      </c>
      <c r="F40" s="694">
        <f>SUM(E37:E37)</f>
        <v>1542750</v>
      </c>
      <c r="G40" s="694" t="s">
        <v>251</v>
      </c>
    </row>
    <row r="41" spans="1:14" ht="15" customHeight="1" x14ac:dyDescent="0.2">
      <c r="C41" s="694" t="s">
        <v>254</v>
      </c>
      <c r="F41" s="694">
        <f>SUM(F40-F15)</f>
        <v>878250</v>
      </c>
      <c r="G41" s="694" t="s">
        <v>251</v>
      </c>
    </row>
    <row r="42" spans="1:14" ht="15" customHeight="1" x14ac:dyDescent="0.2"/>
    <row r="43" spans="1:14" ht="15" customHeight="1" x14ac:dyDescent="0.2"/>
    <row r="44" spans="1:14" ht="15" customHeight="1" x14ac:dyDescent="0.2"/>
    <row r="45" spans="1:14" ht="15" customHeight="1" x14ac:dyDescent="0.2"/>
    <row r="46" spans="1:14" ht="15" customHeight="1" x14ac:dyDescent="0.2"/>
    <row r="47" spans="1:14" ht="15" customHeight="1" x14ac:dyDescent="0.2"/>
    <row r="48" spans="1:14" ht="15" customHeight="1" x14ac:dyDescent="0.2"/>
    <row r="49" spans="1:10" ht="18" customHeight="1" x14ac:dyDescent="0.25">
      <c r="C49" s="344"/>
      <c r="D49" s="344"/>
      <c r="E49" s="347" t="s">
        <v>255</v>
      </c>
      <c r="F49" s="344"/>
      <c r="G49" s="344"/>
    </row>
    <row r="50" spans="1:10" ht="4.5" customHeight="1" x14ac:dyDescent="0.2"/>
    <row r="51" spans="1:10" ht="18" customHeight="1" x14ac:dyDescent="0.2">
      <c r="A51" s="350" t="s">
        <v>228</v>
      </c>
      <c r="B51" s="351"/>
      <c r="C51" s="349"/>
    </row>
    <row r="52" spans="1:10" ht="3" customHeight="1" x14ac:dyDescent="0.2">
      <c r="B52" s="352"/>
      <c r="C52" s="349"/>
    </row>
    <row r="53" spans="1:10" ht="18" customHeight="1" x14ac:dyDescent="0.2">
      <c r="A53" s="368" t="s">
        <v>229</v>
      </c>
      <c r="B53" s="368" t="s">
        <v>256</v>
      </c>
      <c r="C53" s="368" t="s">
        <v>8</v>
      </c>
      <c r="D53" s="368" t="s">
        <v>183</v>
      </c>
      <c r="E53" s="369" t="s">
        <v>257</v>
      </c>
      <c r="F53" s="369"/>
      <c r="G53" s="369" t="s">
        <v>258</v>
      </c>
      <c r="H53" s="370"/>
    </row>
    <row r="54" spans="1:10" ht="18" customHeight="1" x14ac:dyDescent="0.2">
      <c r="A54" s="357" t="s">
        <v>160</v>
      </c>
      <c r="B54" s="357"/>
      <c r="C54" s="357"/>
      <c r="D54" s="357"/>
      <c r="E54" s="357" t="s">
        <v>215</v>
      </c>
      <c r="F54" s="357" t="s">
        <v>217</v>
      </c>
      <c r="G54" s="357" t="s">
        <v>215</v>
      </c>
      <c r="H54" s="371" t="s">
        <v>217</v>
      </c>
      <c r="I54" s="349"/>
    </row>
    <row r="55" spans="1:10" ht="18" customHeight="1" x14ac:dyDescent="0.2">
      <c r="A55" s="359" t="s">
        <v>243</v>
      </c>
      <c r="B55" s="372" t="s">
        <v>259</v>
      </c>
      <c r="C55" s="694" t="s">
        <v>260</v>
      </c>
      <c r="D55" s="361">
        <f>J11*1</f>
        <v>24155000</v>
      </c>
      <c r="E55" s="694">
        <v>100</v>
      </c>
      <c r="F55" s="694">
        <v>75</v>
      </c>
      <c r="G55" s="694">
        <f>+D55*E55/100000</f>
        <v>24155</v>
      </c>
      <c r="H55" s="694">
        <f>+D55*F55/100000</f>
        <v>18116.25</v>
      </c>
      <c r="J55" s="361"/>
    </row>
    <row r="56" spans="1:10" ht="18" customHeight="1" x14ac:dyDescent="0.2">
      <c r="A56" s="359" t="s">
        <v>245</v>
      </c>
      <c r="B56" s="372" t="s">
        <v>261</v>
      </c>
      <c r="C56" s="694" t="s">
        <v>248</v>
      </c>
      <c r="D56" s="361" t="s">
        <v>248</v>
      </c>
      <c r="E56" s="694" t="s">
        <v>248</v>
      </c>
      <c r="F56" s="694" t="s">
        <v>248</v>
      </c>
      <c r="G56" s="694">
        <f>4000*C11/100000</f>
        <v>6880</v>
      </c>
      <c r="H56" s="694">
        <f>G56*0.902</f>
        <v>6205.76</v>
      </c>
      <c r="J56" s="361"/>
    </row>
    <row r="57" spans="1:10" ht="18" customHeight="1" x14ac:dyDescent="0.2">
      <c r="A57" s="359" t="s">
        <v>262</v>
      </c>
      <c r="B57" s="350" t="s">
        <v>263</v>
      </c>
      <c r="C57" s="349"/>
      <c r="D57" s="361"/>
      <c r="J57" s="361"/>
    </row>
    <row r="58" spans="1:10" ht="14.25" customHeight="1" x14ac:dyDescent="0.2">
      <c r="A58" s="694" t="s">
        <v>264</v>
      </c>
      <c r="B58" s="360" t="s">
        <v>265</v>
      </c>
      <c r="C58" s="694" t="s">
        <v>251</v>
      </c>
      <c r="D58" s="361">
        <f>K11/1000</f>
        <v>6880</v>
      </c>
      <c r="E58" s="694">
        <v>30000</v>
      </c>
      <c r="F58" s="694">
        <f>+E58*0.902</f>
        <v>27060</v>
      </c>
      <c r="G58" s="694">
        <f>+D58*E58/100000</f>
        <v>2064</v>
      </c>
      <c r="H58" s="694">
        <f>+D58*F58/100000</f>
        <v>1861.7280000000001</v>
      </c>
      <c r="J58" s="361"/>
    </row>
    <row r="59" spans="1:10" ht="14.25" customHeight="1" x14ac:dyDescent="0.2">
      <c r="A59" s="694" t="s">
        <v>266</v>
      </c>
      <c r="B59" s="360" t="s">
        <v>267</v>
      </c>
      <c r="C59" s="694" t="s">
        <v>251</v>
      </c>
      <c r="D59" s="361">
        <v>0</v>
      </c>
      <c r="E59" s="694">
        <v>30000</v>
      </c>
      <c r="F59" s="694">
        <f>+E59*0.902</f>
        <v>27060</v>
      </c>
      <c r="G59" s="694">
        <f>+D59*E59/100000</f>
        <v>0</v>
      </c>
      <c r="H59" s="694">
        <f>+D59*F59/100000</f>
        <v>0</v>
      </c>
      <c r="J59" s="361"/>
    </row>
    <row r="60" spans="1:10" ht="14.25" customHeight="1" x14ac:dyDescent="0.2">
      <c r="A60" s="694" t="s">
        <v>268</v>
      </c>
      <c r="B60" s="360" t="s">
        <v>269</v>
      </c>
      <c r="C60" s="694" t="s">
        <v>251</v>
      </c>
      <c r="D60" s="361">
        <v>0</v>
      </c>
      <c r="E60" s="694">
        <v>50000</v>
      </c>
      <c r="F60" s="694">
        <f>+E60*0.902</f>
        <v>45100</v>
      </c>
      <c r="G60" s="694">
        <f>+D60*E60/100000</f>
        <v>0</v>
      </c>
      <c r="H60" s="694">
        <f>+D60*F60/100000</f>
        <v>0</v>
      </c>
      <c r="J60" s="361"/>
    </row>
    <row r="61" spans="1:10" ht="14.25" customHeight="1" x14ac:dyDescent="0.2">
      <c r="A61" s="359" t="s">
        <v>270</v>
      </c>
      <c r="B61" s="350" t="s">
        <v>271</v>
      </c>
      <c r="D61" s="361"/>
      <c r="J61" s="361"/>
    </row>
    <row r="62" spans="1:10" ht="14.25" customHeight="1" x14ac:dyDescent="0.2">
      <c r="A62" s="694" t="s">
        <v>264</v>
      </c>
      <c r="B62" s="360" t="s">
        <v>240</v>
      </c>
      <c r="C62" s="694" t="s">
        <v>251</v>
      </c>
      <c r="D62" s="361">
        <f>L11/1000</f>
        <v>46900</v>
      </c>
      <c r="E62" s="694">
        <v>8000</v>
      </c>
      <c r="F62" s="694">
        <f>E62*1.5</f>
        <v>12000</v>
      </c>
      <c r="G62" s="694">
        <f>+D62*E62/100000</f>
        <v>3752</v>
      </c>
      <c r="H62" s="694">
        <f>+D62*F62/100000</f>
        <v>5628</v>
      </c>
      <c r="J62" s="361"/>
    </row>
    <row r="63" spans="1:10" ht="14.25" customHeight="1" x14ac:dyDescent="0.2">
      <c r="A63" s="694" t="s">
        <v>272</v>
      </c>
      <c r="B63" s="360" t="s">
        <v>273</v>
      </c>
      <c r="C63" s="694" t="s">
        <v>251</v>
      </c>
      <c r="D63" s="361">
        <f>M11/1000</f>
        <v>37520</v>
      </c>
      <c r="E63" s="694">
        <v>22000</v>
      </c>
      <c r="F63" s="694">
        <f>E63*1.5</f>
        <v>33000</v>
      </c>
      <c r="G63" s="694">
        <f>+D63*E63/100000</f>
        <v>8254.4</v>
      </c>
      <c r="H63" s="694">
        <f>+D63*F63/100000</f>
        <v>12381.6</v>
      </c>
      <c r="J63" s="361"/>
    </row>
    <row r="64" spans="1:10" ht="14.25" customHeight="1" x14ac:dyDescent="0.2">
      <c r="A64" s="694" t="s">
        <v>274</v>
      </c>
      <c r="B64" s="360" t="s">
        <v>275</v>
      </c>
      <c r="C64" s="694" t="s">
        <v>251</v>
      </c>
      <c r="D64" s="361">
        <f>N11/1000</f>
        <v>23450</v>
      </c>
      <c r="E64" s="694">
        <v>18000</v>
      </c>
      <c r="F64" s="694">
        <f>E64*1.5</f>
        <v>27000</v>
      </c>
      <c r="G64" s="694">
        <f>+D64*E64/100000</f>
        <v>4221</v>
      </c>
      <c r="H64" s="694">
        <f>+D64*F64/100000</f>
        <v>6331.5</v>
      </c>
      <c r="J64" s="361"/>
    </row>
    <row r="65" spans="1:10" ht="14.25" customHeight="1" x14ac:dyDescent="0.2">
      <c r="A65" s="359" t="s">
        <v>276</v>
      </c>
      <c r="B65" s="372" t="s">
        <v>277</v>
      </c>
      <c r="C65" s="694" t="s">
        <v>248</v>
      </c>
      <c r="D65" s="361" t="s">
        <v>248</v>
      </c>
      <c r="E65" s="694" t="s">
        <v>248</v>
      </c>
      <c r="F65" s="694" t="s">
        <v>248</v>
      </c>
      <c r="G65" s="694">
        <v>200</v>
      </c>
      <c r="H65" s="694">
        <f>G65*0.902</f>
        <v>180.4</v>
      </c>
      <c r="J65" s="361"/>
    </row>
    <row r="66" spans="1:10" ht="14.25" customHeight="1" x14ac:dyDescent="0.2">
      <c r="A66" s="359" t="s">
        <v>278</v>
      </c>
      <c r="B66" s="372" t="s">
        <v>279</v>
      </c>
      <c r="C66" s="694" t="s">
        <v>248</v>
      </c>
      <c r="D66" s="361" t="s">
        <v>248</v>
      </c>
      <c r="E66" s="694" t="s">
        <v>248</v>
      </c>
      <c r="F66" s="694" t="s">
        <v>248</v>
      </c>
      <c r="G66" s="694">
        <v>500</v>
      </c>
      <c r="H66" s="694">
        <f>G66*1.5</f>
        <v>750</v>
      </c>
    </row>
    <row r="67" spans="1:10" ht="18" customHeight="1" x14ac:dyDescent="0.2">
      <c r="A67" s="373"/>
      <c r="B67" s="366" t="s">
        <v>11</v>
      </c>
      <c r="C67" s="366" t="s">
        <v>248</v>
      </c>
      <c r="D67" s="366" t="s">
        <v>248</v>
      </c>
      <c r="E67" s="366" t="s">
        <v>248</v>
      </c>
      <c r="F67" s="366" t="s">
        <v>248</v>
      </c>
      <c r="G67" s="366">
        <f>SUM(G55:G65)</f>
        <v>49526.400000000001</v>
      </c>
      <c r="H67" s="356">
        <f>SUM(H55:H65)</f>
        <v>50705.238000000005</v>
      </c>
    </row>
    <row r="68" spans="1:10" ht="18" customHeight="1" x14ac:dyDescent="0.2">
      <c r="A68" s="350" t="s">
        <v>252</v>
      </c>
      <c r="B68" s="352"/>
    </row>
    <row r="69" spans="1:10" ht="6" customHeight="1" x14ac:dyDescent="0.2">
      <c r="B69" s="352"/>
    </row>
    <row r="70" spans="1:10" ht="18" customHeight="1" x14ac:dyDescent="0.2">
      <c r="A70" s="368" t="s">
        <v>229</v>
      </c>
      <c r="B70" s="368" t="s">
        <v>256</v>
      </c>
      <c r="C70" s="368" t="s">
        <v>8</v>
      </c>
      <c r="D70" s="368" t="s">
        <v>183</v>
      </c>
      <c r="E70" s="368" t="s">
        <v>257</v>
      </c>
      <c r="F70" s="368"/>
      <c r="G70" s="368" t="s">
        <v>258</v>
      </c>
      <c r="H70" s="374"/>
    </row>
    <row r="71" spans="1:10" ht="18" customHeight="1" x14ac:dyDescent="0.2">
      <c r="A71" s="357" t="s">
        <v>160</v>
      </c>
      <c r="B71" s="357"/>
      <c r="C71" s="357"/>
      <c r="D71" s="357"/>
      <c r="E71" s="357" t="s">
        <v>215</v>
      </c>
      <c r="F71" s="357" t="s">
        <v>217</v>
      </c>
      <c r="G71" s="357" t="s">
        <v>215</v>
      </c>
      <c r="H71" s="371" t="s">
        <v>217</v>
      </c>
    </row>
    <row r="72" spans="1:10" ht="18" customHeight="1" x14ac:dyDescent="0.2">
      <c r="A72" s="359" t="s">
        <v>243</v>
      </c>
      <c r="B72" s="372" t="s">
        <v>259</v>
      </c>
      <c r="C72" s="694" t="s">
        <v>260</v>
      </c>
      <c r="D72" s="361">
        <f>J38</f>
        <v>43477500</v>
      </c>
      <c r="E72" s="694">
        <v>100</v>
      </c>
      <c r="F72" s="694">
        <v>75</v>
      </c>
      <c r="G72" s="694">
        <f>+D72*E72/100000</f>
        <v>43477.5</v>
      </c>
      <c r="H72" s="694">
        <f>+D72*F72/100000</f>
        <v>32608.125</v>
      </c>
      <c r="I72" s="361"/>
    </row>
    <row r="73" spans="1:10" ht="18" customHeight="1" x14ac:dyDescent="0.2">
      <c r="A73" s="359" t="s">
        <v>245</v>
      </c>
      <c r="B73" s="372" t="s">
        <v>261</v>
      </c>
      <c r="C73" s="694" t="s">
        <v>248</v>
      </c>
      <c r="D73" s="361" t="s">
        <v>248</v>
      </c>
      <c r="E73" s="694" t="s">
        <v>248</v>
      </c>
      <c r="F73" s="694" t="s">
        <v>248</v>
      </c>
      <c r="G73" s="694">
        <f>4000*C38/100000</f>
        <v>11220</v>
      </c>
      <c r="H73" s="694">
        <f>G73*0.902</f>
        <v>10120.44</v>
      </c>
      <c r="I73" s="361"/>
    </row>
    <row r="74" spans="1:10" ht="15" customHeight="1" x14ac:dyDescent="0.2">
      <c r="A74" s="359" t="s">
        <v>262</v>
      </c>
      <c r="B74" s="350" t="s">
        <v>263</v>
      </c>
      <c r="C74" s="349"/>
      <c r="D74" s="361"/>
      <c r="I74" s="361"/>
    </row>
    <row r="75" spans="1:10" ht="17.25" customHeight="1" x14ac:dyDescent="0.2">
      <c r="A75" s="694" t="s">
        <v>264</v>
      </c>
      <c r="B75" s="360" t="s">
        <v>265</v>
      </c>
      <c r="C75" s="694" t="s">
        <v>251</v>
      </c>
      <c r="D75" s="361">
        <f>K38/1000</f>
        <v>11220</v>
      </c>
      <c r="E75" s="694">
        <v>30000</v>
      </c>
      <c r="F75" s="694">
        <f>+E75*0.902</f>
        <v>27060</v>
      </c>
      <c r="G75" s="694">
        <f>+D75*E75/100000</f>
        <v>3366</v>
      </c>
      <c r="H75" s="694">
        <f>+D75*F75/100000</f>
        <v>3036.1320000000001</v>
      </c>
      <c r="I75" s="361"/>
    </row>
    <row r="76" spans="1:10" ht="14.25" customHeight="1" x14ac:dyDescent="0.2">
      <c r="A76" s="694" t="s">
        <v>266</v>
      </c>
      <c r="B76" s="360" t="s">
        <v>267</v>
      </c>
      <c r="C76" s="694" t="s">
        <v>251</v>
      </c>
      <c r="D76" s="361">
        <v>0</v>
      </c>
      <c r="E76" s="694">
        <v>30000</v>
      </c>
      <c r="F76" s="694">
        <f>+E76*0.902</f>
        <v>27060</v>
      </c>
      <c r="G76" s="694">
        <f>+D76*E76/100000</f>
        <v>0</v>
      </c>
      <c r="H76" s="694">
        <f>+D76*F76/100000</f>
        <v>0</v>
      </c>
      <c r="J76" s="361"/>
    </row>
    <row r="77" spans="1:10" ht="17.25" customHeight="1" x14ac:dyDescent="0.2">
      <c r="A77" s="694" t="s">
        <v>274</v>
      </c>
      <c r="B77" s="360" t="s">
        <v>280</v>
      </c>
      <c r="C77" s="694" t="s">
        <v>251</v>
      </c>
      <c r="D77" s="361">
        <v>0</v>
      </c>
      <c r="E77" s="694">
        <v>50000</v>
      </c>
      <c r="F77" s="694">
        <f>+E77*0.902</f>
        <v>45100</v>
      </c>
      <c r="G77" s="694">
        <f>+D77*E77/100000</f>
        <v>0</v>
      </c>
      <c r="H77" s="694">
        <f>+D77*F77/100000</f>
        <v>0</v>
      </c>
      <c r="I77" s="361"/>
    </row>
    <row r="78" spans="1:10" ht="17.25" customHeight="1" x14ac:dyDescent="0.2">
      <c r="A78" s="694" t="s">
        <v>268</v>
      </c>
      <c r="B78" s="360" t="s">
        <v>281</v>
      </c>
      <c r="C78" s="694" t="s">
        <v>251</v>
      </c>
      <c r="D78" s="361">
        <v>0</v>
      </c>
      <c r="E78" s="694">
        <v>50000</v>
      </c>
      <c r="F78" s="694">
        <f>+E78*0.902</f>
        <v>45100</v>
      </c>
      <c r="G78" s="694">
        <f>+D78*E78/100000</f>
        <v>0</v>
      </c>
      <c r="H78" s="694">
        <f>+D78*F78/100000</f>
        <v>0</v>
      </c>
      <c r="I78" s="361"/>
    </row>
    <row r="79" spans="1:10" ht="17.25" customHeight="1" x14ac:dyDescent="0.2">
      <c r="A79" s="694" t="s">
        <v>282</v>
      </c>
      <c r="B79" s="360" t="s">
        <v>283</v>
      </c>
      <c r="C79" s="694" t="s">
        <v>251</v>
      </c>
      <c r="D79" s="361">
        <v>0</v>
      </c>
      <c r="E79" s="694">
        <v>20000</v>
      </c>
      <c r="F79" s="694">
        <f>+E79*0.902</f>
        <v>18040</v>
      </c>
      <c r="G79" s="694">
        <f>+D79*E79/100000</f>
        <v>0</v>
      </c>
      <c r="H79" s="694">
        <f>+D79*F79/100000</f>
        <v>0</v>
      </c>
      <c r="I79" s="361"/>
    </row>
    <row r="80" spans="1:10" ht="17.25" customHeight="1" x14ac:dyDescent="0.2">
      <c r="A80" s="359" t="s">
        <v>270</v>
      </c>
      <c r="B80" s="350" t="s">
        <v>271</v>
      </c>
      <c r="D80" s="361"/>
      <c r="I80" s="361"/>
    </row>
    <row r="81" spans="1:9" ht="18" customHeight="1" x14ac:dyDescent="0.2">
      <c r="A81" s="694" t="s">
        <v>264</v>
      </c>
      <c r="B81" s="360" t="s">
        <v>240</v>
      </c>
      <c r="C81" s="694" t="s">
        <v>251</v>
      </c>
      <c r="D81" s="361">
        <f>L38/1000</f>
        <v>84150</v>
      </c>
      <c r="E81" s="694">
        <v>8000</v>
      </c>
      <c r="F81" s="694">
        <f>E81*1.5</f>
        <v>12000</v>
      </c>
      <c r="G81" s="694">
        <f>+D81*E81/100000</f>
        <v>6732</v>
      </c>
      <c r="H81" s="694">
        <f>+D81*F81/100000</f>
        <v>10098</v>
      </c>
      <c r="I81" s="361"/>
    </row>
    <row r="82" spans="1:9" ht="2.25" customHeight="1" x14ac:dyDescent="0.2">
      <c r="A82" s="359"/>
      <c r="B82" s="360"/>
      <c r="C82" s="694" t="s">
        <v>251</v>
      </c>
      <c r="D82" s="361">
        <v>34.61</v>
      </c>
      <c r="E82" s="694">
        <v>22000</v>
      </c>
      <c r="F82" s="694">
        <f>+E82*0.902</f>
        <v>19844</v>
      </c>
      <c r="G82" s="694">
        <f>+D82*E82/100000</f>
        <v>7.6142000000000003</v>
      </c>
      <c r="H82" s="694">
        <f>+D82*F82/100000</f>
        <v>6.8680083999999999</v>
      </c>
      <c r="I82" s="361"/>
    </row>
    <row r="83" spans="1:9" ht="18" customHeight="1" x14ac:dyDescent="0.2">
      <c r="A83" s="694" t="s">
        <v>272</v>
      </c>
      <c r="B83" s="360" t="s">
        <v>273</v>
      </c>
      <c r="C83" s="694" t="s">
        <v>251</v>
      </c>
      <c r="D83" s="361">
        <f>M38/1000</f>
        <v>67320</v>
      </c>
      <c r="E83" s="694">
        <v>22000</v>
      </c>
      <c r="F83" s="694">
        <f>E83*1.5</f>
        <v>33000</v>
      </c>
      <c r="G83" s="694">
        <f>+D83*E83/100000</f>
        <v>14810.4</v>
      </c>
      <c r="H83" s="694">
        <f>+D83*F83/100000</f>
        <v>22215.599999999999</v>
      </c>
      <c r="I83" s="361"/>
    </row>
    <row r="84" spans="1:9" ht="3" customHeight="1" x14ac:dyDescent="0.2">
      <c r="A84" s="359"/>
      <c r="B84" s="360"/>
      <c r="C84" s="694" t="s">
        <v>251</v>
      </c>
      <c r="D84" s="361">
        <v>34.61</v>
      </c>
      <c r="E84" s="694">
        <v>200</v>
      </c>
      <c r="F84" s="694">
        <f>+E84*0.902</f>
        <v>180.4</v>
      </c>
      <c r="G84" s="694">
        <f>+D84*E84/100000</f>
        <v>6.9220000000000004E-2</v>
      </c>
      <c r="H84" s="694">
        <f>+D84*F84/100000</f>
        <v>6.2436440000000003E-2</v>
      </c>
      <c r="I84" s="361"/>
    </row>
    <row r="85" spans="1:9" ht="18" customHeight="1" x14ac:dyDescent="0.2">
      <c r="A85" s="694" t="s">
        <v>274</v>
      </c>
      <c r="B85" s="360" t="s">
        <v>275</v>
      </c>
      <c r="C85" s="694" t="s">
        <v>251</v>
      </c>
      <c r="D85" s="361">
        <f>N38/1000</f>
        <v>42075</v>
      </c>
      <c r="E85" s="694">
        <v>18000</v>
      </c>
      <c r="F85" s="694">
        <f>E85*1.5</f>
        <v>27000</v>
      </c>
      <c r="G85" s="694">
        <f>+D85*E85/100000</f>
        <v>7573.5</v>
      </c>
      <c r="H85" s="694">
        <f>+D85*F85/100000</f>
        <v>11360.25</v>
      </c>
      <c r="I85" s="361"/>
    </row>
    <row r="86" spans="1:9" ht="2.25" customHeight="1" x14ac:dyDescent="0.2">
      <c r="A86" s="359"/>
      <c r="B86" s="360"/>
      <c r="C86" s="349"/>
      <c r="D86" s="361">
        <v>0</v>
      </c>
      <c r="E86" s="694" t="s">
        <v>248</v>
      </c>
      <c r="F86" s="694" t="s">
        <v>248</v>
      </c>
      <c r="I86" s="361"/>
    </row>
    <row r="87" spans="1:9" ht="3.75" hidden="1" customHeight="1" x14ac:dyDescent="0.2">
      <c r="A87" s="359"/>
      <c r="B87" s="360"/>
      <c r="C87" s="349"/>
      <c r="D87" s="361">
        <v>0</v>
      </c>
      <c r="F87" s="694">
        <f>+E87*0.902</f>
        <v>0</v>
      </c>
      <c r="G87" s="694">
        <f>+D87*E87/100000</f>
        <v>0</v>
      </c>
      <c r="H87" s="694">
        <f>+D87*F87/100000</f>
        <v>0</v>
      </c>
      <c r="I87" s="361"/>
    </row>
    <row r="88" spans="1:9" ht="18" customHeight="1" x14ac:dyDescent="0.2">
      <c r="A88" s="359" t="s">
        <v>276</v>
      </c>
      <c r="B88" s="372" t="s">
        <v>277</v>
      </c>
      <c r="C88" s="694" t="s">
        <v>248</v>
      </c>
      <c r="D88" s="361" t="s">
        <v>248</v>
      </c>
      <c r="E88" s="694" t="s">
        <v>248</v>
      </c>
      <c r="F88" s="694" t="s">
        <v>248</v>
      </c>
      <c r="G88" s="694">
        <v>500</v>
      </c>
      <c r="H88" s="694">
        <f>G88*0.902</f>
        <v>451</v>
      </c>
      <c r="I88" s="361"/>
    </row>
    <row r="89" spans="1:9" ht="20.25" customHeight="1" x14ac:dyDescent="0.2">
      <c r="A89" s="359" t="s">
        <v>278</v>
      </c>
      <c r="B89" s="372" t="s">
        <v>279</v>
      </c>
      <c r="C89" s="694" t="s">
        <v>248</v>
      </c>
      <c r="D89" s="361" t="s">
        <v>248</v>
      </c>
      <c r="E89" s="694" t="s">
        <v>248</v>
      </c>
      <c r="F89" s="694" t="s">
        <v>248</v>
      </c>
      <c r="G89" s="694">
        <v>1000</v>
      </c>
      <c r="H89" s="694">
        <f>G89*1.5</f>
        <v>1500</v>
      </c>
      <c r="I89" s="361"/>
    </row>
    <row r="90" spans="1:9" ht="18" customHeight="1" x14ac:dyDescent="0.2">
      <c r="A90" s="373"/>
      <c r="B90" s="366" t="s">
        <v>11</v>
      </c>
      <c r="C90" s="366" t="s">
        <v>248</v>
      </c>
      <c r="D90" s="366" t="s">
        <v>248</v>
      </c>
      <c r="E90" s="366" t="s">
        <v>248</v>
      </c>
      <c r="F90" s="366"/>
      <c r="G90" s="366">
        <f>SUM(G72:G89)</f>
        <v>88687.08342000001</v>
      </c>
      <c r="H90" s="356">
        <f>SUM(H72:H89)</f>
        <v>91396.477444839998</v>
      </c>
    </row>
    <row r="91" spans="1:9" ht="6" customHeight="1" x14ac:dyDescent="0.2"/>
    <row r="92" spans="1:9" ht="18" customHeight="1" x14ac:dyDescent="0.2">
      <c r="B92" s="360" t="s">
        <v>284</v>
      </c>
      <c r="D92" s="361">
        <f>+D72-D55</f>
        <v>19322500</v>
      </c>
      <c r="E92" s="694" t="s">
        <v>285</v>
      </c>
    </row>
    <row r="93" spans="1:9" ht="23.25" hidden="1" customHeight="1" x14ac:dyDescent="0.35">
      <c r="E93" s="375" t="s">
        <v>286</v>
      </c>
    </row>
    <row r="94" spans="1:9" ht="18" hidden="1" customHeight="1" x14ac:dyDescent="0.2">
      <c r="A94" s="376" t="s">
        <v>287</v>
      </c>
      <c r="B94" s="377" t="s">
        <v>288</v>
      </c>
    </row>
    <row r="95" spans="1:9" ht="18" hidden="1" customHeight="1" x14ac:dyDescent="0.2">
      <c r="B95" s="352"/>
    </row>
    <row r="96" spans="1:9" ht="15" hidden="1" customHeight="1" x14ac:dyDescent="0.2">
      <c r="A96" s="369" t="s">
        <v>229</v>
      </c>
      <c r="B96" s="370" t="s">
        <v>256</v>
      </c>
      <c r="C96" s="369"/>
      <c r="D96" s="370"/>
      <c r="E96" s="370" t="s">
        <v>215</v>
      </c>
      <c r="F96" s="369"/>
      <c r="G96" s="370"/>
      <c r="H96" s="370" t="s">
        <v>217</v>
      </c>
      <c r="I96" s="370"/>
    </row>
    <row r="97" spans="1:9" ht="13.5" hidden="1" customHeight="1" x14ac:dyDescent="0.2">
      <c r="A97" s="378" t="s">
        <v>160</v>
      </c>
      <c r="B97" s="379"/>
      <c r="C97" s="378"/>
      <c r="D97" s="379"/>
      <c r="E97" s="379"/>
      <c r="F97" s="378"/>
      <c r="G97" s="379"/>
      <c r="H97" s="379"/>
      <c r="I97" s="379"/>
    </row>
    <row r="98" spans="1:9" ht="18" hidden="1" customHeight="1" x14ac:dyDescent="0.2">
      <c r="A98" s="380" t="s">
        <v>243</v>
      </c>
      <c r="B98" s="360" t="s">
        <v>289</v>
      </c>
    </row>
    <row r="99" spans="1:9" ht="18" hidden="1" customHeight="1" x14ac:dyDescent="0.2">
      <c r="A99" s="359" t="s">
        <v>245</v>
      </c>
      <c r="B99" s="360" t="s">
        <v>290</v>
      </c>
    </row>
    <row r="100" spans="1:9" ht="18" hidden="1" customHeight="1" x14ac:dyDescent="0.2">
      <c r="A100" s="359" t="s">
        <v>262</v>
      </c>
      <c r="B100" s="360" t="s">
        <v>291</v>
      </c>
    </row>
    <row r="101" spans="1:9" ht="18" hidden="1" customHeight="1" x14ac:dyDescent="0.2">
      <c r="A101" s="359" t="s">
        <v>270</v>
      </c>
      <c r="B101" s="360" t="s">
        <v>15</v>
      </c>
    </row>
    <row r="102" spans="1:9" ht="18" hidden="1" customHeight="1" x14ac:dyDescent="0.2">
      <c r="A102" s="356" t="s">
        <v>292</v>
      </c>
      <c r="B102" s="381"/>
      <c r="C102" s="356"/>
      <c r="D102" s="373"/>
      <c r="E102" s="356">
        <f>SUM(E98:E101)</f>
        <v>0</v>
      </c>
      <c r="F102" s="366"/>
      <c r="G102" s="356"/>
      <c r="H102" s="356">
        <f>SUM(H98:H101)</f>
        <v>0</v>
      </c>
      <c r="I102" s="356"/>
    </row>
    <row r="103" spans="1:9" ht="18" hidden="1" customHeight="1" x14ac:dyDescent="0.2">
      <c r="A103" s="360" t="s">
        <v>293</v>
      </c>
      <c r="B103" s="382"/>
      <c r="C103" s="383"/>
      <c r="D103" s="384"/>
      <c r="E103" s="383"/>
      <c r="F103" s="385"/>
      <c r="G103" s="383"/>
      <c r="H103" s="383"/>
    </row>
    <row r="104" spans="1:9" ht="18" hidden="1" customHeight="1" x14ac:dyDescent="0.2">
      <c r="B104" s="379" t="s">
        <v>294</v>
      </c>
      <c r="C104" s="379"/>
      <c r="D104" s="386"/>
      <c r="E104" s="379">
        <f>+E102*74800*0.00001</f>
        <v>0</v>
      </c>
      <c r="F104" s="378"/>
      <c r="G104" s="379"/>
      <c r="H104" s="379">
        <f>+H102*74800*0.00001</f>
        <v>0</v>
      </c>
      <c r="I104" s="379"/>
    </row>
    <row r="105" spans="1:9" ht="12" hidden="1" customHeight="1" x14ac:dyDescent="0.2"/>
    <row r="106" spans="1:9" ht="18" hidden="1" customHeight="1" x14ac:dyDescent="0.2">
      <c r="A106" s="376" t="s">
        <v>295</v>
      </c>
      <c r="B106" s="377" t="s">
        <v>296</v>
      </c>
    </row>
    <row r="107" spans="1:9" ht="18" hidden="1" customHeight="1" x14ac:dyDescent="0.2">
      <c r="B107" s="352"/>
    </row>
    <row r="108" spans="1:9" ht="15" hidden="1" customHeight="1" x14ac:dyDescent="0.2">
      <c r="A108" s="369" t="s">
        <v>229</v>
      </c>
      <c r="B108" s="370" t="s">
        <v>256</v>
      </c>
      <c r="C108" s="369"/>
      <c r="D108" s="370"/>
      <c r="E108" s="370" t="s">
        <v>215</v>
      </c>
      <c r="F108" s="369"/>
      <c r="G108" s="370"/>
      <c r="H108" s="370" t="s">
        <v>217</v>
      </c>
      <c r="I108" s="370"/>
    </row>
    <row r="109" spans="1:9" ht="14.25" hidden="1" customHeight="1" x14ac:dyDescent="0.2">
      <c r="A109" s="378" t="s">
        <v>160</v>
      </c>
      <c r="B109" s="379"/>
      <c r="C109" s="378"/>
      <c r="D109" s="379"/>
      <c r="E109" s="379"/>
      <c r="F109" s="378"/>
      <c r="G109" s="379"/>
      <c r="H109" s="379"/>
      <c r="I109" s="379"/>
    </row>
    <row r="110" spans="1:9" ht="18" hidden="1" customHeight="1" x14ac:dyDescent="0.2">
      <c r="A110" s="380" t="s">
        <v>243</v>
      </c>
      <c r="B110" s="360" t="s">
        <v>289</v>
      </c>
    </row>
    <row r="111" spans="1:9" ht="18" hidden="1" customHeight="1" x14ac:dyDescent="0.2">
      <c r="A111" s="359" t="s">
        <v>245</v>
      </c>
      <c r="B111" s="360" t="s">
        <v>290</v>
      </c>
    </row>
    <row r="112" spans="1:9" ht="18" hidden="1" customHeight="1" x14ac:dyDescent="0.2">
      <c r="A112" s="359" t="s">
        <v>262</v>
      </c>
      <c r="B112" s="360" t="s">
        <v>291</v>
      </c>
    </row>
    <row r="113" spans="1:9" ht="18" hidden="1" customHeight="1" x14ac:dyDescent="0.2">
      <c r="A113" s="359" t="s">
        <v>270</v>
      </c>
      <c r="B113" s="360" t="s">
        <v>15</v>
      </c>
    </row>
    <row r="114" spans="1:9" ht="18" hidden="1" customHeight="1" x14ac:dyDescent="0.2">
      <c r="A114" s="356" t="s">
        <v>292</v>
      </c>
      <c r="B114" s="381"/>
      <c r="C114" s="356"/>
      <c r="D114" s="373"/>
      <c r="E114" s="356">
        <f>SUM(E110:E113)</f>
        <v>0</v>
      </c>
      <c r="F114" s="366"/>
      <c r="G114" s="356"/>
      <c r="H114" s="356">
        <f>SUM(H110:H113)</f>
        <v>0</v>
      </c>
      <c r="I114" s="356"/>
    </row>
    <row r="115" spans="1:9" ht="18" hidden="1" customHeight="1" x14ac:dyDescent="0.2">
      <c r="A115" s="360" t="s">
        <v>293</v>
      </c>
      <c r="B115" s="382"/>
      <c r="C115" s="383"/>
      <c r="D115" s="384"/>
      <c r="E115" s="383"/>
      <c r="F115" s="385"/>
      <c r="G115" s="383"/>
      <c r="H115" s="383"/>
    </row>
    <row r="116" spans="1:9" ht="18" hidden="1" customHeight="1" x14ac:dyDescent="0.2">
      <c r="B116" s="379" t="s">
        <v>294</v>
      </c>
      <c r="C116" s="379"/>
      <c r="D116" s="386"/>
      <c r="E116" s="379">
        <f>+E114*74800*0.00001</f>
        <v>0</v>
      </c>
      <c r="F116" s="378"/>
      <c r="G116" s="379"/>
      <c r="H116" s="379">
        <f>+H114*74800*0.00001</f>
        <v>0</v>
      </c>
      <c r="I116" s="379"/>
    </row>
    <row r="117" spans="1:9" ht="15.75" customHeight="1" x14ac:dyDescent="0.2"/>
    <row r="118" spans="1:9" ht="15.75" customHeight="1" x14ac:dyDescent="0.2"/>
    <row r="119" spans="1:9" ht="15.75" customHeight="1" x14ac:dyDescent="0.2"/>
    <row r="120" spans="1:9" ht="15.75" customHeight="1" x14ac:dyDescent="0.2"/>
    <row r="121" spans="1:9" ht="15.75" customHeight="1" x14ac:dyDescent="0.2"/>
    <row r="122" spans="1:9" ht="15.75" customHeight="1" x14ac:dyDescent="0.2"/>
    <row r="123" spans="1:9" ht="15.75" customHeight="1" x14ac:dyDescent="0.2"/>
    <row r="124" spans="1:9" ht="27.75" customHeight="1" x14ac:dyDescent="0.3">
      <c r="A124" s="796" t="s">
        <v>297</v>
      </c>
      <c r="B124" s="797"/>
      <c r="C124" s="797"/>
      <c r="D124" s="797"/>
      <c r="E124" s="797"/>
      <c r="F124" s="797"/>
      <c r="G124" s="797"/>
      <c r="H124" s="797"/>
    </row>
    <row r="125" spans="1:9" ht="6" customHeight="1" x14ac:dyDescent="0.2"/>
    <row r="126" spans="1:9" ht="15" customHeight="1" x14ac:dyDescent="0.2">
      <c r="A126" s="376" t="s">
        <v>287</v>
      </c>
      <c r="B126" s="350" t="s">
        <v>252</v>
      </c>
    </row>
    <row r="127" spans="1:9" ht="3.75" customHeight="1" x14ac:dyDescent="0.2"/>
    <row r="128" spans="1:9" ht="16.5" customHeight="1" x14ac:dyDescent="0.2">
      <c r="A128" s="376"/>
      <c r="B128" s="350"/>
      <c r="E128" s="379" t="s">
        <v>215</v>
      </c>
      <c r="F128" s="387"/>
      <c r="H128" s="379" t="s">
        <v>217</v>
      </c>
    </row>
    <row r="129" spans="1:8" ht="6" customHeight="1" x14ac:dyDescent="0.2"/>
    <row r="130" spans="1:8" ht="15" customHeight="1" x14ac:dyDescent="0.2">
      <c r="A130" s="359" t="s">
        <v>243</v>
      </c>
      <c r="B130" s="360" t="s">
        <v>298</v>
      </c>
      <c r="E130" s="694">
        <f>+H38</f>
        <v>154275</v>
      </c>
      <c r="H130" s="694">
        <f>+I38</f>
        <v>155046.37499999997</v>
      </c>
    </row>
    <row r="131" spans="1:8" ht="5.25" customHeight="1" x14ac:dyDescent="0.2"/>
    <row r="132" spans="1:8" ht="18" customHeight="1" x14ac:dyDescent="0.2">
      <c r="A132" s="359" t="s">
        <v>245</v>
      </c>
      <c r="B132" s="388" t="s">
        <v>299</v>
      </c>
    </row>
    <row r="133" spans="1:8" ht="5.25" customHeight="1" x14ac:dyDescent="0.2"/>
    <row r="134" spans="1:8" ht="15" customHeight="1" x14ac:dyDescent="0.2">
      <c r="B134" s="360" t="s">
        <v>300</v>
      </c>
      <c r="E134" s="694">
        <f>+G90</f>
        <v>88687.08342000001</v>
      </c>
      <c r="H134" s="694">
        <f>+H90</f>
        <v>91396.477444839998</v>
      </c>
    </row>
    <row r="135" spans="1:8" ht="18" customHeight="1" x14ac:dyDescent="0.2">
      <c r="B135" s="360" t="s">
        <v>301</v>
      </c>
      <c r="E135" s="694">
        <f>+E116*1</f>
        <v>0</v>
      </c>
      <c r="H135" s="694">
        <f>+H116*1</f>
        <v>0</v>
      </c>
    </row>
    <row r="136" spans="1:8" ht="2.25" customHeight="1" x14ac:dyDescent="0.2"/>
    <row r="137" spans="1:8" ht="15" customHeight="1" x14ac:dyDescent="0.2">
      <c r="A137" s="359" t="s">
        <v>262</v>
      </c>
      <c r="B137" s="360" t="s">
        <v>302</v>
      </c>
      <c r="E137" s="694">
        <f>E130-E134</f>
        <v>65587.91657999999</v>
      </c>
      <c r="H137" s="694">
        <f>H130-H134</f>
        <v>63649.897555159972</v>
      </c>
    </row>
    <row r="138" spans="1:8" ht="12" customHeight="1" x14ac:dyDescent="0.2"/>
    <row r="139" spans="1:8" ht="18" customHeight="1" x14ac:dyDescent="0.2">
      <c r="A139" s="376" t="s">
        <v>295</v>
      </c>
      <c r="B139" s="372" t="s">
        <v>228</v>
      </c>
    </row>
    <row r="140" spans="1:8" ht="3.75" customHeight="1" x14ac:dyDescent="0.2"/>
    <row r="141" spans="1:8" ht="15.75" customHeight="1" x14ac:dyDescent="0.2">
      <c r="A141" s="359" t="s">
        <v>243</v>
      </c>
      <c r="B141" s="360" t="s">
        <v>298</v>
      </c>
      <c r="E141" s="694">
        <f>+H11*1</f>
        <v>71450</v>
      </c>
      <c r="H141" s="694">
        <f>+I11*1</f>
        <v>71807.249999999985</v>
      </c>
    </row>
    <row r="142" spans="1:8" ht="5.25" customHeight="1" x14ac:dyDescent="0.2"/>
    <row r="143" spans="1:8" ht="15.75" customHeight="1" x14ac:dyDescent="0.2">
      <c r="A143" s="359" t="s">
        <v>245</v>
      </c>
      <c r="B143" s="388" t="s">
        <v>299</v>
      </c>
      <c r="E143" s="389"/>
      <c r="F143" s="383"/>
      <c r="G143" s="383"/>
      <c r="H143" s="383"/>
    </row>
    <row r="144" spans="1:8" ht="5.25" customHeight="1" x14ac:dyDescent="0.2"/>
    <row r="145" spans="1:10" ht="15.75" customHeight="1" x14ac:dyDescent="0.2">
      <c r="B145" s="360" t="s">
        <v>300</v>
      </c>
      <c r="E145" s="694">
        <f>+G67*1</f>
        <v>49526.400000000001</v>
      </c>
      <c r="H145" s="694">
        <f>+H67*1</f>
        <v>50705.238000000005</v>
      </c>
    </row>
    <row r="146" spans="1:10" ht="15.75" customHeight="1" x14ac:dyDescent="0.2">
      <c r="B146" s="360" t="s">
        <v>301</v>
      </c>
      <c r="E146" s="694">
        <f>+E104*1</f>
        <v>0</v>
      </c>
      <c r="H146" s="694">
        <f>+H104*1</f>
        <v>0</v>
      </c>
    </row>
    <row r="147" spans="1:10" ht="6" customHeight="1" x14ac:dyDescent="0.2"/>
    <row r="148" spans="1:10" ht="15.75" customHeight="1" x14ac:dyDescent="0.2">
      <c r="A148" s="359" t="s">
        <v>262</v>
      </c>
      <c r="B148" s="360" t="s">
        <v>303</v>
      </c>
      <c r="E148" s="694">
        <f>E141-E145</f>
        <v>21923.599999999999</v>
      </c>
      <c r="H148" s="694">
        <f>H141-H145</f>
        <v>21102.011999999981</v>
      </c>
    </row>
    <row r="149" spans="1:10" ht="6" customHeight="1" x14ac:dyDescent="0.2"/>
    <row r="150" spans="1:10" ht="31.5" customHeight="1" x14ac:dyDescent="0.2">
      <c r="A150" s="376" t="s">
        <v>304</v>
      </c>
      <c r="B150" s="798" t="s">
        <v>305</v>
      </c>
      <c r="C150" s="797"/>
      <c r="D150" s="797"/>
      <c r="E150" s="376">
        <f>+E137-E148</f>
        <v>43664.316579999992</v>
      </c>
      <c r="F150" s="376"/>
      <c r="G150" s="376"/>
      <c r="H150" s="376">
        <f>+H137-H148</f>
        <v>42547.885555159992</v>
      </c>
      <c r="J150" s="376"/>
    </row>
    <row r="151" spans="1:10" ht="15.75" customHeight="1" x14ac:dyDescent="0.2">
      <c r="A151" s="376"/>
      <c r="B151" s="372"/>
      <c r="C151" s="376"/>
      <c r="D151" s="376"/>
      <c r="E151" s="376"/>
      <c r="F151" s="376"/>
      <c r="G151" s="376"/>
      <c r="H151" s="376"/>
      <c r="J151" s="376"/>
    </row>
    <row r="152" spans="1:10" ht="15.75" customHeight="1" x14ac:dyDescent="0.2">
      <c r="A152" s="376"/>
      <c r="B152" s="372"/>
      <c r="C152" s="376"/>
      <c r="D152" s="376"/>
      <c r="E152" s="376"/>
      <c r="F152" s="376"/>
      <c r="G152" s="376"/>
      <c r="H152" s="376"/>
      <c r="J152" s="376"/>
    </row>
    <row r="153" spans="1:10" ht="15.75" customHeight="1" x14ac:dyDescent="0.2">
      <c r="A153" s="376"/>
      <c r="B153" s="372"/>
      <c r="C153" s="376"/>
      <c r="D153" s="376"/>
      <c r="E153" s="376"/>
      <c r="F153" s="376"/>
      <c r="G153" s="376"/>
      <c r="H153" s="376"/>
      <c r="J153" s="376"/>
    </row>
    <row r="154" spans="1:10" ht="18" customHeight="1" x14ac:dyDescent="0.2">
      <c r="A154" s="361"/>
    </row>
    <row r="155" spans="1:10" ht="18" customHeight="1" x14ac:dyDescent="0.2">
      <c r="A155" s="361"/>
    </row>
    <row r="156" spans="1:10" ht="18" customHeight="1" x14ac:dyDescent="0.2">
      <c r="A156" s="361"/>
    </row>
    <row r="157" spans="1:10" ht="18" customHeight="1" x14ac:dyDescent="0.2">
      <c r="A157" s="361"/>
    </row>
    <row r="158" spans="1:10" ht="18" customHeight="1" x14ac:dyDescent="0.2">
      <c r="A158" s="361"/>
    </row>
    <row r="159" spans="1:10" ht="18" customHeight="1" x14ac:dyDescent="0.2">
      <c r="A159" s="361"/>
    </row>
    <row r="160" spans="1:10" ht="18" customHeight="1" x14ac:dyDescent="0.2">
      <c r="A160" s="361"/>
    </row>
    <row r="161" spans="1:1" ht="18" customHeight="1" x14ac:dyDescent="0.2">
      <c r="A161" s="361"/>
    </row>
    <row r="162" spans="1:1" ht="18" customHeight="1" x14ac:dyDescent="0.2">
      <c r="A162" s="361"/>
    </row>
    <row r="163" spans="1:1" ht="18" customHeight="1" x14ac:dyDescent="0.2">
      <c r="A163" s="361"/>
    </row>
    <row r="164" spans="1:1" ht="18" customHeight="1" x14ac:dyDescent="0.2">
      <c r="A164" s="361"/>
    </row>
    <row r="165" spans="1:1" ht="18" customHeight="1" x14ac:dyDescent="0.2">
      <c r="A165" s="361"/>
    </row>
    <row r="166" spans="1:1" ht="18" customHeight="1" x14ac:dyDescent="0.2">
      <c r="A166" s="361"/>
    </row>
    <row r="167" spans="1:1" ht="18" customHeight="1" x14ac:dyDescent="0.2">
      <c r="A167" s="361"/>
    </row>
    <row r="168" spans="1:1" ht="18" customHeight="1" x14ac:dyDescent="0.2">
      <c r="A168" s="361"/>
    </row>
    <row r="169" spans="1:1" ht="18" customHeight="1" x14ac:dyDescent="0.2">
      <c r="A169" s="361"/>
    </row>
    <row r="170" spans="1:1" ht="18" customHeight="1" x14ac:dyDescent="0.2">
      <c r="A170" s="361"/>
    </row>
    <row r="171" spans="1:1" ht="18" customHeight="1" x14ac:dyDescent="0.2">
      <c r="A171" s="361"/>
    </row>
    <row r="172" spans="1:1" ht="18" customHeight="1" x14ac:dyDescent="0.2">
      <c r="A172" s="361"/>
    </row>
    <row r="173" spans="1:1" ht="18" customHeight="1" x14ac:dyDescent="0.2">
      <c r="A173" s="361"/>
    </row>
    <row r="174" spans="1:1" ht="18" customHeight="1" x14ac:dyDescent="0.2">
      <c r="A174" s="361"/>
    </row>
    <row r="175" spans="1:1" ht="18" customHeight="1" x14ac:dyDescent="0.2">
      <c r="A175" s="361"/>
    </row>
    <row r="176" spans="1:1" ht="18" customHeight="1" x14ac:dyDescent="0.2">
      <c r="A176" s="361"/>
    </row>
    <row r="177" spans="1:1" ht="18" customHeight="1" x14ac:dyDescent="0.2">
      <c r="A177" s="361"/>
    </row>
    <row r="178" spans="1:1" ht="18" customHeight="1" x14ac:dyDescent="0.2">
      <c r="A178" s="361"/>
    </row>
    <row r="179" spans="1:1" ht="18" customHeight="1" x14ac:dyDescent="0.2">
      <c r="A179" s="361"/>
    </row>
    <row r="180" spans="1:1" ht="18" customHeight="1" x14ac:dyDescent="0.2">
      <c r="A180" s="361"/>
    </row>
    <row r="181" spans="1:1" ht="18" customHeight="1" x14ac:dyDescent="0.2">
      <c r="A181" s="361"/>
    </row>
    <row r="182" spans="1:1" ht="18" customHeight="1" x14ac:dyDescent="0.2">
      <c r="A182" s="361"/>
    </row>
    <row r="183" spans="1:1" ht="18" customHeight="1" x14ac:dyDescent="0.2">
      <c r="A183" s="361"/>
    </row>
    <row r="184" spans="1:1" ht="18" customHeight="1" x14ac:dyDescent="0.2">
      <c r="A184" s="361"/>
    </row>
    <row r="185" spans="1:1" ht="18" customHeight="1" x14ac:dyDescent="0.2">
      <c r="A185" s="361"/>
    </row>
    <row r="186" spans="1:1" ht="18" customHeight="1" x14ac:dyDescent="0.2">
      <c r="A186" s="361"/>
    </row>
    <row r="187" spans="1:1" ht="18" customHeight="1" x14ac:dyDescent="0.2">
      <c r="A187" s="361"/>
    </row>
    <row r="188" spans="1:1" ht="18" customHeight="1" x14ac:dyDescent="0.2">
      <c r="A188" s="361"/>
    </row>
    <row r="189" spans="1:1" ht="18" customHeight="1" x14ac:dyDescent="0.2">
      <c r="A189" s="361"/>
    </row>
    <row r="190" spans="1:1" ht="18" customHeight="1" x14ac:dyDescent="0.2">
      <c r="A190" s="361"/>
    </row>
    <row r="191" spans="1:1" ht="18" customHeight="1" x14ac:dyDescent="0.2">
      <c r="A191" s="361"/>
    </row>
    <row r="192" spans="1:1" ht="18" customHeight="1" x14ac:dyDescent="0.2">
      <c r="A192" s="361"/>
    </row>
    <row r="193" spans="1:1" ht="18" customHeight="1" x14ac:dyDescent="0.2">
      <c r="A193" s="361"/>
    </row>
    <row r="194" spans="1:1" ht="18" customHeight="1" x14ac:dyDescent="0.2">
      <c r="A194" s="361"/>
    </row>
    <row r="195" spans="1:1" ht="18" customHeight="1" x14ac:dyDescent="0.2">
      <c r="A195" s="361"/>
    </row>
    <row r="196" spans="1:1" ht="18" customHeight="1" x14ac:dyDescent="0.2">
      <c r="A196" s="361"/>
    </row>
    <row r="197" spans="1:1" ht="18" customHeight="1" x14ac:dyDescent="0.2">
      <c r="A197" s="361"/>
    </row>
    <row r="198" spans="1:1" ht="18" customHeight="1" x14ac:dyDescent="0.2">
      <c r="A198" s="361"/>
    </row>
    <row r="199" spans="1:1" ht="18" customHeight="1" x14ac:dyDescent="0.2">
      <c r="A199" s="361"/>
    </row>
    <row r="200" spans="1:1" ht="18" customHeight="1" x14ac:dyDescent="0.2">
      <c r="A200" s="361"/>
    </row>
    <row r="201" spans="1:1" ht="18" customHeight="1" x14ac:dyDescent="0.2">
      <c r="A201" s="361"/>
    </row>
    <row r="202" spans="1:1" ht="18" customHeight="1" x14ac:dyDescent="0.2">
      <c r="A202" s="361"/>
    </row>
    <row r="203" spans="1:1" ht="18" customHeight="1" x14ac:dyDescent="0.2">
      <c r="A203" s="361"/>
    </row>
    <row r="204" spans="1:1" ht="18" customHeight="1" x14ac:dyDescent="0.2">
      <c r="A204" s="361"/>
    </row>
    <row r="205" spans="1:1" ht="18" customHeight="1" x14ac:dyDescent="0.2">
      <c r="A205" s="361"/>
    </row>
    <row r="206" spans="1:1" ht="18" customHeight="1" x14ac:dyDescent="0.2">
      <c r="A206" s="361"/>
    </row>
    <row r="207" spans="1:1" ht="18" customHeight="1" x14ac:dyDescent="0.2">
      <c r="A207" s="361"/>
    </row>
    <row r="208" spans="1:1" ht="18" customHeight="1" x14ac:dyDescent="0.2">
      <c r="A208" s="361"/>
    </row>
    <row r="209" spans="1:1" ht="18" customHeight="1" x14ac:dyDescent="0.2">
      <c r="A209" s="361"/>
    </row>
    <row r="210" spans="1:1" ht="18" customHeight="1" x14ac:dyDescent="0.2">
      <c r="A210" s="361"/>
    </row>
    <row r="211" spans="1:1" ht="18" customHeight="1" x14ac:dyDescent="0.2">
      <c r="A211" s="361"/>
    </row>
    <row r="212" spans="1:1" ht="18" customHeight="1" x14ac:dyDescent="0.2">
      <c r="A212" s="361"/>
    </row>
    <row r="213" spans="1:1" ht="18" customHeight="1" x14ac:dyDescent="0.2">
      <c r="A213" s="361"/>
    </row>
    <row r="214" spans="1:1" ht="18" customHeight="1" x14ac:dyDescent="0.2">
      <c r="A214" s="361"/>
    </row>
    <row r="215" spans="1:1" ht="18" customHeight="1" x14ac:dyDescent="0.2">
      <c r="A215" s="361"/>
    </row>
    <row r="216" spans="1:1" ht="18" customHeight="1" x14ac:dyDescent="0.2">
      <c r="A216" s="361"/>
    </row>
    <row r="217" spans="1:1" ht="18" customHeight="1" x14ac:dyDescent="0.2">
      <c r="A217" s="361"/>
    </row>
    <row r="218" spans="1:1" ht="18" customHeight="1" x14ac:dyDescent="0.2">
      <c r="A218" s="361"/>
    </row>
    <row r="219" spans="1:1" ht="18" customHeight="1" x14ac:dyDescent="0.2">
      <c r="A219" s="361"/>
    </row>
    <row r="220" spans="1:1" ht="18" customHeight="1" x14ac:dyDescent="0.2">
      <c r="A220" s="361"/>
    </row>
    <row r="221" spans="1:1" ht="18" customHeight="1" x14ac:dyDescent="0.2">
      <c r="A221" s="361"/>
    </row>
    <row r="222" spans="1:1" ht="18" customHeight="1" x14ac:dyDescent="0.2">
      <c r="A222" s="361"/>
    </row>
    <row r="223" spans="1:1" ht="18" customHeight="1" x14ac:dyDescent="0.2">
      <c r="A223" s="361"/>
    </row>
    <row r="224" spans="1:1" ht="18" customHeight="1" x14ac:dyDescent="0.2">
      <c r="A224" s="361"/>
    </row>
    <row r="225" spans="1:1" ht="18" customHeight="1" x14ac:dyDescent="0.2">
      <c r="A225" s="361"/>
    </row>
    <row r="226" spans="1:1" ht="18" customHeight="1" x14ac:dyDescent="0.2">
      <c r="A226" s="361"/>
    </row>
    <row r="227" spans="1:1" ht="18" customHeight="1" x14ac:dyDescent="0.2">
      <c r="A227" s="361"/>
    </row>
    <row r="228" spans="1:1" ht="18" customHeight="1" x14ac:dyDescent="0.2">
      <c r="A228" s="361"/>
    </row>
    <row r="229" spans="1:1" ht="18" customHeight="1" x14ac:dyDescent="0.2">
      <c r="A229" s="361"/>
    </row>
    <row r="230" spans="1:1" ht="18" customHeight="1" x14ac:dyDescent="0.2">
      <c r="A230" s="361"/>
    </row>
    <row r="231" spans="1:1" ht="18" customHeight="1" x14ac:dyDescent="0.2">
      <c r="A231" s="361"/>
    </row>
    <row r="232" spans="1:1" ht="18" customHeight="1" x14ac:dyDescent="0.2">
      <c r="A232" s="361"/>
    </row>
    <row r="233" spans="1:1" ht="18" customHeight="1" x14ac:dyDescent="0.2">
      <c r="A233" s="361"/>
    </row>
    <row r="234" spans="1:1" ht="18" customHeight="1" x14ac:dyDescent="0.2">
      <c r="A234" s="361"/>
    </row>
    <row r="235" spans="1:1" ht="18" customHeight="1" x14ac:dyDescent="0.2">
      <c r="A235" s="361"/>
    </row>
    <row r="236" spans="1:1" ht="18" customHeight="1" x14ac:dyDescent="0.2">
      <c r="A236" s="361"/>
    </row>
    <row r="237" spans="1:1" ht="18" customHeight="1" x14ac:dyDescent="0.2">
      <c r="A237" s="361"/>
    </row>
    <row r="238" spans="1:1" ht="18" customHeight="1" x14ac:dyDescent="0.2">
      <c r="A238" s="361"/>
    </row>
    <row r="239" spans="1:1" ht="18" customHeight="1" x14ac:dyDescent="0.2">
      <c r="A239" s="361"/>
    </row>
    <row r="240" spans="1:1" ht="18" customHeight="1" x14ac:dyDescent="0.2">
      <c r="A240" s="361"/>
    </row>
    <row r="241" spans="1:1" ht="18" customHeight="1" x14ac:dyDescent="0.2">
      <c r="A241" s="361"/>
    </row>
    <row r="242" spans="1:1" ht="18" customHeight="1" x14ac:dyDescent="0.2">
      <c r="A242" s="361"/>
    </row>
    <row r="243" spans="1:1" ht="18" customHeight="1" x14ac:dyDescent="0.2">
      <c r="A243" s="361"/>
    </row>
    <row r="244" spans="1:1" ht="18" customHeight="1" x14ac:dyDescent="0.2">
      <c r="A244" s="361"/>
    </row>
    <row r="245" spans="1:1" ht="18" customHeight="1" x14ac:dyDescent="0.2">
      <c r="A245" s="361"/>
    </row>
    <row r="246" spans="1:1" ht="18" customHeight="1" x14ac:dyDescent="0.2">
      <c r="A246" s="361"/>
    </row>
    <row r="247" spans="1:1" ht="18" customHeight="1" x14ac:dyDescent="0.2">
      <c r="A247" s="361"/>
    </row>
    <row r="248" spans="1:1" ht="18" customHeight="1" x14ac:dyDescent="0.2">
      <c r="A248" s="361"/>
    </row>
    <row r="249" spans="1:1" ht="18" customHeight="1" x14ac:dyDescent="0.2">
      <c r="A249" s="361"/>
    </row>
    <row r="250" spans="1:1" ht="18" customHeight="1" x14ac:dyDescent="0.2">
      <c r="A250" s="361"/>
    </row>
    <row r="251" spans="1:1" ht="18" customHeight="1" x14ac:dyDescent="0.2">
      <c r="A251" s="361"/>
    </row>
    <row r="252" spans="1:1" ht="18" customHeight="1" x14ac:dyDescent="0.2">
      <c r="A252" s="361"/>
    </row>
    <row r="253" spans="1:1" ht="18" customHeight="1" x14ac:dyDescent="0.2">
      <c r="A253" s="361"/>
    </row>
    <row r="254" spans="1:1" ht="18" customHeight="1" x14ac:dyDescent="0.2">
      <c r="A254" s="361"/>
    </row>
    <row r="255" spans="1:1" ht="18" customHeight="1" x14ac:dyDescent="0.2">
      <c r="A255" s="361"/>
    </row>
    <row r="256" spans="1:1" ht="18" customHeight="1" x14ac:dyDescent="0.2">
      <c r="A256" s="361"/>
    </row>
    <row r="257" spans="1:1" ht="18" customHeight="1" x14ac:dyDescent="0.2">
      <c r="A257" s="361"/>
    </row>
    <row r="258" spans="1:1" ht="18" customHeight="1" x14ac:dyDescent="0.2">
      <c r="A258" s="361"/>
    </row>
    <row r="259" spans="1:1" ht="18" customHeight="1" x14ac:dyDescent="0.2">
      <c r="A259" s="361"/>
    </row>
    <row r="260" spans="1:1" ht="18" customHeight="1" x14ac:dyDescent="0.2">
      <c r="A260" s="361"/>
    </row>
    <row r="261" spans="1:1" ht="18" customHeight="1" x14ac:dyDescent="0.2">
      <c r="A261" s="361"/>
    </row>
    <row r="262" spans="1:1" ht="18" customHeight="1" x14ac:dyDescent="0.2">
      <c r="A262" s="361"/>
    </row>
    <row r="263" spans="1:1" ht="18" customHeight="1" x14ac:dyDescent="0.2">
      <c r="A263" s="361"/>
    </row>
    <row r="264" spans="1:1" ht="18" customHeight="1" x14ac:dyDescent="0.2">
      <c r="A264" s="361"/>
    </row>
    <row r="265" spans="1:1" ht="18" customHeight="1" x14ac:dyDescent="0.2">
      <c r="A265" s="361"/>
    </row>
    <row r="266" spans="1:1" ht="18" customHeight="1" x14ac:dyDescent="0.2">
      <c r="A266" s="361"/>
    </row>
    <row r="267" spans="1:1" ht="18" customHeight="1" x14ac:dyDescent="0.2">
      <c r="A267" s="361"/>
    </row>
    <row r="268" spans="1:1" ht="18" customHeight="1" x14ac:dyDescent="0.2">
      <c r="A268" s="361"/>
    </row>
    <row r="269" spans="1:1" ht="18" customHeight="1" x14ac:dyDescent="0.2">
      <c r="A269" s="361"/>
    </row>
    <row r="270" spans="1:1" ht="18" customHeight="1" x14ac:dyDescent="0.2">
      <c r="A270" s="361"/>
    </row>
    <row r="271" spans="1:1" ht="18" customHeight="1" x14ac:dyDescent="0.2">
      <c r="A271" s="361"/>
    </row>
    <row r="272" spans="1:1" ht="18" customHeight="1" x14ac:dyDescent="0.2">
      <c r="A272" s="361"/>
    </row>
    <row r="273" spans="1:1" ht="18" customHeight="1" x14ac:dyDescent="0.2">
      <c r="A273" s="361"/>
    </row>
    <row r="274" spans="1:1" ht="18" customHeight="1" x14ac:dyDescent="0.2">
      <c r="A274" s="361"/>
    </row>
    <row r="275" spans="1:1" ht="18" customHeight="1" x14ac:dyDescent="0.2">
      <c r="A275" s="361"/>
    </row>
    <row r="276" spans="1:1" ht="18" customHeight="1" x14ac:dyDescent="0.2">
      <c r="A276" s="361"/>
    </row>
    <row r="277" spans="1:1" ht="18" customHeight="1" x14ac:dyDescent="0.2">
      <c r="A277" s="361"/>
    </row>
    <row r="278" spans="1:1" ht="18" customHeight="1" x14ac:dyDescent="0.2">
      <c r="A278" s="361"/>
    </row>
    <row r="279" spans="1:1" ht="18" customHeight="1" x14ac:dyDescent="0.2">
      <c r="A279" s="361"/>
    </row>
    <row r="280" spans="1:1" ht="18" customHeight="1" x14ac:dyDescent="0.2">
      <c r="A280" s="361"/>
    </row>
    <row r="281" spans="1:1" ht="18" customHeight="1" x14ac:dyDescent="0.2">
      <c r="A281" s="361"/>
    </row>
    <row r="282" spans="1:1" ht="18" customHeight="1" x14ac:dyDescent="0.2">
      <c r="A282" s="361"/>
    </row>
    <row r="283" spans="1:1" ht="18" customHeight="1" x14ac:dyDescent="0.2">
      <c r="A283" s="361"/>
    </row>
    <row r="284" spans="1:1" ht="18" customHeight="1" x14ac:dyDescent="0.2">
      <c r="A284" s="361"/>
    </row>
    <row r="285" spans="1:1" ht="18" customHeight="1" x14ac:dyDescent="0.2">
      <c r="A285" s="361"/>
    </row>
    <row r="286" spans="1:1" ht="18" customHeight="1" x14ac:dyDescent="0.2">
      <c r="A286" s="361"/>
    </row>
    <row r="287" spans="1:1" ht="18" customHeight="1" x14ac:dyDescent="0.2">
      <c r="A287" s="361"/>
    </row>
    <row r="288" spans="1:1" ht="18" customHeight="1" x14ac:dyDescent="0.2">
      <c r="A288" s="361"/>
    </row>
    <row r="289" spans="1:1" ht="18" customHeight="1" x14ac:dyDescent="0.2">
      <c r="A289" s="361"/>
    </row>
    <row r="290" spans="1:1" ht="18" customHeight="1" x14ac:dyDescent="0.2">
      <c r="A290" s="361"/>
    </row>
    <row r="291" spans="1:1" ht="18" customHeight="1" x14ac:dyDescent="0.2">
      <c r="A291" s="361"/>
    </row>
    <row r="292" spans="1:1" ht="18" customHeight="1" x14ac:dyDescent="0.2">
      <c r="A292" s="361"/>
    </row>
    <row r="293" spans="1:1" ht="18" customHeight="1" x14ac:dyDescent="0.2">
      <c r="A293" s="361"/>
    </row>
    <row r="294" spans="1:1" ht="18" customHeight="1" x14ac:dyDescent="0.2">
      <c r="A294" s="361"/>
    </row>
    <row r="295" spans="1:1" ht="18" customHeight="1" x14ac:dyDescent="0.2">
      <c r="A295" s="361"/>
    </row>
    <row r="296" spans="1:1" ht="18" customHeight="1" x14ac:dyDescent="0.2">
      <c r="A296" s="361"/>
    </row>
    <row r="297" spans="1:1" ht="18" customHeight="1" x14ac:dyDescent="0.2">
      <c r="A297" s="361"/>
    </row>
  </sheetData>
  <mergeCells count="2">
    <mergeCell ref="A124:H124"/>
    <mergeCell ref="B150:D150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view="pageBreakPreview" topLeftCell="A10" zoomScaleNormal="100" zoomScaleSheetLayoutView="100" workbookViewId="0">
      <selection activeCell="L42" sqref="L42"/>
    </sheetView>
  </sheetViews>
  <sheetFormatPr defaultColWidth="8.7109375" defaultRowHeight="15" x14ac:dyDescent="0.25"/>
  <cols>
    <col min="1" max="1" width="12" style="695" customWidth="1"/>
    <col min="2" max="2" width="9.85546875" style="695" bestFit="1" customWidth="1"/>
    <col min="3" max="3" width="9.28515625" style="695" bestFit="1" customWidth="1"/>
    <col min="4" max="4" width="11" style="695" customWidth="1"/>
    <col min="5" max="5" width="10.42578125" style="695" customWidth="1"/>
    <col min="6" max="7" width="11" style="695" customWidth="1"/>
    <col min="8" max="8" width="11.7109375" style="695" customWidth="1"/>
    <col min="9" max="9" width="8.7109375" style="695" customWidth="1"/>
    <col min="10" max="10" width="11.28515625" style="695" customWidth="1"/>
    <col min="11" max="76" width="8.7109375" style="695" customWidth="1"/>
    <col min="77" max="16384" width="8.7109375" style="695"/>
  </cols>
  <sheetData>
    <row r="2" spans="1:8" ht="15.75" customHeight="1" x14ac:dyDescent="0.25">
      <c r="F2" s="799"/>
      <c r="G2" s="800"/>
      <c r="H2" s="800"/>
    </row>
    <row r="4" spans="1:8" ht="18.75" customHeight="1" x14ac:dyDescent="0.3">
      <c r="A4" s="801" t="s">
        <v>306</v>
      </c>
      <c r="B4" s="800"/>
      <c r="C4" s="800"/>
      <c r="D4" s="800"/>
      <c r="E4" s="800"/>
      <c r="F4" s="800"/>
      <c r="G4" s="800"/>
      <c r="H4" s="800"/>
    </row>
    <row r="5" spans="1:8" ht="18.75" customHeight="1" x14ac:dyDescent="0.3">
      <c r="A5" s="801" t="s">
        <v>307</v>
      </c>
      <c r="B5" s="800"/>
      <c r="C5" s="800"/>
      <c r="D5" s="800"/>
      <c r="E5" s="800"/>
      <c r="F5" s="800"/>
      <c r="G5" s="800"/>
      <c r="H5" s="800"/>
    </row>
    <row r="6" spans="1:8" ht="15.75" customHeight="1" thickBot="1" x14ac:dyDescent="0.3">
      <c r="G6" s="802" t="s">
        <v>308</v>
      </c>
      <c r="H6" s="803"/>
    </row>
    <row r="7" spans="1:8" ht="46.5" customHeight="1" thickTop="1" thickBot="1" x14ac:dyDescent="0.3">
      <c r="A7" s="390" t="s">
        <v>309</v>
      </c>
      <c r="B7" s="391" t="s">
        <v>310</v>
      </c>
      <c r="C7" s="391" t="s">
        <v>311</v>
      </c>
      <c r="D7" s="392" t="s">
        <v>312</v>
      </c>
      <c r="E7" s="391" t="s">
        <v>313</v>
      </c>
      <c r="F7" s="391" t="s">
        <v>314</v>
      </c>
      <c r="G7" s="391" t="s">
        <v>315</v>
      </c>
      <c r="H7" s="393" t="s">
        <v>316</v>
      </c>
    </row>
    <row r="8" spans="1:8" ht="15.75" customHeight="1" thickTop="1" x14ac:dyDescent="0.25">
      <c r="A8" s="394">
        <v>1</v>
      </c>
      <c r="B8" s="395">
        <v>1456.29</v>
      </c>
      <c r="C8" s="395">
        <v>0</v>
      </c>
      <c r="D8" s="395">
        <f t="shared" ref="D8:D37" si="0">SUM(B8:C8)</f>
        <v>1456.29</v>
      </c>
      <c r="E8" s="396">
        <v>0</v>
      </c>
      <c r="F8" s="395">
        <v>0</v>
      </c>
      <c r="G8" s="395">
        <f t="shared" ref="G8:G37" si="1">+E8+F8</f>
        <v>0</v>
      </c>
      <c r="H8" s="397">
        <f t="shared" ref="H8:H37" si="2">+G8-D8</f>
        <v>-1456.29</v>
      </c>
    </row>
    <row r="9" spans="1:8" x14ac:dyDescent="0.25">
      <c r="A9" s="398">
        <f t="shared" ref="A9:A37" si="3">+A8+1</f>
        <v>2</v>
      </c>
      <c r="B9" s="396">
        <v>2652.93</v>
      </c>
      <c r="C9" s="396">
        <v>0</v>
      </c>
      <c r="D9" s="395">
        <f t="shared" si="0"/>
        <v>2652.93</v>
      </c>
      <c r="E9" s="396">
        <v>0</v>
      </c>
      <c r="F9" s="395">
        <v>0</v>
      </c>
      <c r="G9" s="395">
        <f t="shared" si="1"/>
        <v>0</v>
      </c>
      <c r="H9" s="397">
        <f t="shared" si="2"/>
        <v>-2652.93</v>
      </c>
    </row>
    <row r="10" spans="1:8" x14ac:dyDescent="0.25">
      <c r="A10" s="398">
        <f t="shared" si="3"/>
        <v>3</v>
      </c>
      <c r="B10" s="396">
        <v>7942.6659999999983</v>
      </c>
      <c r="C10" s="396">
        <v>0</v>
      </c>
      <c r="D10" s="395">
        <f t="shared" si="0"/>
        <v>7942.6659999999983</v>
      </c>
      <c r="E10" s="396">
        <v>0</v>
      </c>
      <c r="F10" s="395">
        <v>0</v>
      </c>
      <c r="G10" s="395">
        <f t="shared" si="1"/>
        <v>0</v>
      </c>
      <c r="H10" s="397">
        <f t="shared" si="2"/>
        <v>-7942.6659999999983</v>
      </c>
    </row>
    <row r="11" spans="1:8" ht="14.45" customHeight="1" x14ac:dyDescent="0.25">
      <c r="A11" s="398">
        <f t="shared" si="3"/>
        <v>4</v>
      </c>
      <c r="B11" s="399">
        <v>15866.4</v>
      </c>
      <c r="C11" s="396">
        <v>0</v>
      </c>
      <c r="D11" s="395">
        <f t="shared" si="0"/>
        <v>15866.4</v>
      </c>
      <c r="E11" s="396">
        <v>0</v>
      </c>
      <c r="F11" s="395">
        <v>0</v>
      </c>
      <c r="G11" s="395">
        <f t="shared" si="1"/>
        <v>0</v>
      </c>
      <c r="H11" s="397">
        <f t="shared" si="2"/>
        <v>-15866.4</v>
      </c>
    </row>
    <row r="12" spans="1:8" ht="14.45" customHeight="1" x14ac:dyDescent="0.25">
      <c r="A12" s="398">
        <f t="shared" si="3"/>
        <v>5</v>
      </c>
      <c r="B12" s="399">
        <v>17642.414000000001</v>
      </c>
      <c r="C12" s="396">
        <v>0</v>
      </c>
      <c r="D12" s="395">
        <f t="shared" si="0"/>
        <v>17642.414000000001</v>
      </c>
      <c r="E12" s="396">
        <v>0</v>
      </c>
      <c r="F12" s="396">
        <v>0</v>
      </c>
      <c r="G12" s="395">
        <f t="shared" si="1"/>
        <v>0</v>
      </c>
      <c r="H12" s="397">
        <f t="shared" si="2"/>
        <v>-17642.414000000001</v>
      </c>
    </row>
    <row r="13" spans="1:8" ht="14.45" customHeight="1" x14ac:dyDescent="0.25">
      <c r="A13" s="398">
        <f t="shared" si="3"/>
        <v>6</v>
      </c>
      <c r="B13" s="399">
        <v>24717.06</v>
      </c>
      <c r="C13" s="396">
        <v>0</v>
      </c>
      <c r="D13" s="395">
        <f t="shared" si="0"/>
        <v>24717.06</v>
      </c>
      <c r="E13" s="396">
        <f>E17*0.5</f>
        <v>21832.158289999996</v>
      </c>
      <c r="F13" s="396">
        <v>0</v>
      </c>
      <c r="G13" s="395">
        <f t="shared" si="1"/>
        <v>21832.158289999996</v>
      </c>
      <c r="H13" s="397">
        <f t="shared" si="2"/>
        <v>-2884.9017100000056</v>
      </c>
    </row>
    <row r="14" spans="1:8" ht="14.45" customHeight="1" x14ac:dyDescent="0.25">
      <c r="A14" s="398">
        <f t="shared" si="3"/>
        <v>7</v>
      </c>
      <c r="B14" s="399">
        <v>21919.622200000002</v>
      </c>
      <c r="C14" s="396">
        <v>0</v>
      </c>
      <c r="D14" s="395">
        <f t="shared" si="0"/>
        <v>21919.622200000002</v>
      </c>
      <c r="E14" s="396">
        <f>E17*0.6</f>
        <v>26198.589947999993</v>
      </c>
      <c r="F14" s="396">
        <v>0</v>
      </c>
      <c r="G14" s="395">
        <f t="shared" si="1"/>
        <v>26198.589947999993</v>
      </c>
      <c r="H14" s="397">
        <f t="shared" si="2"/>
        <v>4278.9677479999918</v>
      </c>
    </row>
    <row r="15" spans="1:8" ht="14.45" customHeight="1" x14ac:dyDescent="0.25">
      <c r="A15" s="398">
        <f t="shared" si="3"/>
        <v>8</v>
      </c>
      <c r="B15" s="399">
        <v>10063.1978</v>
      </c>
      <c r="C15" s="396">
        <v>0</v>
      </c>
      <c r="D15" s="395">
        <f t="shared" si="0"/>
        <v>10063.1978</v>
      </c>
      <c r="E15" s="396">
        <f>E17*0.7</f>
        <v>30565.021605999991</v>
      </c>
      <c r="F15" s="396">
        <v>0</v>
      </c>
      <c r="G15" s="395">
        <f t="shared" si="1"/>
        <v>30565.021605999991</v>
      </c>
      <c r="H15" s="397">
        <f t="shared" si="2"/>
        <v>20501.823805999993</v>
      </c>
    </row>
    <row r="16" spans="1:8" ht="14.45" customHeight="1" x14ac:dyDescent="0.25">
      <c r="A16" s="398">
        <f t="shared" si="3"/>
        <v>9</v>
      </c>
      <c r="B16" s="399"/>
      <c r="C16" s="396">
        <v>670</v>
      </c>
      <c r="D16" s="395">
        <f t="shared" si="0"/>
        <v>670</v>
      </c>
      <c r="E16" s="396">
        <f>E17*0.8</f>
        <v>34931.453263999996</v>
      </c>
      <c r="F16" s="396">
        <v>0</v>
      </c>
      <c r="G16" s="395">
        <f t="shared" si="1"/>
        <v>34931.453263999996</v>
      </c>
      <c r="H16" s="397">
        <f t="shared" si="2"/>
        <v>34261.453263999996</v>
      </c>
    </row>
    <row r="17" spans="1:10" ht="14.45" customHeight="1" x14ac:dyDescent="0.25">
      <c r="A17" s="398">
        <f t="shared" si="3"/>
        <v>10</v>
      </c>
      <c r="B17" s="399"/>
      <c r="C17" s="396">
        <f>670</f>
        <v>670</v>
      </c>
      <c r="D17" s="395">
        <f t="shared" si="0"/>
        <v>670</v>
      </c>
      <c r="E17" s="396">
        <v>43664.316579999992</v>
      </c>
      <c r="F17" s="396">
        <v>0</v>
      </c>
      <c r="G17" s="395">
        <f t="shared" si="1"/>
        <v>43664.316579999992</v>
      </c>
      <c r="H17" s="397">
        <f t="shared" si="2"/>
        <v>42994.316579999992</v>
      </c>
      <c r="J17" s="400"/>
    </row>
    <row r="18" spans="1:10" ht="14.45" customHeight="1" x14ac:dyDescent="0.25">
      <c r="A18" s="398">
        <f t="shared" si="3"/>
        <v>11</v>
      </c>
      <c r="B18" s="399"/>
      <c r="C18" s="396">
        <f t="shared" ref="C18:C37" si="4">C17</f>
        <v>670</v>
      </c>
      <c r="D18" s="395">
        <f t="shared" si="0"/>
        <v>670</v>
      </c>
      <c r="E18" s="396">
        <f t="shared" ref="E18:E37" si="5">E17</f>
        <v>43664.316579999992</v>
      </c>
      <c r="F18" s="396">
        <v>0</v>
      </c>
      <c r="G18" s="395">
        <f t="shared" si="1"/>
        <v>43664.316579999992</v>
      </c>
      <c r="H18" s="397">
        <f t="shared" si="2"/>
        <v>42994.316579999992</v>
      </c>
    </row>
    <row r="19" spans="1:10" ht="14.45" customHeight="1" x14ac:dyDescent="0.25">
      <c r="A19" s="398">
        <f t="shared" si="3"/>
        <v>12</v>
      </c>
      <c r="B19" s="399"/>
      <c r="C19" s="396">
        <f t="shared" si="4"/>
        <v>670</v>
      </c>
      <c r="D19" s="395">
        <f t="shared" si="0"/>
        <v>670</v>
      </c>
      <c r="E19" s="396">
        <f t="shared" si="5"/>
        <v>43664.316579999992</v>
      </c>
      <c r="F19" s="396">
        <v>0</v>
      </c>
      <c r="G19" s="395">
        <f t="shared" si="1"/>
        <v>43664.316579999992</v>
      </c>
      <c r="H19" s="397">
        <f t="shared" si="2"/>
        <v>42994.316579999992</v>
      </c>
    </row>
    <row r="20" spans="1:10" ht="14.45" customHeight="1" x14ac:dyDescent="0.25">
      <c r="A20" s="398">
        <f t="shared" si="3"/>
        <v>13</v>
      </c>
      <c r="B20" s="399"/>
      <c r="C20" s="396">
        <f t="shared" si="4"/>
        <v>670</v>
      </c>
      <c r="D20" s="395">
        <f t="shared" si="0"/>
        <v>670</v>
      </c>
      <c r="E20" s="396">
        <f t="shared" si="5"/>
        <v>43664.316579999992</v>
      </c>
      <c r="F20" s="396">
        <v>0</v>
      </c>
      <c r="G20" s="395">
        <f t="shared" si="1"/>
        <v>43664.316579999992</v>
      </c>
      <c r="H20" s="397">
        <f t="shared" si="2"/>
        <v>42994.316579999992</v>
      </c>
    </row>
    <row r="21" spans="1:10" ht="14.45" customHeight="1" x14ac:dyDescent="0.25">
      <c r="A21" s="398">
        <f t="shared" si="3"/>
        <v>14</v>
      </c>
      <c r="B21" s="399"/>
      <c r="C21" s="396">
        <f t="shared" si="4"/>
        <v>670</v>
      </c>
      <c r="D21" s="395">
        <f t="shared" si="0"/>
        <v>670</v>
      </c>
      <c r="E21" s="396">
        <f t="shared" si="5"/>
        <v>43664.316579999992</v>
      </c>
      <c r="F21" s="396">
        <v>0</v>
      </c>
      <c r="G21" s="395">
        <f t="shared" si="1"/>
        <v>43664.316579999992</v>
      </c>
      <c r="H21" s="397">
        <f t="shared" si="2"/>
        <v>42994.316579999992</v>
      </c>
    </row>
    <row r="22" spans="1:10" ht="14.45" customHeight="1" x14ac:dyDescent="0.25">
      <c r="A22" s="398">
        <f t="shared" si="3"/>
        <v>15</v>
      </c>
      <c r="B22" s="399"/>
      <c r="C22" s="396">
        <f t="shared" si="4"/>
        <v>670</v>
      </c>
      <c r="D22" s="395">
        <f t="shared" si="0"/>
        <v>670</v>
      </c>
      <c r="E22" s="396">
        <f t="shared" si="5"/>
        <v>43664.316579999992</v>
      </c>
      <c r="F22" s="396">
        <v>0</v>
      </c>
      <c r="G22" s="395">
        <f t="shared" si="1"/>
        <v>43664.316579999992</v>
      </c>
      <c r="H22" s="397">
        <f t="shared" si="2"/>
        <v>42994.316579999992</v>
      </c>
    </row>
    <row r="23" spans="1:10" ht="14.45" customHeight="1" x14ac:dyDescent="0.25">
      <c r="A23" s="398">
        <f t="shared" si="3"/>
        <v>16</v>
      </c>
      <c r="B23" s="399"/>
      <c r="C23" s="396">
        <f t="shared" si="4"/>
        <v>670</v>
      </c>
      <c r="D23" s="395">
        <f t="shared" si="0"/>
        <v>670</v>
      </c>
      <c r="E23" s="396">
        <f t="shared" si="5"/>
        <v>43664.316579999992</v>
      </c>
      <c r="F23" s="396">
        <v>0</v>
      </c>
      <c r="G23" s="395">
        <f t="shared" si="1"/>
        <v>43664.316579999992</v>
      </c>
      <c r="H23" s="397">
        <f t="shared" si="2"/>
        <v>42994.316579999992</v>
      </c>
    </row>
    <row r="24" spans="1:10" ht="14.45" customHeight="1" x14ac:dyDescent="0.25">
      <c r="A24" s="398">
        <f t="shared" si="3"/>
        <v>17</v>
      </c>
      <c r="B24" s="399"/>
      <c r="C24" s="396">
        <f t="shared" si="4"/>
        <v>670</v>
      </c>
      <c r="D24" s="395">
        <f t="shared" si="0"/>
        <v>670</v>
      </c>
      <c r="E24" s="396">
        <f t="shared" si="5"/>
        <v>43664.316579999992</v>
      </c>
      <c r="F24" s="396">
        <v>0</v>
      </c>
      <c r="G24" s="395">
        <f t="shared" si="1"/>
        <v>43664.316579999992</v>
      </c>
      <c r="H24" s="397">
        <f t="shared" si="2"/>
        <v>42994.316579999992</v>
      </c>
    </row>
    <row r="25" spans="1:10" ht="14.45" customHeight="1" x14ac:dyDescent="0.25">
      <c r="A25" s="398">
        <f t="shared" si="3"/>
        <v>18</v>
      </c>
      <c r="B25" s="399"/>
      <c r="C25" s="396">
        <f t="shared" si="4"/>
        <v>670</v>
      </c>
      <c r="D25" s="395">
        <f t="shared" si="0"/>
        <v>670</v>
      </c>
      <c r="E25" s="396">
        <f t="shared" si="5"/>
        <v>43664.316579999992</v>
      </c>
      <c r="F25" s="396">
        <v>0</v>
      </c>
      <c r="G25" s="395">
        <f t="shared" si="1"/>
        <v>43664.316579999992</v>
      </c>
      <c r="H25" s="397">
        <f t="shared" si="2"/>
        <v>42994.316579999992</v>
      </c>
    </row>
    <row r="26" spans="1:10" ht="14.45" customHeight="1" x14ac:dyDescent="0.25">
      <c r="A26" s="398">
        <f t="shared" si="3"/>
        <v>19</v>
      </c>
      <c r="B26" s="399"/>
      <c r="C26" s="396">
        <f t="shared" si="4"/>
        <v>670</v>
      </c>
      <c r="D26" s="395">
        <f t="shared" si="0"/>
        <v>670</v>
      </c>
      <c r="E26" s="396">
        <f t="shared" si="5"/>
        <v>43664.316579999992</v>
      </c>
      <c r="F26" s="396">
        <v>0</v>
      </c>
      <c r="G26" s="395">
        <f t="shared" si="1"/>
        <v>43664.316579999992</v>
      </c>
      <c r="H26" s="397">
        <f t="shared" si="2"/>
        <v>42994.316579999992</v>
      </c>
    </row>
    <row r="27" spans="1:10" ht="14.45" customHeight="1" x14ac:dyDescent="0.25">
      <c r="A27" s="398">
        <f t="shared" si="3"/>
        <v>20</v>
      </c>
      <c r="B27" s="399"/>
      <c r="C27" s="396">
        <f t="shared" si="4"/>
        <v>670</v>
      </c>
      <c r="D27" s="395">
        <f t="shared" si="0"/>
        <v>670</v>
      </c>
      <c r="E27" s="396">
        <f t="shared" si="5"/>
        <v>43664.316579999992</v>
      </c>
      <c r="F27" s="396">
        <v>0</v>
      </c>
      <c r="G27" s="395">
        <f t="shared" si="1"/>
        <v>43664.316579999992</v>
      </c>
      <c r="H27" s="397">
        <f t="shared" si="2"/>
        <v>42994.316579999992</v>
      </c>
    </row>
    <row r="28" spans="1:10" ht="14.45" customHeight="1" x14ac:dyDescent="0.25">
      <c r="A28" s="398">
        <f t="shared" si="3"/>
        <v>21</v>
      </c>
      <c r="B28" s="399"/>
      <c r="C28" s="396">
        <f t="shared" si="4"/>
        <v>670</v>
      </c>
      <c r="D28" s="395">
        <f t="shared" si="0"/>
        <v>670</v>
      </c>
      <c r="E28" s="396">
        <f t="shared" si="5"/>
        <v>43664.316579999992</v>
      </c>
      <c r="F28" s="396">
        <v>0</v>
      </c>
      <c r="G28" s="395">
        <f t="shared" si="1"/>
        <v>43664.316579999992</v>
      </c>
      <c r="H28" s="397">
        <f t="shared" si="2"/>
        <v>42994.316579999992</v>
      </c>
    </row>
    <row r="29" spans="1:10" ht="14.45" customHeight="1" x14ac:dyDescent="0.25">
      <c r="A29" s="398">
        <f t="shared" si="3"/>
        <v>22</v>
      </c>
      <c r="B29" s="399"/>
      <c r="C29" s="396">
        <f t="shared" si="4"/>
        <v>670</v>
      </c>
      <c r="D29" s="395">
        <f t="shared" si="0"/>
        <v>670</v>
      </c>
      <c r="E29" s="396">
        <f t="shared" si="5"/>
        <v>43664.316579999992</v>
      </c>
      <c r="F29" s="396">
        <v>0</v>
      </c>
      <c r="G29" s="395">
        <f t="shared" si="1"/>
        <v>43664.316579999992</v>
      </c>
      <c r="H29" s="397">
        <f t="shared" si="2"/>
        <v>42994.316579999992</v>
      </c>
    </row>
    <row r="30" spans="1:10" ht="14.45" customHeight="1" x14ac:dyDescent="0.25">
      <c r="A30" s="398">
        <f t="shared" si="3"/>
        <v>23</v>
      </c>
      <c r="B30" s="399"/>
      <c r="C30" s="396">
        <f t="shared" si="4"/>
        <v>670</v>
      </c>
      <c r="D30" s="395">
        <f t="shared" si="0"/>
        <v>670</v>
      </c>
      <c r="E30" s="396">
        <f t="shared" si="5"/>
        <v>43664.316579999992</v>
      </c>
      <c r="F30" s="396">
        <v>0</v>
      </c>
      <c r="G30" s="395">
        <f t="shared" si="1"/>
        <v>43664.316579999992</v>
      </c>
      <c r="H30" s="397">
        <f t="shared" si="2"/>
        <v>42994.316579999992</v>
      </c>
    </row>
    <row r="31" spans="1:10" ht="14.45" customHeight="1" x14ac:dyDescent="0.25">
      <c r="A31" s="398">
        <f t="shared" si="3"/>
        <v>24</v>
      </c>
      <c r="B31" s="399"/>
      <c r="C31" s="396">
        <f t="shared" si="4"/>
        <v>670</v>
      </c>
      <c r="D31" s="395">
        <f t="shared" si="0"/>
        <v>670</v>
      </c>
      <c r="E31" s="396">
        <f t="shared" si="5"/>
        <v>43664.316579999992</v>
      </c>
      <c r="F31" s="396">
        <v>0</v>
      </c>
      <c r="G31" s="395">
        <f t="shared" si="1"/>
        <v>43664.316579999992</v>
      </c>
      <c r="H31" s="397">
        <f t="shared" si="2"/>
        <v>42994.316579999992</v>
      </c>
    </row>
    <row r="32" spans="1:10" ht="14.45" customHeight="1" x14ac:dyDescent="0.25">
      <c r="A32" s="398">
        <f t="shared" si="3"/>
        <v>25</v>
      </c>
      <c r="B32" s="399"/>
      <c r="C32" s="396">
        <f t="shared" si="4"/>
        <v>670</v>
      </c>
      <c r="D32" s="395">
        <f t="shared" si="0"/>
        <v>670</v>
      </c>
      <c r="E32" s="396">
        <f t="shared" si="5"/>
        <v>43664.316579999992</v>
      </c>
      <c r="F32" s="396">
        <v>0</v>
      </c>
      <c r="G32" s="395">
        <f t="shared" si="1"/>
        <v>43664.316579999992</v>
      </c>
      <c r="H32" s="397">
        <f t="shared" si="2"/>
        <v>42994.316579999992</v>
      </c>
    </row>
    <row r="33" spans="1:12" ht="14.45" customHeight="1" x14ac:dyDescent="0.25">
      <c r="A33" s="398">
        <f t="shared" si="3"/>
        <v>26</v>
      </c>
      <c r="B33" s="399"/>
      <c r="C33" s="396">
        <f t="shared" si="4"/>
        <v>670</v>
      </c>
      <c r="D33" s="395">
        <f t="shared" si="0"/>
        <v>670</v>
      </c>
      <c r="E33" s="396">
        <f t="shared" si="5"/>
        <v>43664.316579999992</v>
      </c>
      <c r="F33" s="396">
        <v>0</v>
      </c>
      <c r="G33" s="395">
        <f t="shared" si="1"/>
        <v>43664.316579999992</v>
      </c>
      <c r="H33" s="397">
        <f t="shared" si="2"/>
        <v>42994.316579999992</v>
      </c>
    </row>
    <row r="34" spans="1:12" ht="14.45" customHeight="1" x14ac:dyDescent="0.25">
      <c r="A34" s="398">
        <f t="shared" si="3"/>
        <v>27</v>
      </c>
      <c r="B34" s="399"/>
      <c r="C34" s="396">
        <f t="shared" si="4"/>
        <v>670</v>
      </c>
      <c r="D34" s="395">
        <f t="shared" si="0"/>
        <v>670</v>
      </c>
      <c r="E34" s="396">
        <f t="shared" si="5"/>
        <v>43664.316579999992</v>
      </c>
      <c r="F34" s="396">
        <v>0</v>
      </c>
      <c r="G34" s="395">
        <f t="shared" si="1"/>
        <v>43664.316579999992</v>
      </c>
      <c r="H34" s="397">
        <f t="shared" si="2"/>
        <v>42994.316579999992</v>
      </c>
    </row>
    <row r="35" spans="1:12" ht="14.45" customHeight="1" x14ac:dyDescent="0.25">
      <c r="A35" s="398">
        <f t="shared" si="3"/>
        <v>28</v>
      </c>
      <c r="B35" s="399"/>
      <c r="C35" s="396">
        <f t="shared" si="4"/>
        <v>670</v>
      </c>
      <c r="D35" s="395">
        <f t="shared" si="0"/>
        <v>670</v>
      </c>
      <c r="E35" s="396">
        <f t="shared" si="5"/>
        <v>43664.316579999992</v>
      </c>
      <c r="F35" s="396">
        <v>0</v>
      </c>
      <c r="G35" s="395">
        <f t="shared" si="1"/>
        <v>43664.316579999992</v>
      </c>
      <c r="H35" s="397">
        <f t="shared" si="2"/>
        <v>42994.316579999992</v>
      </c>
    </row>
    <row r="36" spans="1:12" ht="14.45" customHeight="1" x14ac:dyDescent="0.25">
      <c r="A36" s="398">
        <f t="shared" si="3"/>
        <v>29</v>
      </c>
      <c r="B36" s="399"/>
      <c r="C36" s="396">
        <f t="shared" si="4"/>
        <v>670</v>
      </c>
      <c r="D36" s="395">
        <f t="shared" si="0"/>
        <v>670</v>
      </c>
      <c r="E36" s="396">
        <f t="shared" si="5"/>
        <v>43664.316579999992</v>
      </c>
      <c r="F36" s="396">
        <v>0</v>
      </c>
      <c r="G36" s="395">
        <f t="shared" si="1"/>
        <v>43664.316579999992</v>
      </c>
      <c r="H36" s="397">
        <f t="shared" si="2"/>
        <v>42994.316579999992</v>
      </c>
    </row>
    <row r="37" spans="1:12" x14ac:dyDescent="0.25">
      <c r="A37" s="398">
        <f t="shared" si="3"/>
        <v>30</v>
      </c>
      <c r="B37" s="396"/>
      <c r="C37" s="396">
        <f t="shared" si="4"/>
        <v>670</v>
      </c>
      <c r="D37" s="395">
        <f t="shared" si="0"/>
        <v>670</v>
      </c>
      <c r="E37" s="396">
        <f t="shared" si="5"/>
        <v>43664.316579999992</v>
      </c>
      <c r="F37" s="396">
        <v>0</v>
      </c>
      <c r="G37" s="395">
        <f t="shared" si="1"/>
        <v>43664.316579999992</v>
      </c>
      <c r="H37" s="397">
        <f t="shared" si="2"/>
        <v>42994.316579999992</v>
      </c>
    </row>
    <row r="38" spans="1:12" ht="17.25" customHeight="1" thickBot="1" x14ac:dyDescent="0.3">
      <c r="A38" s="401" t="s">
        <v>317</v>
      </c>
      <c r="B38" s="402">
        <f t="shared" ref="B38:H38" si="6">NPV(0.12,B8:B37)</f>
        <v>55664.867332347349</v>
      </c>
      <c r="C38" s="402">
        <f t="shared" si="6"/>
        <v>2068.6546145552747</v>
      </c>
      <c r="D38" s="402">
        <f t="shared" si="6"/>
        <v>57733.521946902642</v>
      </c>
      <c r="E38" s="402">
        <f t="shared" si="6"/>
        <v>166922.81140877161</v>
      </c>
      <c r="F38" s="402">
        <f t="shared" si="6"/>
        <v>0</v>
      </c>
      <c r="G38" s="402">
        <f t="shared" si="6"/>
        <v>166922.81140877161</v>
      </c>
      <c r="H38" s="403">
        <f t="shared" si="6"/>
        <v>109189.28946186899</v>
      </c>
      <c r="L38" s="400"/>
    </row>
    <row r="39" spans="1:12" ht="16.5" customHeight="1" thickTop="1" thickBot="1" x14ac:dyDescent="0.3">
      <c r="A39" s="404" t="s">
        <v>318</v>
      </c>
      <c r="B39" s="404"/>
      <c r="C39" s="404"/>
      <c r="D39" s="404"/>
      <c r="E39" s="404"/>
      <c r="F39" s="405"/>
      <c r="G39" s="405"/>
      <c r="H39" s="405"/>
    </row>
    <row r="40" spans="1:12" ht="16.5" customHeight="1" thickTop="1" thickBot="1" x14ac:dyDescent="0.3">
      <c r="A40" s="406" t="s">
        <v>319</v>
      </c>
      <c r="B40" s="406"/>
      <c r="C40" s="406"/>
      <c r="D40" s="406">
        <f>IRR(H8:H37,0.12)</f>
        <v>0.32427253777193421</v>
      </c>
      <c r="E40" s="406"/>
      <c r="F40" s="407"/>
      <c r="G40" s="438"/>
      <c r="H40" s="408"/>
    </row>
    <row r="41" spans="1:12" ht="16.5" customHeight="1" thickTop="1" thickBot="1" x14ac:dyDescent="0.3">
      <c r="A41" s="409" t="s">
        <v>320</v>
      </c>
      <c r="B41" s="409"/>
      <c r="C41" s="409"/>
      <c r="D41" s="409">
        <f>NPV(0.12,G8:G37)/NPV(0.12,D8:D37)</f>
        <v>2.8912632692370654</v>
      </c>
      <c r="E41" s="409"/>
      <c r="F41" s="400"/>
      <c r="G41" s="400"/>
      <c r="H41" s="408"/>
    </row>
    <row r="42" spans="1:12" ht="16.5" customHeight="1" thickTop="1" thickBot="1" x14ac:dyDescent="0.3">
      <c r="A42" s="410" t="s">
        <v>317</v>
      </c>
      <c r="B42" s="410"/>
      <c r="C42" s="410"/>
      <c r="D42" s="409">
        <f>H38</f>
        <v>109189.28946186899</v>
      </c>
      <c r="E42" s="410"/>
    </row>
    <row r="43" spans="1:12" ht="15.75" customHeight="1" thickTop="1" x14ac:dyDescent="0.25"/>
  </sheetData>
  <mergeCells count="4">
    <mergeCell ref="F2:H2"/>
    <mergeCell ref="A4:H4"/>
    <mergeCell ref="A5:H5"/>
    <mergeCell ref="G6:H6"/>
  </mergeCells>
  <pageMargins left="1" right="0.75" top="1" bottom="1" header="0.5" footer="0.5"/>
  <pageSetup paperSize="9" scale="96" orientation="portrait" r:id="rId1"/>
  <headerFooter alignWithMargins="0">
    <oddFooter>&amp;C&amp;12 P - 53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7" sqref="L17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43"/>
  <sheetViews>
    <sheetView topLeftCell="A28" zoomScale="115" zoomScaleNormal="115" workbookViewId="0">
      <selection activeCell="H42" sqref="H42"/>
    </sheetView>
  </sheetViews>
  <sheetFormatPr defaultColWidth="8.7109375" defaultRowHeight="15" x14ac:dyDescent="0.25"/>
  <cols>
    <col min="1" max="1" width="12.28515625" style="695" customWidth="1"/>
    <col min="2" max="2" width="9.85546875" style="695" customWidth="1"/>
    <col min="3" max="3" width="8.7109375" style="695" customWidth="1"/>
    <col min="4" max="5" width="10.28515625" style="695" customWidth="1"/>
    <col min="6" max="6" width="10.5703125" style="695" bestFit="1" customWidth="1"/>
    <col min="7" max="8" width="11" style="695" customWidth="1"/>
    <col min="9" max="9" width="8.7109375" style="695" customWidth="1"/>
    <col min="10" max="10" width="10.42578125" style="695" customWidth="1"/>
    <col min="11" max="76" width="8.7109375" style="695" customWidth="1"/>
    <col min="77" max="16384" width="8.7109375" style="695"/>
  </cols>
  <sheetData>
    <row r="4" spans="1:10" ht="18.75" customHeight="1" x14ac:dyDescent="0.3">
      <c r="A4" s="801" t="s">
        <v>306</v>
      </c>
      <c r="B4" s="800"/>
      <c r="C4" s="800"/>
      <c r="D4" s="800"/>
      <c r="E4" s="800"/>
      <c r="F4" s="800"/>
      <c r="G4" s="800"/>
      <c r="H4" s="800"/>
    </row>
    <row r="5" spans="1:10" ht="18.75" customHeight="1" x14ac:dyDescent="0.3">
      <c r="A5" s="801" t="s">
        <v>321</v>
      </c>
      <c r="B5" s="800"/>
      <c r="C5" s="800"/>
      <c r="D5" s="800"/>
      <c r="E5" s="800"/>
      <c r="F5" s="800"/>
      <c r="G5" s="800"/>
      <c r="H5" s="800"/>
    </row>
    <row r="6" spans="1:10" ht="15.75" customHeight="1" thickBot="1" x14ac:dyDescent="0.3">
      <c r="G6" s="804" t="s">
        <v>322</v>
      </c>
      <c r="H6" s="803"/>
    </row>
    <row r="7" spans="1:10" ht="61.5" customHeight="1" thickTop="1" thickBot="1" x14ac:dyDescent="0.3">
      <c r="A7" s="390" t="s">
        <v>309</v>
      </c>
      <c r="B7" s="391" t="s">
        <v>310</v>
      </c>
      <c r="C7" s="391" t="s">
        <v>311</v>
      </c>
      <c r="D7" s="392" t="s">
        <v>312</v>
      </c>
      <c r="E7" s="391" t="s">
        <v>313</v>
      </c>
      <c r="F7" s="391" t="s">
        <v>314</v>
      </c>
      <c r="G7" s="391" t="s">
        <v>315</v>
      </c>
      <c r="H7" s="393" t="s">
        <v>316</v>
      </c>
    </row>
    <row r="8" spans="1:10" ht="15.75" customHeight="1" thickTop="1" x14ac:dyDescent="0.25">
      <c r="A8" s="394">
        <v>1</v>
      </c>
      <c r="B8" s="395">
        <v>1212.686584</v>
      </c>
      <c r="C8" s="395">
        <v>0</v>
      </c>
      <c r="D8" s="395">
        <f t="shared" ref="D8:D37" si="0">SUM(B8:C8)</f>
        <v>1212.686584</v>
      </c>
      <c r="E8" s="395">
        <v>0</v>
      </c>
      <c r="F8" s="395">
        <v>0</v>
      </c>
      <c r="G8" s="395">
        <f t="shared" ref="G8:G37" si="1">+E8+F8</f>
        <v>0</v>
      </c>
      <c r="H8" s="397">
        <f t="shared" ref="H8:H37" si="2">+G8-D8</f>
        <v>-1212.686584</v>
      </c>
    </row>
    <row r="9" spans="1:10" x14ac:dyDescent="0.25">
      <c r="A9" s="398">
        <f t="shared" ref="A9:A37" si="3">+A8+1</f>
        <v>2</v>
      </c>
      <c r="B9" s="396">
        <v>2302.3045160000001</v>
      </c>
      <c r="C9" s="396">
        <v>0</v>
      </c>
      <c r="D9" s="395">
        <f t="shared" si="0"/>
        <v>2302.3045160000001</v>
      </c>
      <c r="E9" s="396">
        <v>0</v>
      </c>
      <c r="F9" s="395">
        <v>0</v>
      </c>
      <c r="G9" s="395">
        <f t="shared" si="1"/>
        <v>0</v>
      </c>
      <c r="H9" s="397">
        <f t="shared" si="2"/>
        <v>-2302.3045160000001</v>
      </c>
    </row>
    <row r="10" spans="1:10" x14ac:dyDescent="0.25">
      <c r="A10" s="398">
        <f t="shared" si="3"/>
        <v>3</v>
      </c>
      <c r="B10" s="396">
        <v>6957.1234519999998</v>
      </c>
      <c r="C10" s="396">
        <v>0</v>
      </c>
      <c r="D10" s="395">
        <f t="shared" si="0"/>
        <v>6957.1234519999998</v>
      </c>
      <c r="E10" s="396">
        <v>0</v>
      </c>
      <c r="F10" s="395">
        <v>0</v>
      </c>
      <c r="G10" s="395">
        <f t="shared" si="1"/>
        <v>0</v>
      </c>
      <c r="H10" s="397">
        <f t="shared" si="2"/>
        <v>-6957.1234519999998</v>
      </c>
    </row>
    <row r="11" spans="1:10" ht="14.45" customHeight="1" x14ac:dyDescent="0.25">
      <c r="A11" s="398">
        <f t="shared" si="3"/>
        <v>4</v>
      </c>
      <c r="B11" s="399">
        <v>13167.244570000001</v>
      </c>
      <c r="C11" s="396">
        <v>0</v>
      </c>
      <c r="D11" s="395">
        <f t="shared" si="0"/>
        <v>13167.244570000001</v>
      </c>
      <c r="E11" s="396">
        <v>0</v>
      </c>
      <c r="F11" s="395">
        <v>0</v>
      </c>
      <c r="G11" s="395">
        <f t="shared" si="1"/>
        <v>0</v>
      </c>
      <c r="H11" s="397">
        <f t="shared" si="2"/>
        <v>-13167.244570000001</v>
      </c>
    </row>
    <row r="12" spans="1:10" ht="14.45" customHeight="1" x14ac:dyDescent="0.25">
      <c r="A12" s="398">
        <f t="shared" si="3"/>
        <v>5</v>
      </c>
      <c r="B12" s="399">
        <v>14304.003588</v>
      </c>
      <c r="C12" s="396">
        <v>0</v>
      </c>
      <c r="D12" s="395">
        <f t="shared" si="0"/>
        <v>14304.003588</v>
      </c>
      <c r="E12" s="396">
        <v>0</v>
      </c>
      <c r="F12" s="395">
        <v>0</v>
      </c>
      <c r="G12" s="395">
        <f t="shared" si="1"/>
        <v>0</v>
      </c>
      <c r="H12" s="397">
        <f t="shared" si="2"/>
        <v>-14304.003588</v>
      </c>
    </row>
    <row r="13" spans="1:10" ht="14.45" customHeight="1" x14ac:dyDescent="0.25">
      <c r="A13" s="398">
        <f t="shared" si="3"/>
        <v>6</v>
      </c>
      <c r="B13" s="399">
        <v>19492.77549</v>
      </c>
      <c r="C13" s="396">
        <v>0</v>
      </c>
      <c r="D13" s="395">
        <f t="shared" si="0"/>
        <v>19492.77549</v>
      </c>
      <c r="E13" s="396">
        <f>E17*0.5</f>
        <v>21273.942777579996</v>
      </c>
      <c r="F13" s="395">
        <v>0</v>
      </c>
      <c r="G13" s="395">
        <f t="shared" si="1"/>
        <v>21273.942777579996</v>
      </c>
      <c r="H13" s="397">
        <f t="shared" si="2"/>
        <v>1781.1672875799959</v>
      </c>
      <c r="J13" s="400"/>
    </row>
    <row r="14" spans="1:10" ht="14.45" customHeight="1" x14ac:dyDescent="0.25">
      <c r="A14" s="398">
        <f t="shared" si="3"/>
        <v>7</v>
      </c>
      <c r="B14" s="399">
        <v>19035.03038349999</v>
      </c>
      <c r="C14" s="396">
        <f>C13</f>
        <v>0</v>
      </c>
      <c r="D14" s="395">
        <f t="shared" si="0"/>
        <v>19035.03038349999</v>
      </c>
      <c r="E14" s="396">
        <f>E17*0.6</f>
        <v>25528.731333095995</v>
      </c>
      <c r="F14" s="395">
        <v>0</v>
      </c>
      <c r="G14" s="395">
        <f t="shared" si="1"/>
        <v>25528.731333095995</v>
      </c>
      <c r="H14" s="397">
        <f t="shared" si="2"/>
        <v>6493.7009495960046</v>
      </c>
      <c r="J14" s="400"/>
    </row>
    <row r="15" spans="1:10" ht="14.45" customHeight="1" x14ac:dyDescent="0.25">
      <c r="A15" s="398">
        <f t="shared" si="3"/>
        <v>8</v>
      </c>
      <c r="B15" s="399">
        <v>8547.5460365000017</v>
      </c>
      <c r="C15" s="396">
        <f>C14</f>
        <v>0</v>
      </c>
      <c r="D15" s="395">
        <f t="shared" si="0"/>
        <v>8547.5460365000017</v>
      </c>
      <c r="E15" s="396">
        <f>E17*0.7</f>
        <v>29783.519888611991</v>
      </c>
      <c r="F15" s="395">
        <v>0</v>
      </c>
      <c r="G15" s="395">
        <f t="shared" si="1"/>
        <v>29783.519888611991</v>
      </c>
      <c r="H15" s="397">
        <f t="shared" si="2"/>
        <v>21235.973852111987</v>
      </c>
    </row>
    <row r="16" spans="1:10" ht="14.45" customHeight="1" x14ac:dyDescent="0.25">
      <c r="A16" s="398">
        <f t="shared" si="3"/>
        <v>9</v>
      </c>
      <c r="B16" s="399"/>
      <c r="C16" s="396">
        <v>604.34</v>
      </c>
      <c r="D16" s="395">
        <f t="shared" si="0"/>
        <v>604.34</v>
      </c>
      <c r="E16" s="396">
        <f>E17*0.8</f>
        <v>34038.308444127993</v>
      </c>
      <c r="F16" s="395">
        <v>0</v>
      </c>
      <c r="G16" s="395">
        <f t="shared" si="1"/>
        <v>34038.308444127993</v>
      </c>
      <c r="H16" s="397">
        <f t="shared" si="2"/>
        <v>33433.968444127997</v>
      </c>
    </row>
    <row r="17" spans="1:8" ht="14.45" customHeight="1" x14ac:dyDescent="0.25">
      <c r="A17" s="398">
        <f t="shared" si="3"/>
        <v>10</v>
      </c>
      <c r="B17" s="399"/>
      <c r="C17" s="396">
        <v>604.34</v>
      </c>
      <c r="D17" s="395">
        <f t="shared" si="0"/>
        <v>604.34</v>
      </c>
      <c r="E17" s="396">
        <v>42547.885555159992</v>
      </c>
      <c r="F17" s="395">
        <v>0</v>
      </c>
      <c r="G17" s="395">
        <f t="shared" si="1"/>
        <v>42547.885555159992</v>
      </c>
      <c r="H17" s="397">
        <f t="shared" si="2"/>
        <v>41943.545555159995</v>
      </c>
    </row>
    <row r="18" spans="1:8" ht="14.45" customHeight="1" x14ac:dyDescent="0.25">
      <c r="A18" s="398">
        <f t="shared" si="3"/>
        <v>11</v>
      </c>
      <c r="B18" s="399"/>
      <c r="C18" s="396">
        <f t="shared" ref="C18:C37" si="4">C17</f>
        <v>604.34</v>
      </c>
      <c r="D18" s="395">
        <f t="shared" si="0"/>
        <v>604.34</v>
      </c>
      <c r="E18" s="396">
        <f t="shared" ref="E18:E37" si="5">E17</f>
        <v>42547.885555159992</v>
      </c>
      <c r="F18" s="395">
        <v>0</v>
      </c>
      <c r="G18" s="395">
        <f t="shared" si="1"/>
        <v>42547.885555159992</v>
      </c>
      <c r="H18" s="397">
        <f t="shared" si="2"/>
        <v>41943.545555159995</v>
      </c>
    </row>
    <row r="19" spans="1:8" ht="14.45" customHeight="1" x14ac:dyDescent="0.25">
      <c r="A19" s="398">
        <f t="shared" si="3"/>
        <v>12</v>
      </c>
      <c r="B19" s="399"/>
      <c r="C19" s="396">
        <f t="shared" si="4"/>
        <v>604.34</v>
      </c>
      <c r="D19" s="395">
        <f t="shared" si="0"/>
        <v>604.34</v>
      </c>
      <c r="E19" s="396">
        <f t="shared" si="5"/>
        <v>42547.885555159992</v>
      </c>
      <c r="F19" s="395">
        <v>0</v>
      </c>
      <c r="G19" s="395">
        <f t="shared" si="1"/>
        <v>42547.885555159992</v>
      </c>
      <c r="H19" s="397">
        <f t="shared" si="2"/>
        <v>41943.545555159995</v>
      </c>
    </row>
    <row r="20" spans="1:8" ht="14.45" customHeight="1" x14ac:dyDescent="0.25">
      <c r="A20" s="398">
        <f t="shared" si="3"/>
        <v>13</v>
      </c>
      <c r="B20" s="399"/>
      <c r="C20" s="396">
        <f t="shared" si="4"/>
        <v>604.34</v>
      </c>
      <c r="D20" s="395">
        <f t="shared" si="0"/>
        <v>604.34</v>
      </c>
      <c r="E20" s="396">
        <f t="shared" si="5"/>
        <v>42547.885555159992</v>
      </c>
      <c r="F20" s="395">
        <v>0</v>
      </c>
      <c r="G20" s="395">
        <f t="shared" si="1"/>
        <v>42547.885555159992</v>
      </c>
      <c r="H20" s="397">
        <f t="shared" si="2"/>
        <v>41943.545555159995</v>
      </c>
    </row>
    <row r="21" spans="1:8" ht="14.45" customHeight="1" x14ac:dyDescent="0.25">
      <c r="A21" s="398">
        <f t="shared" si="3"/>
        <v>14</v>
      </c>
      <c r="B21" s="399"/>
      <c r="C21" s="396">
        <f t="shared" si="4"/>
        <v>604.34</v>
      </c>
      <c r="D21" s="395">
        <f t="shared" si="0"/>
        <v>604.34</v>
      </c>
      <c r="E21" s="396">
        <f t="shared" si="5"/>
        <v>42547.885555159992</v>
      </c>
      <c r="F21" s="395">
        <v>0</v>
      </c>
      <c r="G21" s="395">
        <f t="shared" si="1"/>
        <v>42547.885555159992</v>
      </c>
      <c r="H21" s="397">
        <f t="shared" si="2"/>
        <v>41943.545555159995</v>
      </c>
    </row>
    <row r="22" spans="1:8" ht="14.45" customHeight="1" x14ac:dyDescent="0.25">
      <c r="A22" s="398">
        <f t="shared" si="3"/>
        <v>15</v>
      </c>
      <c r="B22" s="399"/>
      <c r="C22" s="396">
        <f t="shared" si="4"/>
        <v>604.34</v>
      </c>
      <c r="D22" s="395">
        <f t="shared" si="0"/>
        <v>604.34</v>
      </c>
      <c r="E22" s="396">
        <f t="shared" si="5"/>
        <v>42547.885555159992</v>
      </c>
      <c r="F22" s="395">
        <v>0</v>
      </c>
      <c r="G22" s="395">
        <f t="shared" si="1"/>
        <v>42547.885555159992</v>
      </c>
      <c r="H22" s="397">
        <f t="shared" si="2"/>
        <v>41943.545555159995</v>
      </c>
    </row>
    <row r="23" spans="1:8" ht="14.45" customHeight="1" x14ac:dyDescent="0.25">
      <c r="A23" s="398">
        <f t="shared" si="3"/>
        <v>16</v>
      </c>
      <c r="B23" s="399"/>
      <c r="C23" s="396">
        <f t="shared" si="4"/>
        <v>604.34</v>
      </c>
      <c r="D23" s="395">
        <f t="shared" si="0"/>
        <v>604.34</v>
      </c>
      <c r="E23" s="396">
        <f t="shared" si="5"/>
        <v>42547.885555159992</v>
      </c>
      <c r="F23" s="395">
        <v>0</v>
      </c>
      <c r="G23" s="395">
        <f t="shared" si="1"/>
        <v>42547.885555159992</v>
      </c>
      <c r="H23" s="397">
        <f t="shared" si="2"/>
        <v>41943.545555159995</v>
      </c>
    </row>
    <row r="24" spans="1:8" ht="14.45" customHeight="1" x14ac:dyDescent="0.25">
      <c r="A24" s="398">
        <f t="shared" si="3"/>
        <v>17</v>
      </c>
      <c r="B24" s="399"/>
      <c r="C24" s="396">
        <f t="shared" si="4"/>
        <v>604.34</v>
      </c>
      <c r="D24" s="395">
        <f t="shared" si="0"/>
        <v>604.34</v>
      </c>
      <c r="E24" s="396">
        <f t="shared" si="5"/>
        <v>42547.885555159992</v>
      </c>
      <c r="F24" s="395">
        <v>0</v>
      </c>
      <c r="G24" s="395">
        <f t="shared" si="1"/>
        <v>42547.885555159992</v>
      </c>
      <c r="H24" s="397">
        <f t="shared" si="2"/>
        <v>41943.545555159995</v>
      </c>
    </row>
    <row r="25" spans="1:8" ht="14.45" customHeight="1" x14ac:dyDescent="0.25">
      <c r="A25" s="398">
        <f t="shared" si="3"/>
        <v>18</v>
      </c>
      <c r="B25" s="399"/>
      <c r="C25" s="396">
        <f t="shared" si="4"/>
        <v>604.34</v>
      </c>
      <c r="D25" s="395">
        <f t="shared" si="0"/>
        <v>604.34</v>
      </c>
      <c r="E25" s="396">
        <f t="shared" si="5"/>
        <v>42547.885555159992</v>
      </c>
      <c r="F25" s="395">
        <v>0</v>
      </c>
      <c r="G25" s="395">
        <f t="shared" si="1"/>
        <v>42547.885555159992</v>
      </c>
      <c r="H25" s="397">
        <f t="shared" si="2"/>
        <v>41943.545555159995</v>
      </c>
    </row>
    <row r="26" spans="1:8" ht="14.45" customHeight="1" x14ac:dyDescent="0.25">
      <c r="A26" s="398">
        <f t="shared" si="3"/>
        <v>19</v>
      </c>
      <c r="B26" s="399"/>
      <c r="C26" s="396">
        <f t="shared" si="4"/>
        <v>604.34</v>
      </c>
      <c r="D26" s="395">
        <f t="shared" si="0"/>
        <v>604.34</v>
      </c>
      <c r="E26" s="396">
        <f t="shared" si="5"/>
        <v>42547.885555159992</v>
      </c>
      <c r="F26" s="395">
        <v>0</v>
      </c>
      <c r="G26" s="395">
        <f t="shared" si="1"/>
        <v>42547.885555159992</v>
      </c>
      <c r="H26" s="397">
        <f t="shared" si="2"/>
        <v>41943.545555159995</v>
      </c>
    </row>
    <row r="27" spans="1:8" ht="14.45" customHeight="1" x14ac:dyDescent="0.25">
      <c r="A27" s="398">
        <f t="shared" si="3"/>
        <v>20</v>
      </c>
      <c r="B27" s="399"/>
      <c r="C27" s="396">
        <f t="shared" si="4"/>
        <v>604.34</v>
      </c>
      <c r="D27" s="395">
        <f t="shared" si="0"/>
        <v>604.34</v>
      </c>
      <c r="E27" s="396">
        <f t="shared" si="5"/>
        <v>42547.885555159992</v>
      </c>
      <c r="F27" s="395">
        <v>0</v>
      </c>
      <c r="G27" s="395">
        <f t="shared" si="1"/>
        <v>42547.885555159992</v>
      </c>
      <c r="H27" s="397">
        <f t="shared" si="2"/>
        <v>41943.545555159995</v>
      </c>
    </row>
    <row r="28" spans="1:8" ht="14.45" customHeight="1" x14ac:dyDescent="0.25">
      <c r="A28" s="398">
        <f t="shared" si="3"/>
        <v>21</v>
      </c>
      <c r="B28" s="399"/>
      <c r="C28" s="396">
        <f t="shared" si="4"/>
        <v>604.34</v>
      </c>
      <c r="D28" s="395">
        <f t="shared" si="0"/>
        <v>604.34</v>
      </c>
      <c r="E28" s="396">
        <f t="shared" si="5"/>
        <v>42547.885555159992</v>
      </c>
      <c r="F28" s="395">
        <v>0</v>
      </c>
      <c r="G28" s="395">
        <f t="shared" si="1"/>
        <v>42547.885555159992</v>
      </c>
      <c r="H28" s="397">
        <f t="shared" si="2"/>
        <v>41943.545555159995</v>
      </c>
    </row>
    <row r="29" spans="1:8" ht="14.45" customHeight="1" x14ac:dyDescent="0.25">
      <c r="A29" s="398">
        <f t="shared" si="3"/>
        <v>22</v>
      </c>
      <c r="B29" s="399"/>
      <c r="C29" s="396">
        <f t="shared" si="4"/>
        <v>604.34</v>
      </c>
      <c r="D29" s="395">
        <f t="shared" si="0"/>
        <v>604.34</v>
      </c>
      <c r="E29" s="396">
        <f t="shared" si="5"/>
        <v>42547.885555159992</v>
      </c>
      <c r="F29" s="395">
        <v>0</v>
      </c>
      <c r="G29" s="395">
        <f t="shared" si="1"/>
        <v>42547.885555159992</v>
      </c>
      <c r="H29" s="397">
        <f t="shared" si="2"/>
        <v>41943.545555159995</v>
      </c>
    </row>
    <row r="30" spans="1:8" ht="14.45" customHeight="1" x14ac:dyDescent="0.25">
      <c r="A30" s="398">
        <f t="shared" si="3"/>
        <v>23</v>
      </c>
      <c r="B30" s="399"/>
      <c r="C30" s="396">
        <f t="shared" si="4"/>
        <v>604.34</v>
      </c>
      <c r="D30" s="395">
        <f t="shared" si="0"/>
        <v>604.34</v>
      </c>
      <c r="E30" s="396">
        <f t="shared" si="5"/>
        <v>42547.885555159992</v>
      </c>
      <c r="F30" s="395">
        <v>0</v>
      </c>
      <c r="G30" s="395">
        <f t="shared" si="1"/>
        <v>42547.885555159992</v>
      </c>
      <c r="H30" s="397">
        <f t="shared" si="2"/>
        <v>41943.545555159995</v>
      </c>
    </row>
    <row r="31" spans="1:8" ht="14.45" customHeight="1" x14ac:dyDescent="0.25">
      <c r="A31" s="398">
        <f t="shared" si="3"/>
        <v>24</v>
      </c>
      <c r="B31" s="399"/>
      <c r="C31" s="396">
        <f t="shared" si="4"/>
        <v>604.34</v>
      </c>
      <c r="D31" s="395">
        <f t="shared" si="0"/>
        <v>604.34</v>
      </c>
      <c r="E31" s="396">
        <f t="shared" si="5"/>
        <v>42547.885555159992</v>
      </c>
      <c r="F31" s="395">
        <v>0</v>
      </c>
      <c r="G31" s="395">
        <f t="shared" si="1"/>
        <v>42547.885555159992</v>
      </c>
      <c r="H31" s="397">
        <f t="shared" si="2"/>
        <v>41943.545555159995</v>
      </c>
    </row>
    <row r="32" spans="1:8" ht="14.45" customHeight="1" x14ac:dyDescent="0.25">
      <c r="A32" s="398">
        <f t="shared" si="3"/>
        <v>25</v>
      </c>
      <c r="B32" s="399"/>
      <c r="C32" s="396">
        <f t="shared" si="4"/>
        <v>604.34</v>
      </c>
      <c r="D32" s="395">
        <f t="shared" si="0"/>
        <v>604.34</v>
      </c>
      <c r="E32" s="396">
        <f t="shared" si="5"/>
        <v>42547.885555159992</v>
      </c>
      <c r="F32" s="395">
        <v>0</v>
      </c>
      <c r="G32" s="395">
        <f t="shared" si="1"/>
        <v>42547.885555159992</v>
      </c>
      <c r="H32" s="397">
        <f t="shared" si="2"/>
        <v>41943.545555159995</v>
      </c>
    </row>
    <row r="33" spans="1:8" ht="14.45" customHeight="1" x14ac:dyDescent="0.25">
      <c r="A33" s="398">
        <f t="shared" si="3"/>
        <v>26</v>
      </c>
      <c r="B33" s="399"/>
      <c r="C33" s="396">
        <f t="shared" si="4"/>
        <v>604.34</v>
      </c>
      <c r="D33" s="395">
        <f t="shared" si="0"/>
        <v>604.34</v>
      </c>
      <c r="E33" s="396">
        <f t="shared" si="5"/>
        <v>42547.885555159992</v>
      </c>
      <c r="F33" s="395">
        <v>0</v>
      </c>
      <c r="G33" s="395">
        <f t="shared" si="1"/>
        <v>42547.885555159992</v>
      </c>
      <c r="H33" s="397">
        <f t="shared" si="2"/>
        <v>41943.545555159995</v>
      </c>
    </row>
    <row r="34" spans="1:8" ht="14.45" customHeight="1" x14ac:dyDescent="0.25">
      <c r="A34" s="398">
        <f t="shared" si="3"/>
        <v>27</v>
      </c>
      <c r="B34" s="399"/>
      <c r="C34" s="396">
        <f t="shared" si="4"/>
        <v>604.34</v>
      </c>
      <c r="D34" s="395">
        <f t="shared" si="0"/>
        <v>604.34</v>
      </c>
      <c r="E34" s="396">
        <f t="shared" si="5"/>
        <v>42547.885555159992</v>
      </c>
      <c r="F34" s="395">
        <v>0</v>
      </c>
      <c r="G34" s="395">
        <f t="shared" si="1"/>
        <v>42547.885555159992</v>
      </c>
      <c r="H34" s="397">
        <f t="shared" si="2"/>
        <v>41943.545555159995</v>
      </c>
    </row>
    <row r="35" spans="1:8" ht="14.45" customHeight="1" x14ac:dyDescent="0.25">
      <c r="A35" s="398">
        <f t="shared" si="3"/>
        <v>28</v>
      </c>
      <c r="B35" s="399"/>
      <c r="C35" s="396">
        <f t="shared" si="4"/>
        <v>604.34</v>
      </c>
      <c r="D35" s="395">
        <f t="shared" si="0"/>
        <v>604.34</v>
      </c>
      <c r="E35" s="396">
        <f t="shared" si="5"/>
        <v>42547.885555159992</v>
      </c>
      <c r="F35" s="395">
        <v>0</v>
      </c>
      <c r="G35" s="395">
        <f t="shared" si="1"/>
        <v>42547.885555159992</v>
      </c>
      <c r="H35" s="397">
        <f t="shared" si="2"/>
        <v>41943.545555159995</v>
      </c>
    </row>
    <row r="36" spans="1:8" ht="14.45" customHeight="1" x14ac:dyDescent="0.25">
      <c r="A36" s="398">
        <f t="shared" si="3"/>
        <v>29</v>
      </c>
      <c r="B36" s="399"/>
      <c r="C36" s="396">
        <f t="shared" si="4"/>
        <v>604.34</v>
      </c>
      <c r="D36" s="395">
        <f t="shared" si="0"/>
        <v>604.34</v>
      </c>
      <c r="E36" s="396">
        <f t="shared" si="5"/>
        <v>42547.885555159992</v>
      </c>
      <c r="F36" s="395">
        <v>0</v>
      </c>
      <c r="G36" s="395">
        <f t="shared" si="1"/>
        <v>42547.885555159992</v>
      </c>
      <c r="H36" s="397">
        <f t="shared" si="2"/>
        <v>41943.545555159995</v>
      </c>
    </row>
    <row r="37" spans="1:8" x14ac:dyDescent="0.25">
      <c r="A37" s="398">
        <f t="shared" si="3"/>
        <v>30</v>
      </c>
      <c r="B37" s="396"/>
      <c r="C37" s="396">
        <f t="shared" si="4"/>
        <v>604.34</v>
      </c>
      <c r="D37" s="395">
        <f t="shared" si="0"/>
        <v>604.34</v>
      </c>
      <c r="E37" s="396">
        <f t="shared" si="5"/>
        <v>42547.885555159992</v>
      </c>
      <c r="F37" s="395">
        <v>0</v>
      </c>
      <c r="G37" s="395">
        <f t="shared" si="1"/>
        <v>42547.885555159992</v>
      </c>
      <c r="H37" s="397">
        <f t="shared" si="2"/>
        <v>41943.545555159995</v>
      </c>
    </row>
    <row r="38" spans="1:8" ht="15.75" customHeight="1" thickBot="1" x14ac:dyDescent="0.3">
      <c r="A38" s="401" t="s">
        <v>317</v>
      </c>
      <c r="B38" s="402">
        <f t="shared" ref="B38:H38" si="6">NPV(0.12,B8:B37)</f>
        <v>46292.917988627516</v>
      </c>
      <c r="C38" s="402">
        <f t="shared" si="6"/>
        <v>1865.9264623288573</v>
      </c>
      <c r="D38" s="402">
        <f t="shared" si="6"/>
        <v>48158.844450956363</v>
      </c>
      <c r="E38" s="402">
        <f t="shared" si="6"/>
        <v>162654.84571030864</v>
      </c>
      <c r="F38" s="402">
        <f t="shared" si="6"/>
        <v>0</v>
      </c>
      <c r="G38" s="402">
        <f t="shared" si="6"/>
        <v>162654.84571030864</v>
      </c>
      <c r="H38" s="403">
        <f t="shared" si="6"/>
        <v>114496.00125935227</v>
      </c>
    </row>
    <row r="39" spans="1:8" ht="16.5" customHeight="1" thickTop="1" thickBot="1" x14ac:dyDescent="0.3">
      <c r="A39" s="404" t="s">
        <v>318</v>
      </c>
      <c r="B39" s="404"/>
      <c r="C39" s="404"/>
      <c r="D39" s="404"/>
      <c r="E39" s="404"/>
      <c r="F39" s="405"/>
      <c r="G39" s="405"/>
      <c r="H39" s="405"/>
    </row>
    <row r="40" spans="1:8" ht="16.5" customHeight="1" thickTop="1" thickBot="1" x14ac:dyDescent="0.3">
      <c r="A40" s="406" t="s">
        <v>323</v>
      </c>
      <c r="B40" s="406"/>
      <c r="C40" s="406"/>
      <c r="D40" s="406">
        <f>IRR(H8:H37,0.12)</f>
        <v>0.36675385834460017</v>
      </c>
      <c r="E40" s="406"/>
      <c r="F40" s="407"/>
      <c r="G40" s="438"/>
      <c r="H40" s="408"/>
    </row>
    <row r="41" spans="1:8" ht="16.5" customHeight="1" thickTop="1" thickBot="1" x14ac:dyDescent="0.3">
      <c r="A41" s="409" t="s">
        <v>320</v>
      </c>
      <c r="B41" s="409"/>
      <c r="C41" s="409"/>
      <c r="D41" s="409">
        <f>NPV(0.12,G8:G37)/NPV(0.12,D8:D37)</f>
        <v>3.3774657088367608</v>
      </c>
      <c r="E41" s="409"/>
      <c r="F41" s="400"/>
      <c r="G41" s="400"/>
      <c r="H41" s="408"/>
    </row>
    <row r="42" spans="1:8" ht="16.5" customHeight="1" thickTop="1" thickBot="1" x14ac:dyDescent="0.3">
      <c r="A42" s="410" t="s">
        <v>317</v>
      </c>
      <c r="B42" s="410"/>
      <c r="C42" s="410"/>
      <c r="D42" s="478">
        <v>110049.79</v>
      </c>
      <c r="E42" s="410"/>
    </row>
    <row r="43" spans="1:8" ht="15.75" customHeight="1" thickTop="1" x14ac:dyDescent="0.25"/>
  </sheetData>
  <mergeCells count="3">
    <mergeCell ref="A4:H4"/>
    <mergeCell ref="A5:H5"/>
    <mergeCell ref="G6:H6"/>
  </mergeCells>
  <pageMargins left="1.25" right="0.75" top="1" bottom="1" header="0.5" footer="0.5"/>
  <pageSetup paperSize="9" orientation="portrait"/>
  <headerFooter alignWithMargins="0">
    <oddFooter>&amp;C&amp;12 P - 54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12</vt:i4>
      </vt:variant>
    </vt:vector>
  </HeadingPairs>
  <TitlesOfParts>
    <vt:vector size="27" baseType="lpstr">
      <vt:lpstr>Revised_2nd</vt:lpstr>
      <vt:lpstr>Sheet1</vt:lpstr>
      <vt:lpstr>9.Detil Phasing</vt:lpstr>
      <vt:lpstr>Annex-II</vt:lpstr>
      <vt:lpstr>Inves._Cost</vt:lpstr>
      <vt:lpstr>Crop. Pattern</vt:lpstr>
      <vt:lpstr>FIRR</vt:lpstr>
      <vt:lpstr>Sheet2</vt:lpstr>
      <vt:lpstr>EIRR</vt:lpstr>
      <vt:lpstr>Annex-IV</vt:lpstr>
      <vt:lpstr>FIRR_Backup</vt:lpstr>
      <vt:lpstr>Package_wise_quantity</vt:lpstr>
      <vt:lpstr>Package_wise_cost</vt:lpstr>
      <vt:lpstr>Haor_wise_quantity</vt:lpstr>
      <vt:lpstr>distribution_of_cost</vt:lpstr>
      <vt:lpstr>'9.Detil Phasing'!Print_Area</vt:lpstr>
      <vt:lpstr>'Annex-II'!Print_Area</vt:lpstr>
      <vt:lpstr>distribution_of_cost!Print_Area</vt:lpstr>
      <vt:lpstr>Haor_wise_quantity!Print_Area</vt:lpstr>
      <vt:lpstr>Inves._Cost!Print_Area</vt:lpstr>
      <vt:lpstr>Package_wise_cost!Print_Area</vt:lpstr>
      <vt:lpstr>Revised_2nd!Print_Area</vt:lpstr>
      <vt:lpstr>'9.Detil Phasing'!Print_Titles</vt:lpstr>
      <vt:lpstr>'Annex-II'!Print_Titles</vt:lpstr>
      <vt:lpstr>Haor_wise_quantity!Print_Titles</vt:lpstr>
      <vt:lpstr>Inves._Cost!Print_Titles</vt:lpstr>
      <vt:lpstr>Package_wise_cost!Print_Titles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HFMLIP</cp:lastModifiedBy>
  <cp:lastPrinted>2019-12-01T11:25:25Z</cp:lastPrinted>
  <dcterms:created xsi:type="dcterms:W3CDTF">2015-06-05T18:17:20Z</dcterms:created>
  <dcterms:modified xsi:type="dcterms:W3CDTF">2019-12-17T13:07:52Z</dcterms:modified>
</cp:coreProperties>
</file>