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G:\Office Work\Progress Monitoring Kishoregonj\Kishoreganj\Kishoreganj\"/>
    </mc:Choice>
  </mc:AlternateContent>
  <xr:revisionPtr revIDLastSave="0" documentId="13_ncr:1_{0421C3C7-CEE6-4055-BC61-B4E9A9285A53}" xr6:coauthVersionLast="45" xr6:coauthVersionMax="45" xr10:uidLastSave="{00000000-0000-0000-0000-000000000000}"/>
  <bookViews>
    <workbookView xWindow="-110" yWindow="-110" windowWidth="19420" windowHeight="10420" firstSheet="5" activeTab="9" xr2:uid="{00000000-000D-0000-FFFF-FFFF00000000}"/>
  </bookViews>
  <sheets>
    <sheet name="Estimate" sheetId="27" r:id="rId1"/>
    <sheet name="Embankment" sheetId="28" r:id="rId2"/>
    <sheet name="Regulator" sheetId="29" r:id="rId3"/>
    <sheet name="Inlet" sheetId="30" r:id="rId4"/>
    <sheet name="Box" sheetId="31" r:id="rId5"/>
    <sheet name="Rate_Emb" sheetId="32" r:id="rId6"/>
    <sheet name="Rate_Block_road" sheetId="33" r:id="rId7"/>
    <sheet name="Rate_Neora_Reg" sheetId="34" r:id="rId8"/>
    <sheet name="Rate_Box" sheetId="35" r:id="rId9"/>
    <sheet name="Rate_inlet" sheetId="36" r:id="rId10"/>
    <sheet name="Bagdia_Khal_Regulator" sheetId="37" r:id="rId11"/>
  </sheets>
  <externalReferences>
    <externalReference r:id="rId12"/>
  </externalReferences>
  <definedNames>
    <definedName name="_xlnm.Print_Area" localSheetId="1">Embankment!$A$1:$F$36</definedName>
    <definedName name="_xlnm.Print_Area" localSheetId="0">Estimate!$A$1:$AG$136</definedName>
    <definedName name="_xlnm.Print_Area" localSheetId="3">Inlet!$A$1:$G$100</definedName>
    <definedName name="_xlnm.Print_Area" localSheetId="2">Regulator!$A$1:$G$57</definedName>
    <definedName name="_xlnm.Print_Titles" localSheetId="4">Box!$1:$1</definedName>
    <definedName name="_xlnm.Print_Titles" localSheetId="1">Embankment!$1:$1</definedName>
    <definedName name="_xlnm.Print_Titles" localSheetId="3">Inlet!$1:$1</definedName>
    <definedName name="_xlnm.Print_Titles" localSheetId="2">Regulator!$1:$1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9" i="36" l="1"/>
  <c r="I28" i="36"/>
  <c r="I27" i="36"/>
  <c r="I60" i="37"/>
  <c r="I59" i="37"/>
  <c r="I58" i="37" l="1"/>
  <c r="I57" i="37"/>
  <c r="I26" i="36" l="1"/>
  <c r="I25" i="36"/>
  <c r="I36" i="35"/>
  <c r="I35" i="35"/>
  <c r="I34" i="35"/>
  <c r="I33" i="35"/>
  <c r="I11" i="33"/>
  <c r="I10" i="33"/>
  <c r="I27" i="32"/>
  <c r="I26" i="32"/>
  <c r="M18" i="31" l="1"/>
  <c r="M27" i="31"/>
  <c r="M26" i="31"/>
  <c r="C19" i="28" l="1"/>
  <c r="C2" i="28" l="1"/>
  <c r="G34" i="31" l="1"/>
  <c r="G33" i="31"/>
  <c r="G32" i="31"/>
  <c r="G31" i="31"/>
  <c r="G30" i="31"/>
  <c r="G29" i="31"/>
  <c r="G28" i="31"/>
  <c r="G27" i="31"/>
  <c r="G26" i="31"/>
  <c r="G25" i="31"/>
  <c r="G24" i="31"/>
  <c r="G23" i="31"/>
  <c r="G22" i="31"/>
  <c r="G21" i="31"/>
  <c r="G20" i="31"/>
  <c r="G19" i="31"/>
  <c r="G18" i="31"/>
  <c r="G17" i="31"/>
  <c r="G16" i="31"/>
  <c r="G15" i="31"/>
  <c r="G14" i="31"/>
  <c r="G13" i="31"/>
  <c r="G12" i="31"/>
  <c r="G11" i="31"/>
  <c r="G10" i="31"/>
  <c r="G9" i="31"/>
  <c r="G8" i="31"/>
  <c r="G7" i="31"/>
  <c r="G6" i="31"/>
  <c r="G5" i="31"/>
  <c r="G4" i="31"/>
  <c r="G3" i="31"/>
  <c r="G89" i="30" l="1"/>
  <c r="G88" i="30"/>
  <c r="G87" i="30"/>
  <c r="G86" i="30"/>
  <c r="G85" i="30"/>
  <c r="G84" i="30"/>
  <c r="G83" i="30"/>
  <c r="G82" i="30"/>
  <c r="G81" i="30"/>
  <c r="G80" i="30"/>
  <c r="G79" i="30"/>
  <c r="G78" i="30"/>
  <c r="G77" i="30"/>
  <c r="G76" i="30"/>
  <c r="G75" i="30"/>
  <c r="G74" i="30"/>
  <c r="G73" i="30"/>
  <c r="G72" i="30"/>
  <c r="G71" i="30"/>
  <c r="G70" i="30"/>
  <c r="G69" i="30"/>
  <c r="G68" i="30"/>
  <c r="G67" i="30"/>
  <c r="G66" i="30"/>
  <c r="G65" i="30"/>
  <c r="G64" i="30"/>
  <c r="G63" i="30"/>
  <c r="G62" i="30"/>
  <c r="G61" i="30"/>
  <c r="G60" i="30"/>
  <c r="G59" i="30"/>
  <c r="G58" i="30"/>
  <c r="G57" i="30"/>
  <c r="G56" i="30"/>
  <c r="G55" i="30"/>
  <c r="G54" i="30"/>
  <c r="G53" i="30"/>
  <c r="G52" i="30"/>
  <c r="G51" i="30"/>
  <c r="G50" i="30"/>
  <c r="G49" i="30"/>
  <c r="G48" i="30"/>
  <c r="G47" i="30"/>
  <c r="G46" i="30"/>
  <c r="G45" i="30"/>
  <c r="G44" i="30"/>
  <c r="G43" i="30"/>
  <c r="G42" i="30"/>
  <c r="G39" i="30"/>
  <c r="G38" i="30"/>
  <c r="G37" i="30"/>
  <c r="G36" i="30"/>
  <c r="G35" i="30"/>
  <c r="G34" i="30"/>
  <c r="G33" i="30"/>
  <c r="G32" i="30"/>
  <c r="G31" i="30"/>
  <c r="G30" i="30"/>
  <c r="G29" i="30"/>
  <c r="G28" i="30"/>
  <c r="G27" i="30"/>
  <c r="G26" i="30"/>
  <c r="G25" i="30"/>
  <c r="G24" i="30"/>
  <c r="G23" i="30"/>
  <c r="G22" i="30"/>
  <c r="G21" i="30"/>
  <c r="G20" i="30"/>
  <c r="G19" i="30"/>
  <c r="G18" i="30"/>
  <c r="G17" i="30"/>
  <c r="G16" i="30"/>
  <c r="G15" i="30"/>
  <c r="G14" i="30"/>
  <c r="G13" i="30"/>
  <c r="G12" i="30"/>
  <c r="G11" i="30"/>
  <c r="G10" i="30"/>
  <c r="G9" i="30"/>
  <c r="G8" i="30"/>
  <c r="G7" i="30"/>
  <c r="G6" i="30"/>
  <c r="G5" i="30"/>
  <c r="G4" i="30"/>
  <c r="G3" i="30"/>
  <c r="G2" i="30"/>
  <c r="G90" i="30" l="1"/>
  <c r="G91" i="30" s="1"/>
  <c r="G40" i="30"/>
  <c r="A2" i="28" l="1"/>
  <c r="B18" i="28" l="1"/>
  <c r="C18" i="28"/>
  <c r="N81" i="27"/>
  <c r="T81" i="27" s="1"/>
  <c r="AF83" i="27" s="1"/>
  <c r="E18" i="28" s="1"/>
  <c r="B36" i="28"/>
  <c r="V60" i="27" l="1"/>
  <c r="I25" i="27"/>
  <c r="I28" i="27" s="1"/>
  <c r="V28" i="27" s="1"/>
  <c r="AF28" i="27" s="1"/>
  <c r="AF29" i="27" s="1"/>
  <c r="I22" i="27"/>
  <c r="W22" i="27" s="1"/>
  <c r="AF22" i="27" s="1"/>
  <c r="AF23" i="27" s="1"/>
  <c r="W19" i="27"/>
  <c r="AF19" i="27" s="1"/>
  <c r="AF20" i="27" s="1"/>
  <c r="V25" i="27" l="1"/>
  <c r="AF25" i="27" s="1"/>
  <c r="AF26" i="27" s="1"/>
  <c r="C35" i="28" l="1"/>
  <c r="B16" i="28" l="1"/>
  <c r="C16" i="28"/>
  <c r="B17" i="28"/>
  <c r="C17" i="28"/>
  <c r="B19" i="28"/>
  <c r="R68" i="27"/>
  <c r="R70" i="27" s="1"/>
  <c r="N75" i="27"/>
  <c r="E7" i="28" l="1"/>
  <c r="B7" i="28"/>
  <c r="C7" i="28"/>
  <c r="E9" i="28" l="1"/>
  <c r="E8" i="28"/>
  <c r="E6" i="28"/>
  <c r="E21" i="28"/>
  <c r="E20" i="28"/>
  <c r="A2" i="27" l="1"/>
  <c r="C33" i="28" l="1"/>
  <c r="U32" i="27" l="1"/>
  <c r="Z61" i="27" l="1"/>
  <c r="B35" i="28"/>
  <c r="C34" i="28"/>
  <c r="B34" i="28"/>
  <c r="B33" i="28"/>
  <c r="C32" i="28"/>
  <c r="C31" i="28"/>
  <c r="B32" i="28"/>
  <c r="B31" i="28"/>
  <c r="B29" i="28"/>
  <c r="C29" i="28"/>
  <c r="B24" i="28"/>
  <c r="B28" i="28"/>
  <c r="C28" i="28"/>
  <c r="B27" i="28"/>
  <c r="C27" i="28"/>
  <c r="B15" i="28"/>
  <c r="C15" i="28"/>
  <c r="B14" i="28"/>
  <c r="C14" i="28"/>
  <c r="C13" i="28"/>
  <c r="B13" i="28"/>
  <c r="C12" i="28"/>
  <c r="B12" i="28"/>
  <c r="B11" i="28"/>
  <c r="C11" i="28"/>
  <c r="B10" i="28"/>
  <c r="C10" i="28"/>
  <c r="B9" i="28"/>
  <c r="C9" i="28"/>
  <c r="B8" i="28"/>
  <c r="C8" i="28"/>
  <c r="B6" i="28"/>
  <c r="C6" i="28"/>
  <c r="C5" i="28"/>
  <c r="B5" i="28"/>
  <c r="B4" i="28"/>
  <c r="C4" i="28"/>
  <c r="B3" i="28"/>
  <c r="C3" i="28"/>
  <c r="B2" i="28"/>
  <c r="B25" i="28"/>
  <c r="C25" i="28"/>
  <c r="C24" i="28"/>
  <c r="B23" i="28"/>
  <c r="C23" i="28"/>
  <c r="B22" i="28"/>
  <c r="C22" i="28"/>
  <c r="B21" i="28"/>
  <c r="C21" i="28"/>
  <c r="B20" i="28"/>
  <c r="C20" i="28"/>
  <c r="C30" i="28"/>
  <c r="D6" i="28"/>
  <c r="D5" i="28"/>
  <c r="D4" i="28"/>
  <c r="D3" i="28"/>
  <c r="AG129" i="27"/>
  <c r="P107" i="27"/>
  <c r="H107" i="27"/>
  <c r="P99" i="27"/>
  <c r="Y99" i="27" s="1"/>
  <c r="Q98" i="27"/>
  <c r="Q63" i="27"/>
  <c r="Z63" i="27" s="1"/>
  <c r="Q62" i="27"/>
  <c r="V62" i="27"/>
  <c r="J8" i="27"/>
  <c r="J12" i="27" s="1"/>
  <c r="J67" i="27" s="1"/>
  <c r="U67" i="27" s="1"/>
  <c r="AF67" i="27" s="1"/>
  <c r="AG6" i="27"/>
  <c r="U5" i="27"/>
  <c r="AF5" i="27" s="1"/>
  <c r="AF6" i="27" s="1"/>
  <c r="E2" i="28" s="1"/>
  <c r="AK2" i="27"/>
  <c r="Z62" i="27" l="1"/>
  <c r="Y100" i="27"/>
  <c r="AF101" i="27" s="1"/>
  <c r="E27" i="28" s="1"/>
  <c r="O9" i="27"/>
  <c r="AF9" i="27" s="1"/>
  <c r="K86" i="27"/>
  <c r="L88" i="27" s="1"/>
  <c r="AF89" i="27" s="1"/>
  <c r="E19" i="28" s="1"/>
  <c r="O70" i="27"/>
  <c r="W70" i="27" s="1"/>
  <c r="AF72" i="27" s="1"/>
  <c r="E16" i="28" s="1"/>
  <c r="S75" i="27"/>
  <c r="S76" i="27" s="1"/>
  <c r="S77" i="27" s="1"/>
  <c r="S78" i="27" s="1"/>
  <c r="G75" i="27"/>
  <c r="G76" i="27" s="1"/>
  <c r="G77" i="27" s="1"/>
  <c r="G78" i="27" s="1"/>
  <c r="Q104" i="27"/>
  <c r="AF105" i="27" s="1"/>
  <c r="E28" i="28" s="1"/>
  <c r="O12" i="27"/>
  <c r="J16" i="27"/>
  <c r="H112" i="27"/>
  <c r="Q108" i="27"/>
  <c r="AF109" i="27" s="1"/>
  <c r="E29" i="28" s="1"/>
  <c r="U8" i="27"/>
  <c r="AF8" i="27" s="1"/>
  <c r="AF10" i="27" s="1"/>
  <c r="E3" i="28" s="1"/>
  <c r="AF79" i="27" l="1"/>
  <c r="E17" i="28" s="1"/>
  <c r="W16" i="27"/>
  <c r="AF16" i="27" s="1"/>
  <c r="AF17" i="27" s="1"/>
  <c r="E5" i="28" s="1"/>
  <c r="Q58" i="27"/>
  <c r="Q60" i="27" s="1"/>
  <c r="O13" i="27"/>
  <c r="AF13" i="27" s="1"/>
  <c r="AF14" i="27" s="1"/>
  <c r="E4" i="28" s="1"/>
  <c r="H116" i="27"/>
  <c r="H121" i="27" s="1"/>
  <c r="Q122" i="27" s="1"/>
  <c r="AF123" i="27" s="1"/>
  <c r="E33" i="28" s="1"/>
  <c r="S117" i="27"/>
  <c r="W117" i="27" s="1"/>
  <c r="AF119" i="27" s="1"/>
  <c r="E32" i="28" s="1"/>
  <c r="W112" i="27"/>
  <c r="W113" i="27" s="1"/>
  <c r="AF114" i="27" s="1"/>
  <c r="E31" i="28" s="1"/>
  <c r="I126" i="27" l="1"/>
  <c r="Z60" i="27"/>
  <c r="Z64" i="27" s="1"/>
  <c r="O126" i="27"/>
  <c r="AF65" i="27" l="1"/>
  <c r="E15" i="28" s="1"/>
  <c r="U126" i="27"/>
  <c r="AF129" i="27" l="1"/>
  <c r="E35" i="28" s="1"/>
  <c r="AF127" i="27"/>
  <c r="E34" i="28" s="1"/>
  <c r="A7" i="27"/>
  <c r="A3" i="28" s="1"/>
  <c r="A11" i="27" l="1"/>
  <c r="A15" i="27" l="1"/>
  <c r="A18" i="27" s="1"/>
  <c r="A21" i="27" s="1"/>
  <c r="A24" i="27" l="1"/>
  <c r="A27" i="27" s="1"/>
  <c r="A30" i="27" l="1"/>
  <c r="A34" i="27" l="1"/>
  <c r="A38" i="27" l="1"/>
  <c r="A48" i="27" l="1"/>
  <c r="A52" i="27" l="1"/>
  <c r="A57" i="27" l="1"/>
  <c r="A66" i="27" s="1"/>
  <c r="A73" i="27" l="1"/>
  <c r="A80" i="27" s="1"/>
  <c r="A84" i="27" s="1"/>
  <c r="A90" i="27" s="1"/>
  <c r="A91" i="27" s="1"/>
  <c r="A92" i="27" s="1"/>
  <c r="A93" i="27" s="1"/>
  <c r="A94" i="27" s="1"/>
  <c r="A95" i="27" s="1"/>
  <c r="A96" i="27" s="1"/>
  <c r="A102" i="27" l="1"/>
  <c r="A27" i="28"/>
  <c r="A106" i="27" l="1"/>
  <c r="A28" i="28"/>
  <c r="A110" i="27" l="1"/>
  <c r="A29" i="28"/>
  <c r="A120" i="27" l="1"/>
  <c r="A30" i="28"/>
  <c r="V35" i="27"/>
  <c r="A124" i="27" l="1"/>
  <c r="A33" i="28"/>
  <c r="V36" i="27"/>
  <c r="AF37" i="27" s="1"/>
  <c r="AH37" i="27" s="1"/>
  <c r="AF33" i="27"/>
  <c r="AH33" i="27" s="1"/>
  <c r="V40" i="27"/>
  <c r="V41" i="27" s="1"/>
  <c r="V42" i="27" s="1"/>
  <c r="A34" i="28" l="1"/>
  <c r="A130" i="27"/>
  <c r="A36" i="28" s="1"/>
  <c r="E11" i="28"/>
  <c r="E10" i="28"/>
  <c r="V49" i="27"/>
  <c r="V50" i="27" l="1"/>
  <c r="AF51" i="27" s="1"/>
  <c r="E13" i="28" s="1"/>
  <c r="AF47" i="27"/>
  <c r="E12" i="28" s="1"/>
  <c r="V53" i="27"/>
  <c r="V54" i="27" s="1"/>
  <c r="AH51" i="27" l="1"/>
  <c r="AI51" i="27" s="1"/>
  <c r="V55" i="27"/>
  <c r="AF56" i="27" s="1"/>
  <c r="E14" i="28" s="1"/>
</calcChain>
</file>

<file path=xl/sharedStrings.xml><?xml version="1.0" encoding="utf-8"?>
<sst xmlns="http://schemas.openxmlformats.org/spreadsheetml/2006/main" count="2060" uniqueCount="602">
  <si>
    <t>Sqm</t>
  </si>
  <si>
    <t>Sub- Divisional Engineer</t>
  </si>
  <si>
    <t>Kishoregonj O&amp;M Sub-Division</t>
  </si>
  <si>
    <t>BWDB. Kishoregonj</t>
  </si>
  <si>
    <t>Item Code</t>
  </si>
  <si>
    <t>Description of Item</t>
  </si>
  <si>
    <t>Quantity</t>
  </si>
  <si>
    <t>Amount</t>
  </si>
  <si>
    <t>nos</t>
  </si>
  <si>
    <t>cum</t>
  </si>
  <si>
    <t xml:space="preserve">Detail  estimate for </t>
  </si>
  <si>
    <t>Measurement</t>
  </si>
  <si>
    <t>(Md. Shahjahan)</t>
  </si>
  <si>
    <t>SAE/SO</t>
  </si>
  <si>
    <t>Bhairab O&amp;M Section</t>
  </si>
  <si>
    <t xml:space="preserve"> BWDB, Kishoreganj.</t>
  </si>
  <si>
    <t>=</t>
  </si>
  <si>
    <t>Total</t>
  </si>
  <si>
    <t xml:space="preserve">Total Length </t>
  </si>
  <si>
    <t>@</t>
  </si>
  <si>
    <t>x</t>
  </si>
  <si>
    <t>sqm</t>
  </si>
  <si>
    <t>m</t>
  </si>
  <si>
    <t>Unit</t>
  </si>
  <si>
    <t>Unit Rate</t>
  </si>
  <si>
    <t>Cum</t>
  </si>
  <si>
    <t>Item No</t>
  </si>
  <si>
    <t>(Md. Zahurul Islam)</t>
  </si>
  <si>
    <t>48-100</t>
  </si>
  <si>
    <t>Fine dressing and close turfing of the slopes and the crest of embankment with 75 mm thick good quality durba or charkanta sods of size 200 mm x 200 mm with all leads and lifts including ramming watering until the turf grows properly, maintaining etc. complete (measurement will be given on well grown grass only) as per direction of Engineer in charge.</t>
  </si>
  <si>
    <t>16-100</t>
  </si>
  <si>
    <t>Erection of bamboo profile with full bamboo posts and pegs not less than 60mm in diameter and coir strings etc. complete as per direction of Engineer in charge.</t>
  </si>
  <si>
    <t>16-190</t>
  </si>
  <si>
    <t>Manufacturing and supplying R.C.C. (1:2:4) BM Pillars of size 15cmx 15cmx75cm, with 40cmx40cmx10cm base having 3 nos.10mm dia MS.bar each way at base,4nos.10mm dia vertical bar and 8nos 6mm dia ring,excluding cost of M.S.works for reinforcement but including cost of form works, concreting, plastering at top, finishing surface, curing etc. complete, with inscription of "BWDB", on exposed surface etc. complete as per direction of Engineer in charge.</t>
  </si>
  <si>
    <t>04-150</t>
  </si>
  <si>
    <t>KM</t>
  </si>
  <si>
    <t>KM C/C</t>
  </si>
  <si>
    <t>+</t>
  </si>
  <si>
    <t>04-160</t>
  </si>
  <si>
    <t>Fixing in position B.M. pillars and kilometer posts of size 15cmx15cmx75cm with 40cmx40cmx10cm base, embedding 45cm below G.L. including carriage, earth cutting, backfilling, ramming, etc. complete as per direction of Engineer in charge.</t>
  </si>
  <si>
    <t>48-130</t>
  </si>
  <si>
    <t>Biological protection of bare earth surface by Dholkalmi with minimum 50cm long sapling, planting @ not more than 30 cm apart including supplying, sizing, taping and nursing etc. complete as per direction of the Engineer in charge.</t>
  </si>
  <si>
    <t>m c/c</t>
  </si>
  <si>
    <t>16-300</t>
  </si>
  <si>
    <t>Royalty of specified earth taken from private land (with prior permission of the Executive Engineer on production of royalty deeds with the land owner) from the area to be selected by the contractor with mutual agreement.</t>
  </si>
  <si>
    <t>As per calculation sheet attached total Earth volume=</t>
  </si>
  <si>
    <t>Royalty Earth =</t>
  </si>
  <si>
    <t>Area</t>
  </si>
  <si>
    <t>(Md. Shafiqul Islam)</t>
  </si>
  <si>
    <t>Executive Engineer</t>
  </si>
  <si>
    <t>Kishoreganj WD Division</t>
  </si>
  <si>
    <t>BWDB, Kishoreganj.</t>
  </si>
  <si>
    <t>Embankment  Length</t>
  </si>
  <si>
    <t>Slope protection length</t>
  </si>
  <si>
    <t>Turfing area</t>
  </si>
  <si>
    <t>Earth work in box cutting up to 1.00 m depth, in all kinds of soil with all leads, removing the spoils to a safe distance, including levelling and dressing, maintaining required cambering etc. complete, as per direction of Engineer in charge.</t>
  </si>
  <si>
    <t>56-100</t>
  </si>
  <si>
    <t>Length=</t>
  </si>
  <si>
    <t>width</t>
  </si>
  <si>
    <t>h</t>
  </si>
  <si>
    <t>Volume=</t>
  </si>
  <si>
    <t>Construction of improved road sub-grade of sand (FM&gt;=0.8) in maximum 150mm thick layer including dressing, levelling, ramming, watering, cambering and compacting to attain minimum CBR-8% by manual labour using mallet/ vibro compactor including cost of all materials etc. complete as per design, drawing and direction of Engineer in charge (payment shall be made on compacted volume).</t>
  </si>
  <si>
    <t>56-110</t>
  </si>
  <si>
    <t xml:space="preserve">Block size: 30cm x 30cm x 30cm </t>
  </si>
  <si>
    <t xml:space="preserve">Manufacturing and supplying of CC blocks in leanest mix (1:2:4) in volume, with cement, sand (FM&gt;=1.5) and stone chips (40mmdown graded), to attain a minimum 28 days cylinder strength of 15.0 N/mm2 including grading, washing shingles, mixing, laying in forms, consolidation, curing for at least 21 days, including preparation of platform, shuttering in measureable stacks etc. complete including supply of all materials ( steel shutter to be used) as per direction of Enginnner in charge. </t>
  </si>
  <si>
    <t>No of blocks</t>
  </si>
  <si>
    <t>X</t>
  </si>
  <si>
    <t>24-310-10</t>
  </si>
  <si>
    <t>Flush pointing to brick works, in sand cement mortar (sand of FM&gt;=1.3), including scaffolding, curing, raking out joints, clearing the surface etc. complete in all floors including the cost of all materials and as per direction of Engineer in charge.</t>
  </si>
  <si>
    <t>Area=</t>
  </si>
  <si>
    <t>40-220-20</t>
  </si>
  <si>
    <t>Block nos</t>
  </si>
  <si>
    <t>LS</t>
  </si>
  <si>
    <t>nos x</t>
  </si>
  <si>
    <t>Provide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t>
  </si>
  <si>
    <t>Demobilization and clean-up of the site upon completion of the works, as per Specifications and Contractor's Method Statement and as per direction of Engineer in Charge</t>
  </si>
  <si>
    <t xml:space="preserve">Providing and maintaining adequate portable water supply by installing 6 Nos. of tube well and sanitation facilities by installing 6 Nos. of sanitary latrines for usage of labours,officials and others for prevailing the hygenic and healthy environment at allover the working site As per direction of the Engineer in charge. </t>
  </si>
  <si>
    <t>Preparation and mobilization of the Site for Construction of Submersible Embankment or other Structural Components in c/w "Haor Flood Management and Livelihood Improved Improvement Project(BWDB Part) as per Technical Specifications, including land lease, rental charges, obtaining permissions for work, developing work area, preparation of platform for temporary semi pucca site office(40sqm), CI Sheet labour sheds(200sqm), CI Sheet Stores(200sqm), supply of wooden &amp; cane seated furniture etc. as specified and as per Contractor's Method Statement and as per direction of Engineer in charge.</t>
  </si>
  <si>
    <t xml:space="preserve">Mobilize, strengthen required land based construction equipment such as excavator, dump truck, chain dozer, vibro-compactor, and plants such as generator for site electrification, digital camera for taking photographs and digital video camera for recording/Taking photograph all sequences of works etc for keeping records of the Works by providing following information including transfer to site, complete for the purposes stated in the Technical Specification and Contractor’s Method Statement and as per direction of Engineer in charge. </t>
  </si>
  <si>
    <t xml:space="preserve">Operate , maintain  of plant and equipment such as generator for site electrification, for the purpose stated in the Technical Specification and in the Contractor’s Method Statement and as per direction of Engineer in charge.  </t>
  </si>
  <si>
    <t>40-580</t>
  </si>
  <si>
    <t>Supplying and placing in position and fitting, fixing single layer tarjah double woven matting with necessary ties including the cost of all materials etc. complete as per direction of Engineer in charge.</t>
  </si>
  <si>
    <t>16-410-10</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</si>
  <si>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charge.300m to 1.00 km.(85% compaction) </t>
  </si>
  <si>
    <t>16-120-10</t>
  </si>
  <si>
    <t>Earth work by manual labour in constructing/ resectioning of embankment/ canalbank/road etccompacted to 85%/90% maximum drydensity at optimum moisture content,with referenceto laboratory density test AAHSTO modified hammer, with clayey soil(minm 30% clay,0-40% silt, 0-30% sand) within the initial lead of 30m &amp; all lifts including throwing the spoils to profiles in layers not exceeding 230mm in thickness with clod breaking to a maximum size of 100mm, benching the side slopes, removing roots &amp; stumps of trees of girth upto 200mm from the ground, stripping/ ploughing the base of embankment and borrow pit area, dug bailing, bail out of water, rough dressing including 150mm cambering at the centre of crest etc.complete, including maintenance of the same for 6 months after completion, (compaction will be done by the contractor with approved equipment, including all ancillary charges for compaction and testing) as per direction of Engineer in charge. 0 m to 3 m height with 85% compaction.</t>
  </si>
  <si>
    <t>16-650-10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</si>
  <si>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0 to 4 m height with 85% compaction.
</t>
  </si>
  <si>
    <t>Closure</t>
  </si>
  <si>
    <t>Deduction</t>
  </si>
  <si>
    <t>Top Protection</t>
  </si>
  <si>
    <t>Block edge</t>
  </si>
  <si>
    <t xml:space="preserve">BP: Preperation of bed by cutting and filling including watering to bring moisture content ±2% of OMC &amp; compacting by appropiate mechanical means etc to attain minimum compaction 98% of MDD (standard) to obtain a minimum soaked CBR 4% etc all complete as per direction of the E-I-C.      </t>
  </si>
  <si>
    <t xml:space="preserve">Block size: 100cm x 65cm x (10-15)cm </t>
  </si>
  <si>
    <t>No of blocks(Edging)</t>
  </si>
  <si>
    <t>40-220-10</t>
  </si>
  <si>
    <t xml:space="preserve">Labour charge for protective works in laying CC blocks of different sizes including preparation of base, watering and ramming of base etc. complete as per direction of Engineer in charge.Within 200m </t>
  </si>
  <si>
    <t xml:space="preserve">Within 200m </t>
  </si>
  <si>
    <t>50% of total quantity</t>
  </si>
  <si>
    <t>Beyond 200m</t>
  </si>
  <si>
    <t>Approved Rate</t>
  </si>
  <si>
    <t>Days</t>
  </si>
  <si>
    <t>Approved Rate/LGED</t>
  </si>
  <si>
    <t xml:space="preserve">Extra Lead  2 nos </t>
  </si>
  <si>
    <t>M</t>
  </si>
  <si>
    <t>40-560-10</t>
  </si>
  <si>
    <t>Supplying, sizing and fitting in position 8.0 cm and above dia in size full barrack bamboo half split walling pieces with nails average 1.00 m apart including supply of all materials as per direction of Engineer in charge.Double Walling.</t>
  </si>
  <si>
    <t>line</t>
  </si>
  <si>
    <t>kg</t>
  </si>
  <si>
    <t>76-240-40</t>
  </si>
  <si>
    <t>Size 1.95m x 1.65m.</t>
  </si>
  <si>
    <t>04-180</t>
  </si>
  <si>
    <t>Site preparation by manually removing all miscellaneous objectional materials from entire site and removing soil upto 15cm depth including uprooting stumps, jungle, cleaning, levelling, dressing etc. complete as per direction of Engineer in charge</t>
  </si>
  <si>
    <t>04-320</t>
  </si>
  <si>
    <t>04-330</t>
  </si>
  <si>
    <t>12-100</t>
  </si>
  <si>
    <t>12-300</t>
  </si>
  <si>
    <t>16-220</t>
  </si>
  <si>
    <t>16-560-30</t>
  </si>
  <si>
    <t>16-310-10</t>
  </si>
  <si>
    <t>40-440-20</t>
  </si>
  <si>
    <t>16-520</t>
  </si>
  <si>
    <t>16-520-20</t>
  </si>
  <si>
    <t>16-540-20</t>
  </si>
  <si>
    <t>44-240-30</t>
  </si>
  <si>
    <t>U-shape, hot- rolled steel sheet pile width= 400mm to 600mm: height=&gt;100mm, Th.=&gt; 10.5: wt. per sqm of pile wall =&gt;120 kg/m2: sectional modulus per one meter of pile wall width =&gt; 874 cm3/m.</t>
  </si>
  <si>
    <t>44-320-20</t>
  </si>
  <si>
    <t>Above 10mm thick.</t>
  </si>
  <si>
    <t>72-540</t>
  </si>
  <si>
    <t>Epoxy paint 2 coats of approved colour and specification over a priming coat to gate, hoisting device and embedded metal parts including scraping out rust and old paint with chisel, scraper, steel wire brush &amp; emery paper etc. complete in all respect including the cost of all materials as per direction of Engineer in charge.</t>
  </si>
  <si>
    <t>44-270-20</t>
  </si>
  <si>
    <t>U-type or any other type : Upto 4.50 m depth.</t>
  </si>
  <si>
    <t>44-310</t>
  </si>
  <si>
    <t>Supplying and placing 20mm thick hessian cloth impregnated with bitumen in expansion joints or on top of sheet piles as per specification and direction of Engineer in charge.</t>
  </si>
  <si>
    <t>44-220</t>
  </si>
  <si>
    <t>44-220-10</t>
  </si>
  <si>
    <t>40-610</t>
  </si>
  <si>
    <t>40-610-30</t>
  </si>
  <si>
    <t>40-650-30</t>
  </si>
  <si>
    <t>40-650-20</t>
  </si>
  <si>
    <t>12-310</t>
  </si>
  <si>
    <t>12-310-20</t>
  </si>
  <si>
    <t>28-120</t>
  </si>
  <si>
    <t>28-120-20</t>
  </si>
  <si>
    <t>With 25mm down graded stone chips.</t>
  </si>
  <si>
    <t>36-150</t>
  </si>
  <si>
    <t>36-150-10</t>
  </si>
  <si>
    <t>36-150-20</t>
  </si>
  <si>
    <t>36-150-60</t>
  </si>
  <si>
    <t>76-120</t>
  </si>
  <si>
    <t>76-120-10</t>
  </si>
  <si>
    <t>76-115-10</t>
  </si>
  <si>
    <t>80-230-40</t>
  </si>
  <si>
    <t>40mm dia G.I. pipe line.</t>
  </si>
  <si>
    <t>76-170</t>
  </si>
  <si>
    <t>28-200</t>
  </si>
  <si>
    <t>28-200-10</t>
  </si>
  <si>
    <t>With stone chips</t>
  </si>
  <si>
    <t>04-280-10</t>
  </si>
  <si>
    <t>40-140</t>
  </si>
  <si>
    <t>40-140-50</t>
  </si>
  <si>
    <t>40-140-40</t>
  </si>
  <si>
    <t>76-630-10</t>
  </si>
  <si>
    <t>76-240</t>
  </si>
  <si>
    <t>76-260-20</t>
  </si>
  <si>
    <t>76-190</t>
  </si>
  <si>
    <t xml:space="preserve">16-600-10 </t>
  </si>
  <si>
    <t xml:space="preserve">Earth work by Mechanical Excavator ( Long Boom ) in all kinds of soil in excavation/re-excavation of Channel/Canal/khal etc. Including disposal of spoil-soil upto 30m away from the point of excavation with rough dressing and leveling etc. Complete as per direction of Engineer in charge. </t>
  </si>
  <si>
    <t>68-130</t>
  </si>
  <si>
    <t>(B)Block Road</t>
  </si>
  <si>
    <t>Extra rate for every additional lead of 15 m or part thereof beyond the initial lead of 30m up to a maximum of 19 leads (3m neglected) for all kinds of earth work. 2 nos Lead (Quoted rate will be applicable for 2 nos lead)</t>
  </si>
  <si>
    <t>2 lead/Cum</t>
  </si>
  <si>
    <t>Earth work by carried earth quantity 25% of total earth=</t>
  </si>
  <si>
    <t>Earth work by manual labour, quantity 25% of total earth=</t>
  </si>
  <si>
    <t>Earth work by mechanical excavator, quantity 50% of remaining earth=</t>
  </si>
  <si>
    <t>Remaining Earth work quantity 75% of total earth=</t>
  </si>
  <si>
    <t>Lead quantity of earth work by manual labour=</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</si>
  <si>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36-150-10: Vertical  and  inclined  walls,  columns,  piers  with  60-80mm  dia  barrack bamboo  props</t>
  </si>
  <si>
    <t>Suttering</t>
  </si>
  <si>
    <t>Area of Shattering</t>
  </si>
  <si>
    <t xml:space="preserve"> 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8mm  dia  to  30mm  dia</t>
  </si>
  <si>
    <t>D-10- 6Nos (Vertical)</t>
  </si>
  <si>
    <t>D-6- 8Nos (Stirrups)</t>
  </si>
  <si>
    <t>Kg</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</si>
  <si>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with  stone  chips .</t>
  </si>
  <si>
    <t>Volume of RCC</t>
  </si>
  <si>
    <t>Kilometer post</t>
  </si>
  <si>
    <t>Considering  6 row at toe</t>
  </si>
  <si>
    <t>40-540-20</t>
  </si>
  <si>
    <t>Supplying, sizing and placing of barrack bamboo pins and stays of diameter &gt;=8.0 cm in position etc. complete as per direction of Engineer in charge. Length : &gt;=2.0 m to &lt;=4.5m</t>
  </si>
  <si>
    <t>40-550-30</t>
  </si>
  <si>
    <t>Labour charge for driving barrack bamboo pins of diameter &gt;= 8.0 cm, by hammer or monkey hammer, as per direction of Engineer in charge. &gt;= 0.75 m to &lt; 1.50 m, on dry land.</t>
  </si>
  <si>
    <t>Layer</t>
  </si>
  <si>
    <t>01-120</t>
  </si>
  <si>
    <t xml:space="preserve">Construction of B.M. pillar at site first class bricks in cement mortar (1:4) of size 36cm x 38cm x 75cm of cement concrete (1:2:4) base size 50cm x 50cm x 75cm with 12mm thick cement plastering (1:2) in exposed surface of pillar and cement mortar on  top (1:2) with in ascription of  “BWDB” with 25cm of the pillar below ground level etc. complete including ramming the backfilling and the cost of all materials as per direction of Engineer in charge. </t>
  </si>
  <si>
    <t>Nos</t>
  </si>
  <si>
    <t>04-620-20</t>
  </si>
  <si>
    <t>20mm wide.</t>
  </si>
  <si>
    <t>Installation of pizeometer including supply of 40mm G.I, pipe, brass strainer, socket, labor, by wash boring, lowering, fixing the elevation and providing cover of the top  of the well etc, complete as par direction of Engineer in charge.</t>
  </si>
  <si>
    <t>each</t>
  </si>
  <si>
    <t xml:space="preserve">Earth work by manual labour with clayey soil (minimum 30% clay, 0.40% silt and 0-30% sabd) in construction of cross/ring bundh as per design &amp; specification with all lead and lifts throwing the earth in layer not exceeding 150mm. In thickness in/c clod’s breaking rough dressing, clearing the Jungles removing stumps dug baling and 75mm cambering etc. complete as per direction of Engineer in charge. </t>
  </si>
  <si>
    <t>For moving spoil earth upto a distance of 100m from the centre of the pit</t>
  </si>
  <si>
    <t>16-560-10</t>
  </si>
  <si>
    <t>By bamboo post of 6.00 m length, 60mm to 80mm dia, 25 cm c/c and 2.00m drive with diagonally woven tarza walling and avarage 70mm dia half split bamboo batten @ 2.00m c/c fixed with nails. qbelow ground with</t>
  </si>
  <si>
    <t xml:space="preserve">By Local hard wood ballah post 6.00 m length, 125mm dia, 1m c/c and 2.00m drive with 6.0m long bamboo of average 75mm @ 1.00m c/c and average 70mm dia half split bamboo batten @ 2.00m c/c fixed with nails. </t>
  </si>
  <si>
    <t xml:space="preserve">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  </t>
  </si>
  <si>
    <t>By pump.</t>
  </si>
  <si>
    <t>Mt.</t>
  </si>
  <si>
    <t xml:space="preserve">Construction of sump well with dug holes of size 1.80m x 2.00m, laying in position the perforated empty diesel/ petrol drum sheet of 1.00m dia to a depth 1.50m having slot area of 1000 sq.cm/sqm. slot dia being 30mm each with supply of necessary shrouding materials comprising of 60% 40mm down graded khoa and 40% coarse sand of FM&gt;= 2.50 and placing those around and beneath the drum sheet having thickness of 40cm and 50cm respectively including necessary welding, fitting etc, complete as per direction of Engineer in charge.  </t>
  </si>
  <si>
    <t>Supplying and laying single layer polythene sheet in floor below cement concrete, RCC slab, on walls etc. complete in all respect  as per direction of Engineer in charge</t>
  </si>
  <si>
    <t xml:space="preserve">Weighing minimum 1.0 Kg. per 6.50 sqm. </t>
  </si>
  <si>
    <t>28-100</t>
  </si>
  <si>
    <t>Cement concrete work in leanest mix 1:4:8, with sand of (FM &gt;= 1.5) in foundation or floor, including breaking, screening, grading and washing aggregates with clear water, mixing, laying in position, consolidation to levels, curing, including supply of all materials, excluding the cost of form works etc.  complete as per direction of Engineer in charge.</t>
  </si>
  <si>
    <t>Cement concrete work in leanest mix 1:3:6 with sand of (FM &gt;= 1.5) in foundation or floor, including breaking, screening, grading and washing aggregates with clear water, mixing, laying in position, consolidation to levels, curing, including supply of all materials, excluding the cost of form works etc.  complete as per direction of Engineer in charge.</t>
  </si>
  <si>
    <t>Supplying bamboo pegs 0.45m to 0.75m long and average dia 6cm, with saw cut top as per terms &amp; condition of the Engineer in charge.</t>
  </si>
  <si>
    <t xml:space="preserve">Labour charge for fixing the bamboo pegs 0.45 to 0.7i5 long and average dia 6cm complete as per direction of Engineer in charge. </t>
  </si>
  <si>
    <t>M.S. Work for reinforcement with twisted M.S. bar, fy=414 N/mm2, (made from billet) in RCC works, including local handling, cutting, forging, bending, cleaning and fabrication with supply of twisted M.S. bar in different sizes and blinding with 22 to 18 gages G.I. wire etc complete including the cost of all materials as per direction of Engineer in charge</t>
  </si>
  <si>
    <t>8mm dia to 30mm dia</t>
  </si>
  <si>
    <t>6mm dia</t>
  </si>
  <si>
    <t>Reinforced Cement concrete work in leanest mix 1:1.5:3 with 20mm down graded coarse aggregate and sand of FM &gt;= 2.0 to FM&lt;= 2.5, to attain a minimum 28 days cylinder strength of 22.0 N/mm2, including breaking, screening, grading and washing aggregates with clear water, mixing, laying in forms, consolidation to levels, curing, including supply of all materials, excluding the cost of M.S. work for reinforcements and formworks etc.  Complete as per direction of Engineer in charge.</t>
  </si>
  <si>
    <t>Form work for centering and water tight shuttering as per drawing with 24 BWG M.S sheet, fitted fixed with 40mm x 40mm x 6mm), M.S. angle frame and 25mm x 6mm F.I. bar stiffener, with necessary fabrication, welding, making the forms including fitting, fixing of steel forms with necessary ties, battens struts nuts and bolts, props etc. as per desired shape and size including leveling and removing the forms after specified period  including the cost of all materials as per direction of Engineer in charge</t>
  </si>
  <si>
    <t>Footing , footing beams, girder beams, foundation slab with 60-80 mm dia barrack bamboo props.</t>
  </si>
  <si>
    <t>Vertical and inclined walls, columns, piers with 60-80mm dia barrack bamboo props.</t>
  </si>
  <si>
    <t>Deck slab, operating deck slab, top slab of barrel up to 3.50m of height with 60-80 dia barrack bamboo props.</t>
  </si>
  <si>
    <t>3 Bulb type</t>
  </si>
  <si>
    <t>M.</t>
  </si>
  <si>
    <t>F.M. : 1.00 to 1.50.</t>
  </si>
  <si>
    <t>B</t>
  </si>
  <si>
    <t>F.M. : 1.50 to 2.00.</t>
  </si>
  <si>
    <t xml:space="preserve">Supplying and filling sand in foundation of hydraulic structure, buildings and in protective works with selected sand in 150mm thick layer, including leveling, dressing, ramming, watering etc complete (compacted to 50% relative density by manual labour using mallet/ vibro compactor) as per direction of Engineer in charge.   </t>
  </si>
  <si>
    <t>Sand of FM &gt;= 1.50</t>
  </si>
  <si>
    <t>40-640-20</t>
  </si>
  <si>
    <t xml:space="preserve"> Well graded between 40mm to 20mm size.</t>
  </si>
  <si>
    <t>Well graded between 20mm to5mm size. (Combination of sub item 10 &amp; 30 or 20 &amp; 30 shall be used.</t>
  </si>
  <si>
    <t>Block Size 30cm X 30cm X 30cm.</t>
  </si>
  <si>
    <t>Block Size 40cm X 40cm X 20cm.</t>
  </si>
  <si>
    <t xml:space="preserve"> 40-220</t>
  </si>
  <si>
    <t xml:space="preserve">Lobour charge for protective work in laying C.C blocks of different sizes including preparation of base, ramming of base etc. complete as per direction of the Engineer in charge  </t>
  </si>
  <si>
    <t xml:space="preserve">Within 200m. </t>
  </si>
  <si>
    <t xml:space="preserve">M.S. work in plates, angles, channels, flat bars, Tees etc. including fabricating, machining, cuttings, bending, welding, forging, drilling, riveting, embedding anchor bars, staging and fitting, fixing, local handling etc. complete with energy consumption and supply of labors including the cost of all materials as per design, specification and direction of Engineer in charge.     </t>
  </si>
  <si>
    <t>80-260-20</t>
  </si>
  <si>
    <t xml:space="preserve">50mm dia G.I pipe. </t>
  </si>
  <si>
    <t xml:space="preserve">Manufacturing and supplying of M.S. Vertical lift gate shutter of 8mm thick M.S. plate and stiffener with minimum 75mm x 10mm M.S. angle as frame, horizontal &amp; vertical beam, 75mm x 25mm x 12mm p-type rubber seal, fixed with 10mm dia x 63.5mm M.S.  counter shank bolts with nuts and 40mm x 10mm M.S. strip as clamp drilled spaces @ 150mm c/c, stem attachment with proper thread, nut cotter pin and washer as per approved design including the cost of all materials of proper grade &amp;  brand new prime coat of red oxide where necessary as specification and direction of the Engineer in charge.    </t>
  </si>
  <si>
    <t>76-260</t>
  </si>
  <si>
    <t xml:space="preserve">Labour charge for fitting fixing of M.S. vertical lift/ flap gate shutter of different size including making holes in concrete for hooking arrangements with supply of necessary materials, tools and other accessories required for fitting the same to regulator/ sluice and mending the damages with cc (1:2:4), removing the spoils etc. complete including the cost of all materials and as per direction of the Engineer in charge.     </t>
  </si>
  <si>
    <t>Size 1.95m X 1.35m or 1.95m X 1.65m.</t>
  </si>
  <si>
    <t xml:space="preserve">Manufacturing and supplying and installation of pedestal type lifting devise for slide gate with 63mm dia, threaded steel shaft, 146mm outer dia bronze nut, thrust bring steel bevel gear etc, as per approved desing including supply of all components, labors with prime coat of red oxide where necessary etc. complete including the cost of all materials as per specification and direction of the Engineer in charge.    </t>
  </si>
  <si>
    <t>Supplying wooden flap gates with pressure treated fall boards/ stop logs of different sizes (not less than 15cm in depth) of Sal,  Sundry, garjan Shishu of equivalent timber for regulator/ sluices, including fixing in position with eye hook etc. complete  as per direction of Engineer in charge</t>
  </si>
  <si>
    <t>16-140</t>
  </si>
  <si>
    <t xml:space="preserve">Earth work by manual labor in resection of embankment/ canal bank / river slopes/ road/ compound etc. manually compacted by 7.0 kg iron rammer to abode any air pocket in clayey soil (minimum 30% clay, 0-40% silt and 0-30% sand) within the initial lead of 30m and all lifts including throwing the spoils to profile in layers not exceeding 150mm 100mm, removing roots &amp; stumps of trees of girth unto 200mm from the ground, benching the side slopes, stripping/ sloughing the bees of embankment and borrow pit areas, dug bailing, bail out of water, rough dressing including 150mm cambering at the center of the crest (where necessary) etc. complete as per direction of Engineer in charge.  </t>
  </si>
  <si>
    <t>16-140-10</t>
  </si>
  <si>
    <t xml:space="preserve">0 to 3m height. </t>
  </si>
  <si>
    <t xml:space="preserve">16-130 </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</si>
  <si>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</si>
  <si>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Extra rate for every additional lead of 15m or part here of beyond the initial lead of 30m up to a  maximum of 19 leads (3m neglected)  for all kinds of earth work. (One No Lead)</t>
  </si>
  <si>
    <t>pld
Cum</t>
  </si>
  <si>
    <t>16-200</t>
  </si>
  <si>
    <t>Extra rate for every additional lift of 1.0m or part  thereof beyond the initial lift of 1.50m (30cm neglected for all kinds of earth work. (One No. Lift)</t>
  </si>
  <si>
    <t>plt/
cum</t>
  </si>
  <si>
    <t>Royalty of specified earth taken from private land (with permission of the Executive Engineer on production of royalty deeds with the land owner) from the area to be selected by the contractor with mutual agreement.</t>
  </si>
  <si>
    <t>150mm X 25mm</t>
  </si>
  <si>
    <t xml:space="preserve">
. 16-240</t>
  </si>
  <si>
    <t xml:space="preserve">Earth work by manual labour in all kinds of soil in removing the cross bundh/Ring bundh including all leads and lifts complete and placing the spoils to a safe distance-do-as per direction of Engineer in charge </t>
  </si>
  <si>
    <t>16-540</t>
  </si>
  <si>
    <t xml:space="preserve">Back filling of  hydraulic structure including all leads and lifts in 150mm layer including watering, ramming, compaction to 30% relative density etc. complete by compactor or any other suitable method as per direction of Engineer in charge. </t>
  </si>
  <si>
    <t>Sand of Fm &gt;0.80</t>
  </si>
  <si>
    <t xml:space="preserve"> 16-530</t>
  </si>
  <si>
    <t xml:space="preserve">Back filling of hydraulic structure and slop building in protective work including all leads and lifts with selected local soil in layer if 150mm including, watering, ramming etc complete compacted to 20% relative density by compactor or any other suitable method as per direction of Engineer in char. </t>
  </si>
  <si>
    <t>. 48-100</t>
  </si>
  <si>
    <t xml:space="preserve">Fine dressing and close turfing of the slope and the crest of embankment with 75mm thick good quality durba or charkanta sods of size 200mm x 200mm with all leads and lifts- do-do- etc. complete as per direction of Engineer in charge </t>
  </si>
  <si>
    <t>40-600-20</t>
  </si>
  <si>
    <t>Thickness =&gt;2.00mm, CBR puncture resistance =&gt; 2100 N Effective opening size &lt;= 0.11mm, horizontal permeability =&gt; 4x10E-3m/sec, Vertical permeability =&gt; 6x10E-4m/sec, grab tensile strength =&gt; 760 N strip tensile strength =&gt; 13.00 KN/m.</t>
  </si>
  <si>
    <t>04-120</t>
  </si>
  <si>
    <t xml:space="preserve">Site Preparation by manually removing all miscellaneous objectionable materials from entire site and including soil up to 15 cm depth including do – do etc. complete </t>
  </si>
  <si>
    <t>2.16-150</t>
  </si>
  <si>
    <t xml:space="preserve">Earth work in excavation of foundation trenches in all kings of soils including leveling, dressing, placing, removal of spoils to a safe distance with initial lead of 30m and lift of 1.5m as per specification and direction of Engineer in charge </t>
  </si>
  <si>
    <t>16-520-10</t>
  </si>
  <si>
    <t>Sand of FM &gt;= 1.00</t>
  </si>
  <si>
    <t>A</t>
  </si>
  <si>
    <t>Kg.</t>
  </si>
  <si>
    <t>Each</t>
  </si>
  <si>
    <t>60-260</t>
  </si>
  <si>
    <t xml:space="preserve">Manufacturing and supplying Standard machine made RCC Pipe of different diameter, length and thickness in construction of Drain/ Sluice/ Culvert/ Out let and any other works in leanest mix 1:1.5:3 with 15mm down graded stone shingles and sand of FM&gt;= 2.0 to attain a minimum 28 Days cylinder strength of 25 N/mm2 including breaking, screening, grading, laying in forms, consolidating, curing, including the cost of 6mm dia M.S. work for reinforcement and specification including tools. Plants, testing, stacking in measurable stack etc. complete as per design specification and direction of Engineer in charge. </t>
  </si>
  <si>
    <t>60-260-35</t>
  </si>
  <si>
    <t xml:space="preserve">RCC Pipe: 600mm dia, wall thickness not less than 60mm, circular reinforcement 100mm c/c and longitudinal reinforcement 210mmc/c.  </t>
  </si>
  <si>
    <t>Lying in position standard machine made R.C.C. Pipe of different diameter in construction of drain/ sluice/ culvert/ outlet and any other work including fitting, fixing the socket where necessary, local handing, cutting, dressing, leveling, plumbing etc. complete as per design, specification and direction of Engineer in charge.</t>
  </si>
  <si>
    <t>60-300-35</t>
  </si>
  <si>
    <t xml:space="preserve">: 600mm dia </t>
  </si>
  <si>
    <t>76-230</t>
  </si>
  <si>
    <t xml:space="preserve">Manufacturing, supplying, installation and fitting, fixing the vertical steel lift gate/ flap gate as per design and specification, including fabricating, reverting, welding, fixing rubber seal, providing required nuts and bolts including the cost of all materials etc. complete with a prime coat of red oxide where necessary as per direction of Engineer in charge, (Applicable only for size not specified in Item code 76-240 &amp; 76-250)  </t>
  </si>
  <si>
    <t xml:space="preserve">                       76-200</t>
  </si>
  <si>
    <t>Manufacturing supplying &amp; installation of Hand Wheel type lifting device for slide gate with 63mm dia steel shaft, 108mm outer dia bronze nut taper roller bearing SKF-50216 etc. as per approved design in/c. supply of all components, labours with a prime coat of red oxide where necessary etc. comp. in/c. the cost of all materials as per specification &amp; direction of ENGINEER IN CHARGE.</t>
  </si>
  <si>
    <t>.                     76-260</t>
  </si>
  <si>
    <t>76-260-10</t>
  </si>
  <si>
    <t xml:space="preserve">Small size </t>
  </si>
  <si>
    <t>16-150</t>
  </si>
  <si>
    <t>28-100-50</t>
  </si>
  <si>
    <t>With 40mm down graded stone chips.</t>
  </si>
  <si>
    <t>C</t>
  </si>
  <si>
    <t>76-240-10</t>
  </si>
  <si>
    <t>Size 1.00m x 1.00m.</t>
  </si>
  <si>
    <t>76-250</t>
  </si>
  <si>
    <t xml:space="preserve">Manufacturing and supplying of M.S. Flap gate shutter of 8mm thick M.S. skin plate and stiffener with minimum 75mm x 75.00mm x 10mm M.S. angle as frame, horizontal &amp; vertical beam, 100mm x 45mm x 16mm p-type rubber seal, fixed with 10mm dia x 63.5mm M.S.  counter shank and hex nuts &amp; bolts and 40mm x 10mm M.S. strip as clamp drilled spaces @ 150mm c/c, hinge assay with gate and wall bracket, link arm of 19mm  thick M.S.  Plate, 4 nos. 25mm dia x 150mm stainless steel hinge pin with proper thread, nut, cotter pin and washer as per approved design including the cost of all materials of proper grade &amp;i brand new prime coat of red oxide where necessary as specification and direction of the Engineer in charge. .    </t>
  </si>
  <si>
    <t>76-250-10</t>
  </si>
  <si>
    <t>Size 1.00m X 1.00m or 1.35m X 1.35m.</t>
  </si>
  <si>
    <t>Extra rate for every additional lead of 15m or part here of beyond the initial lead of 30m up to a  maximum of 19 leads (3m neglected)  for all kinds of earth work.</t>
  </si>
  <si>
    <t>Extra rate for every additional lift of 1.0m or part  thereof beyond the initial lift of 1.50m (30cm neglected for all kinds of earth work.</t>
  </si>
  <si>
    <t>(C) Bagadia  Khal Rehulator (1-Vent,1.50m×1.80m) at KM 14.52</t>
  </si>
  <si>
    <t>NSI</t>
  </si>
  <si>
    <t>Environmental Monitoring through Sample Collection and analysis such as Air quality test, Surface water test, Sound Level monitoring, Traffic signs and road navigation,  safety provisions with first aid and medical Assistant as per direction of engineer in charge.</t>
  </si>
  <si>
    <t xml:space="preserve"> M.S  Work  for  reinforcement  with  Standard  deformed  bar  fy=276  N/mm^2 in  RCC  works  including  local  handling,  cutting,  forging,bending,cleaning and  fabrication  with  supply  of  deformed  M.S.  bar  in  different  sizes  and bending  with  22  to  18  gages  G.I.  wire  etc.  complete  including  the  cost  of  all materials  as  per  direction  of  Engineer  in  charge. 6mm dia</t>
  </si>
  <si>
    <t>×</t>
  </si>
  <si>
    <t>Capacity 50kg. (2nd hand bag)</t>
  </si>
  <si>
    <t>Supplying and laying dry 1st class tick jhama brick chips as jilter in two layers (top and bottom) as per specification size, range and gradation, including breaking chips, grading preparation of  surface, compacting each layer etc, with supply of all materials and as per direction of Engineer in charge.</t>
  </si>
  <si>
    <t>Manufacturing and supplying C.C. blocks in leanest mix 1:3:6 with cement and sand (FM&gt;=1.5) and 1st class or picked jhama brick chips (25mm down graded), to attain a minimum 28 day strength of 9.00 N/mm2 including breaking, screening, grading, washing chip, mixing, laying in forms, consolidation, curing for at least 21 days including preparation of platform, shuttering and stacking in measurable stacks etc, complete including supply of all materials (steel shutter to be used) as per direction of Engineer in charge.</t>
  </si>
  <si>
    <t>(F) 5 Nos Box Drainage Outlet</t>
  </si>
  <si>
    <t xml:space="preserve"> Sub total for 5 nhos. Box Drainage Outlet  ( F )</t>
  </si>
  <si>
    <t xml:space="preserve">                                                                                                Grand Total ( A+B+C+D+E+F )</t>
  </si>
  <si>
    <t>Bagadia Khal</t>
  </si>
  <si>
    <t>Neora Khal</t>
  </si>
  <si>
    <t>Sl No</t>
  </si>
  <si>
    <t xml:space="preserve">Description </t>
  </si>
  <si>
    <t>Rate</t>
  </si>
  <si>
    <t>Box Drainage-1</t>
  </si>
  <si>
    <t>Box Drainage-2</t>
  </si>
  <si>
    <t>Box Drainage-3</t>
  </si>
  <si>
    <t>Box Drainage-4</t>
  </si>
  <si>
    <t>Box Drainage-5</t>
  </si>
  <si>
    <t>BM pilar</t>
  </si>
  <si>
    <t>Site preparation</t>
  </si>
  <si>
    <t xml:space="preserve">Bailing out </t>
  </si>
  <si>
    <t>Supply ing and laying of polythene</t>
  </si>
  <si>
    <t>CC 1:4:8</t>
  </si>
  <si>
    <t>CC 1:3:6</t>
  </si>
  <si>
    <t>Reinforcement 8mm to 30mm</t>
  </si>
  <si>
    <t>RCC 1:1.5:3</t>
  </si>
  <si>
    <t>Shuttering : Footing beams,beams, 
grade beams</t>
  </si>
  <si>
    <t>Shuttering : Vertical and inclined walls</t>
  </si>
  <si>
    <t>Shuttering : Deck slab operating deck slab</t>
  </si>
  <si>
    <t>Back filling sand:FM&gt;1.50</t>
  </si>
  <si>
    <t>40-610-20</t>
  </si>
  <si>
    <t>Khoa filter: 40mm to 20mm</t>
  </si>
  <si>
    <t>Khoa filter: 20mm to 5mm</t>
  </si>
  <si>
    <t>CC Block 30x30x30</t>
  </si>
  <si>
    <t xml:space="preserve">Labour charge </t>
  </si>
  <si>
    <t>M.S Work in plats, angles, channels</t>
  </si>
  <si>
    <t>Supply ing of M.S vertical lift gate: 8mm</t>
  </si>
  <si>
    <t>Supplying Flap gate</t>
  </si>
  <si>
    <t>Labour charge for fitting Flap gate</t>
  </si>
  <si>
    <t>76-200</t>
  </si>
  <si>
    <t>Earth Work in embankment construction</t>
  </si>
  <si>
    <t>16-600-10</t>
  </si>
  <si>
    <t>Channel  excavation of excavator</t>
  </si>
  <si>
    <t>pld cum</t>
  </si>
  <si>
    <t>plt cum</t>
  </si>
  <si>
    <t>16-240</t>
  </si>
  <si>
    <t>Ring Budh removal</t>
  </si>
  <si>
    <t>Back filling sand:FM&gt;.80</t>
  </si>
  <si>
    <t>16-530</t>
  </si>
  <si>
    <t>Back filling soil</t>
  </si>
  <si>
    <t>Fine dreasing and close turfing</t>
  </si>
  <si>
    <t>Sum-total</t>
  </si>
  <si>
    <t>No</t>
  </si>
  <si>
    <t>Five Hundred and Ninety-Nine point Nine Five Eight</t>
  </si>
  <si>
    <t>Forty-Four point Nine Nine Six</t>
  </si>
  <si>
    <t>One point Nine Nine Nine</t>
  </si>
  <si>
    <t>Two Hundred and Ninety point Four Five Four</t>
  </si>
  <si>
    <t>Two Hundred and Thirty-Four point Nine Eight Seven</t>
  </si>
  <si>
    <t>Thirty-Nine point Nine Nine Six</t>
  </si>
  <si>
    <t>Labour charge for driving barrack bamboo pins of diameter &gt;= 8.0 cm, by hammer or monkey hammer, as per direction of Engineer in charge. &gt;= 0.75 m to &lt; 1.50 m, on dry land</t>
  </si>
  <si>
    <t>Sixty-Nine point Nine Nine Four</t>
  </si>
  <si>
    <t>One Hundred and Thirty-Nine point Nine Eight Seven</t>
  </si>
  <si>
    <t>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charge.300m to 1.00 km.(85% compaction)</t>
  </si>
  <si>
    <t>Three Hundred and Nine point Nine Seven Two</t>
  </si>
  <si>
    <t>One Hundred and Forty-One point Nine Eight Seven</t>
  </si>
  <si>
    <t>Extra rate for every additional lead of 15 m or part thereof beyond the initial lead of 30m up to a maximum of 19 leads (3m neglected) for all kinds of earth work. 2 nos Lead</t>
  </si>
  <si>
    <t>Two lead/cum</t>
  </si>
  <si>
    <t>Nineteen point Nine Nine Eight</t>
  </si>
  <si>
    <t>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0 to 4 m height with 85% compaction.</t>
  </si>
  <si>
    <t>One Hundred and Nineteen point Nine Eight Nine</t>
  </si>
  <si>
    <t>Four point Nine Nine Nine</t>
  </si>
  <si>
    <t>Five point Nine Nine Nine</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</si>
  <si>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t>
  </si>
  <si>
    <t>Eight Hundred and Forty-Nine point Nine Two Four</t>
  </si>
  <si>
    <t>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8mm dia to 30mm dia</t>
  </si>
  <si>
    <t>Eighty-Four point Nine Nine Two</t>
  </si>
  <si>
    <t>M.S Work for reinforcement with Standard deformed bar fy=276 N/mm^2 in RCC works including local handling, cutting, forging,bending,cleaning and fabrication with supply of deformed M.S. bar in different sizes and bending with 22 to 18 gages G.I. wire etc. complete including the cost of all materials as per direction of Engineer in charge. 6mm dia</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</si>
  <si>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t>
  </si>
  <si>
    <t>Fourteen Thousand Nine Hundred and Ninety-Eight point Six Four Nine</t>
  </si>
  <si>
    <t>Approved rate</t>
  </si>
  <si>
    <t>Nine Lakh Sixty-Six Thousand Nine Hundred and Sixty-Three point Eight One Five</t>
  </si>
  <si>
    <t>Provide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t>
  </si>
  <si>
    <t>Two Thousand Four Hundred and Ninety-Seven point Six Three Five</t>
  </si>
  <si>
    <t>One Lakh Twelve Thousand Three Hundred and Thirty-Three point Nine Eight Nine</t>
  </si>
  <si>
    <t>Providing and maintaining adequate portable water supply by installing 6 Nos. of tube well and sanitation facilities by installing 6 Nos. of sanitary latrines for usage of labours,officials and others for prevailing the hygenic and healthy environment at allover the working site As per direction of the Engineer in charge.</t>
  </si>
  <si>
    <t>One Lakh Eleven Thousand One Hundred and Thirty-Eight point Nine Four Seven</t>
  </si>
  <si>
    <t>Mobilize, strengthen required land based construction equipment such as excavator, dump truck, chain dozer, vibro-compactor, and plants such as generator for site electrification, digital camera for taking photographs and digital video camera for recording/Taking photograph all sequences of works etc for keeping records of the Works by providing following information including transfer to site, complete for the purposes stated in the Technical Specification and Contractor's Method Statement and as per direction of Engineer in charge.</t>
  </si>
  <si>
    <t>Ninety-Two Thousand AND Eighteen point Two Six Eight</t>
  </si>
  <si>
    <t>Operate , maintain of plant and equipment such as generator for site electrification, for the purpose stated in the Technical Specification and in the Contractor's Method Statement and as per direction of Engineer in charge.</t>
  </si>
  <si>
    <t>One Lakh Ten Thousand Eight Hundred and Ninety-Eight point Three Two Seven</t>
  </si>
  <si>
    <t>E</t>
  </si>
  <si>
    <t>Mobiliztion</t>
  </si>
  <si>
    <t>Embankment</t>
  </si>
  <si>
    <t>One Hundred and Thirty-Five point Zero Three Eight</t>
  </si>
  <si>
    <t>BP: Preperation of bed by cutting and filling including watering to bring moisture content ±2% of OMC &amp; compacting by appropiate mechanical means etc to attain minimum compaction 98% of MDD (standard) to obtain a minimum soaked CBR 4% etc all complete as per direction of the E-I-C.</t>
  </si>
  <si>
    <t>Eleven point Three Eight Nine</t>
  </si>
  <si>
    <t>Seven Hundred and Thirty-Three point Zero Five Four</t>
  </si>
  <si>
    <t>28(a)</t>
  </si>
  <si>
    <t>Manufacturing and supplying of CC blocks in leanest mix (1:2:4) in volume, with cement, sand (FM&gt;=1.5) and stone chips (40mmdown graded), to attain a minimum 28 days cylinder strength of 15.0 N/mm2 including grading, washing shingles, mixing, laying in forms, consolidation, curing for at least 21 days, including preparation of platform, shuttering in measureable stacks etc. complete including supply of all materials ( steel shutter to be used) as per direction of Enginnner in charge.</t>
  </si>
  <si>
    <t>Three Hundred and Fifty-Nine point Nine Six Eight</t>
  </si>
  <si>
    <t>28(b)</t>
  </si>
  <si>
    <t>Block size: 100cm x 65cm x (10-15)cm</t>
  </si>
  <si>
    <t>Nine Hundred and Ninety-Nine point Nine Zero Nine</t>
  </si>
  <si>
    <t>One Hundred and Sixty-Two point Four Five Five</t>
  </si>
  <si>
    <t>30(a)</t>
  </si>
  <si>
    <t>40-220</t>
  </si>
  <si>
    <t>Labour charge for protective works in laying CC blocks of different sizes including preparation of base, watering and ramming of base etc. complete as per direction of Engineer in charge.Within 200m</t>
  </si>
  <si>
    <t>One Thousand One Hundred and Forty-Five point Seven Seven Seven</t>
  </si>
  <si>
    <t>30(b)</t>
  </si>
  <si>
    <t>Two Thousand AND Twenty-Six point Eight Five Eight</t>
  </si>
  <si>
    <t>Environmental Monitoring through Sample Collection and analysis such as Air quality test, Surface water test, Sound Level monitoring, Traffic signs and road navigation, safety provisions with first aid and medical Assistant as per direction of engineer in charge.</t>
  </si>
  <si>
    <t>Two Lakh Forty-Nine Thousand Nine Hundred and Seventy-Seven point Four Nine Nine</t>
  </si>
  <si>
    <t>CC Block</t>
  </si>
  <si>
    <t>Construction of B.M. pillar at site first class bricks in cement mortar (1:4) of size 36cm x 38cm x 75cm of cement concrete (1:2:4) base size 50cm x 50cm x 75cm with 12mm thick cement plastering (1:2) in exposed surface of pillar and cement mortar on top (1:2) with in ascription of ?BWDB? with 25cm of the pillar below ground level etc. complete including ramming the backfilling and the cost of all materials as per direction of Engineer in charge</t>
  </si>
  <si>
    <t>One Thousand Two Hundred and Three point Six Six Two</t>
  </si>
  <si>
    <t>Twenty-Seven point Seven One Eight</t>
  </si>
  <si>
    <t>04-620</t>
  </si>
  <si>
    <t>Filling of expansion joints up to a depth 40mm with bitumen mixed with coarse sand (FM&gt;= 2.5) in concrete woks including supply of all materials etc. as per specification and direction of Engineer in charge.</t>
  </si>
  <si>
    <t>Sixty-Nine point Five Three Four</t>
  </si>
  <si>
    <t>Installation of pizeometer including supply of 40mm G.I, pipe, brass strainer, socket, labor, by wash boring, lowering, fixing the elevation and providing cover of the top of the well etc, complete as par direction of Engineer in charge.</t>
  </si>
  <si>
    <t>Two Thousand Five Hundred and Eighty-Three point Nine Eight Seven</t>
  </si>
  <si>
    <t>40-440</t>
  </si>
  <si>
    <t>Supplying and filling empty gunny or synthetic bags as approved design &amp; drawing with sand. Earth available at site sewing the end with sutly including carrying and placing in position within the site with supply of all materials as per direction of Engineer in charge.</t>
  </si>
  <si>
    <t>Thirty-Two point Five Zero Seven</t>
  </si>
  <si>
    <t>16-310</t>
  </si>
  <si>
    <t>Earth work in excavation of foundation trenches in all kinds of soil as per layout plan of foundation excavation with all leads and lifts and placing the spoil earth for constructing the ring bundh/offerdam where necessary as per design and specification or disposing it to a safe distance including pushing, levelling, dressing, etc. complete as per direction of Engineer in charge.</t>
  </si>
  <si>
    <t>One Hundred and Forty-Nine point Nine Eight Seven</t>
  </si>
  <si>
    <t>16-560</t>
  </si>
  <si>
    <t>By Local hard wood ballah post 6.00 m length, 125mm dia, 1m c/c and 2.00m drive with 6.0m long bamboo of average 75mm @ 1.00m c/c and average 70mm dia half split bamboo batten @ 2.00m c/c fixed with nails.</t>
  </si>
  <si>
    <t>Nine Hundred and Thirteen point Six Zero Eight</t>
  </si>
  <si>
    <t>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t>
  </si>
  <si>
    <t>Six point One Two Nine</t>
  </si>
  <si>
    <t>44-240</t>
  </si>
  <si>
    <t>Supplying at site U-shape hot rolled steel sheet piles of different sections as mentioned in the material specification of this manual as tabular form of Phosphorus = 00.04% (Maximum), Sulphur = 0.04% (Maximum), Copper = 0.25% (Minimum), Tensile strength =&gt; 490 N/mm2, Yield strength =&gt; 296 N/mm2, Elongation = 15% (Minimum) including all taxes, freights, incidental charges etc. complete as per direction of Engineer in charge.</t>
  </si>
  <si>
    <t>mt</t>
  </si>
  <si>
    <t>Two Lakh Ninety-Nine Thousand Nine Hundred and Seventy-Two point Nine Nine Nine</t>
  </si>
  <si>
    <t>44-320</t>
  </si>
  <si>
    <t>Cutting of steel sheet piles to design length and shape as per requirement in design and drawing and as per direction of Engineer in charge.</t>
  </si>
  <si>
    <t>Thirty-Nine point One Five Six</t>
  </si>
  <si>
    <t>Construction of sump well with dug holes of size 1.80m x 2.00m, laying in position the perforated empty diesel/ petrol drum sheet of 1.00m dia to a depth 1.50m having slot area of 1000 sq.cm/sqm. slot dia being 30mm each with supply of necessary shrouding materials comprising of 60% 40mm down graded khoa and 40% coarse sand of FM&gt;= 2.50 and placing those around and beneath the drum sheet having thickness of 40cm and 50cm respectively including necessary welding, fitting etc, complete as per direction of Engineer in charge.</t>
  </si>
  <si>
    <t>Seventeen Thousand Two Hundred and Nine point Six Two One</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</si>
  <si>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</si>
  <si>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t>
  </si>
  <si>
    <t>One Thousand Four Hundred and Ninety-Nine point Eight Six Five</t>
  </si>
  <si>
    <t>Three Hundred and Sixty-Two point Six Six Seven</t>
  </si>
  <si>
    <t>Four Hundred and Sixty-One point Seven Five Eight</t>
  </si>
  <si>
    <t>Supplying and laying single layer polythene sheet in floor below cement concrete, RCC slab, on walls etc. complete in all respect as per direction of Engineer in charge</t>
  </si>
  <si>
    <t>Thirty-One point Two One Seven</t>
  </si>
  <si>
    <t>Cement concrete work in leanest mix 1:4:8, with sand of (FM &gt;= 1.5) in foundation or floor, including breaking, screening, grading and washing aggregates with clear water, mixing, laying in position, consolidation to levels, curing, including supply of all materials, excluding the cost of form works etc. complete as per direction of Engineer in charge.</t>
  </si>
  <si>
    <t>Eleven Thousand Nine Hundred and Ninety-Eight point Nine One Nine</t>
  </si>
  <si>
    <t>Cement concrete work in leanest mix 1:3:6 with sand of (FM &gt;= 1.5) in foundation or floor, including breaking, screening, grading and washing aggregates with clear water, mixing, laying in position, consolidation to levels, curing, including supply of all materials, excluding the cost of form works etc. complete as per direction of Engineer in charge.</t>
  </si>
  <si>
    <t>Twenty-Seven point Eight Two Seven</t>
  </si>
  <si>
    <t>Labour charge for fixing the bamboo pegs 0.45 to 0.7i5 long and average dia 6cm complete as per direction of Engineer in charge.</t>
  </si>
  <si>
    <t>Two point Eight Two Nine</t>
  </si>
  <si>
    <t>76-115</t>
  </si>
  <si>
    <t>M.S. Work for reinforcement with deformed M.S. bar, fy=276 N/mm2, (made from billet) in RCC works, including local handling, cutting, forging, bending, cleaning and fabrication with supply of deformed M.S. bar in different sizes and blinding with 22 to 18 gages G.I. wire etc complete including the cost of all materials as per direction of Engineer in charge.</t>
  </si>
  <si>
    <t>Reinforced Cement concrete work in leanest mix 1:1.5:3 with 20mm down graded coarse aggregate and sand of FM &gt;= 2.0 to FM&lt;= 2.5, to attain a minimum 28 days cylinder strength of 22.0 N/mm2, including breaking, screening, grading and washing aggregates with clear water, mixing, laying in forms, consolidation to levels, curing, including supply of all materials, excluding the cost of M.S. work for reinforcements and formworks etc. Complete as per direction of Engineer in charge.</t>
  </si>
  <si>
    <t>102(a)</t>
  </si>
  <si>
    <t>Form work for centering and water tight shuttering as per drawing with 24 BWG M.S sheet, fitted fixed with 40mm x 40mm x 6mm), M.S. angle frame and 25mm x 6mm F.I. bar stiffener, with necessary fabrication, welding, making the forms including fitting, fixing of steel forms with necessary ties, battens struts nuts and bolts, props etc. as per desired shape and size including leveling and removing the forms after specified period including the cost of all materials as per direction of Engineer in charge</t>
  </si>
  <si>
    <t>Seven Hundred and Thirty-Five point Two Eight Four</t>
  </si>
  <si>
    <t>102(b)</t>
  </si>
  <si>
    <t>102(c)</t>
  </si>
  <si>
    <t>Nine Hundred and Twenty-One point Nine Zero Seven</t>
  </si>
  <si>
    <t>76-630</t>
  </si>
  <si>
    <t>Supplying and fitting and fixing 23cm wide P.V.C. water stop having minimum strength of 13.80 N/mm2 at 225% elongation and of approved quality in contraction and expansion joints with necessary arrangements fro modification in shuttering and keeping the water stop in position and direction of Engineer in charge.</t>
  </si>
  <si>
    <t>One Thousand One Hundred and Thirty-Three point Six Four Eight</t>
  </si>
  <si>
    <t>104(a)</t>
  </si>
  <si>
    <t>40-650</t>
  </si>
  <si>
    <t>Supplying and laying sand filter layers as per specification size, range and gradation, including preparation of surface, compacting in layer etc, complete with supply of all materials and as per direction of Engineer in charge.</t>
  </si>
  <si>
    <t>One Thousand AND Seventy point One Nine Four</t>
  </si>
  <si>
    <t>104(b)</t>
  </si>
  <si>
    <t>One Thousand Five Hundred and Seventy-Five point Two Three Eight</t>
  </si>
  <si>
    <t>Supplying and filling sand in foundation of hydraulic structure, buildings and in protective works with selected sand in 150mm thick layer, including leveling, dressing, ramming, watering etc complete (compacted to 50% relative density by manual labour using mallet/ vibro compactor) as per direction of Engineer in charge.</t>
  </si>
  <si>
    <t>One Thousand Four Hundred and Nineteen point Nine Three Two</t>
  </si>
  <si>
    <t>106(a)</t>
  </si>
  <si>
    <t>Supplying and laying dry 1st class tick jhama brick chips as jilter in two layers (top and bottom) as per specification size, range and gradation, including breaking chips, grading preparation of surface, compacting each layer etc, with supply of all materials and as per direction of Engineer in charge.</t>
  </si>
  <si>
    <t>Three Thousand Seven Hundred and Thirty point One Three Four</t>
  </si>
  <si>
    <t>106(b)</t>
  </si>
  <si>
    <t>Four Thousand AND Seventy-Five point Seven Two Three</t>
  </si>
  <si>
    <t>107(a)</t>
  </si>
  <si>
    <t>Three Hundred and Forty-Nine point Nine Six Nine</t>
  </si>
  <si>
    <t>107(b)</t>
  </si>
  <si>
    <t>Three Hundred and Ninety-Nine point Nine Six Four</t>
  </si>
  <si>
    <t>108(a)</t>
  </si>
  <si>
    <t>Lobour charge for protective work in laying C.C blocks of different sizes including preparation of base, ramming of base etc. complete as per direction of the Engineer in charge</t>
  </si>
  <si>
    <t>108(b)</t>
  </si>
  <si>
    <t>M.S. work in plates, angles, channels, flat bars, Tees etc. including fabricating, machining, cuttings, bending, welding, forging, drilling, riveting, embedding anchor bars, staging and fitting, fixing, local handling etc. complete with energy consumption and supply of labors including the cost of all materials as per design, specification and direction of Engineer in charge.</t>
  </si>
  <si>
    <t>One Hundred and Twenty-Four point Nine Eight Nine</t>
  </si>
  <si>
    <t>80-230</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</si>
  <si>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mending the damages, fixing in walls with holders and clips, including cutting threads, making necessary connection etc. all complete, and as per direction of Engineer in charge.</t>
  </si>
  <si>
    <t>Two Hundred and Thirty-Two point Nine Zero Nine</t>
  </si>
  <si>
    <t>80-260</t>
  </si>
  <si>
    <t>Supplying, fitting and fixing of the different dia G.I. water distribution pipe line, with all special fittings such as bends, elbows, reducing sockets, tees, unions etc. including cutting trench up to average depth of 0.90m, maintaining proper level, cutting pipes where necessary, making threads etc. all complete. floors as per direction of Engineer in charge.</t>
  </si>
  <si>
    <t>Three Hundred and Thirty-Eight point Nine Eight Nine</t>
  </si>
  <si>
    <t>Manufacturing and supplying of M.S. Vertical lift gate shutter of 8mm thick M.S. plate and stiffener with minimum 75mm x 10mm M.S. angle as frame, horizontal &amp; vertical beam, 75mm x 25mm x 12mm p-type rubber seal, fixed with 10mm dia x 63.5mm M.S. counter shank bolts with nuts and 40mm x 10mm M.S. strip as clamp drilled spaces @ 150mm c/c, stem attachment with proper thread, nut cotter pin and washer as per approved design including the cost of all materials of proper grade &amp; brand new prime coat of red oxide where necessary as specification and direction of the Engineer in charge.</t>
  </si>
  <si>
    <t>Ninety-Six Thousand Seven Hundred and Ninety point Nine One Eight</t>
  </si>
  <si>
    <t>Labour charge for fitting fixing of M.S. vertical lift/ flap gate shutter of different size including making holes in concrete for hooking arrangements with supply of necessary materials, tools and other accessories required for fitting the same to regulator/ sluice and mending the damages with cc (1:2:4), removing the spoils etc. complete including the cost of all materials and as per direction of the Engineer in charge.</t>
  </si>
  <si>
    <t>Nine Thousand Nine Hundred and Ninety-One point Zero One One</t>
  </si>
  <si>
    <t>Manufacturing and supplying and installation of pedestal type lifting devise for slide gate with 63mm dia, threaded steel shaft, 146mm outer dia bronze nut, thrust bring steel bevel gear etc, as per approved desing including supply of all components, labors with prime coat of red oxide where necessary etc. complete including the cost of all materials as per specification and direction of the Engineer in charge.</t>
  </si>
  <si>
    <t>Eighty-Four Thousand One Hundred and Twenty-Eight point Two Seven Eight</t>
  </si>
  <si>
    <t>Supplying wooden flap gates with pressure treated fall boards/ stop logs of different sizes (not less than 15cm in depth) of Sal, Sundry, garjan Shishu of equivalent timber for regulator/ sluices, including fixing in position with eye hook etc. complete as per direction of Engineer in charge</t>
  </si>
  <si>
    <t>Sixty Thousand Nine Hundred and Sixty point Nine One Three</t>
  </si>
  <si>
    <t>Earth work by manual labor in resection of embankment/ canal bank / river slopes/ road/ compound etc. manually compacted by 7.0 kg iron rammer to abode any air pocket in clayey soil (minimum 30% clay, 0-40% silt and 0-30% sand) within the initial lead of 30m and all lifts including throwing the spoils to profile in layers not exceeding 150mm 100mm, removing roots &amp; stumps of trees of girth unto 200mm from the ground, benching the side slopes, stripping/ sloughing the bees of embankment and borrow pit areas, dug bailing, bail out of water, rough dressing including 150mm cambering at the center of the crest (where necessary) etc. complete as per direction of Engineer in charge.</t>
  </si>
  <si>
    <t>One Hundred and Sixty-Nine point Nine Eight Five</t>
  </si>
  <si>
    <t>16-130</t>
  </si>
  <si>
    <t>One Hundred and Forty-Two point Four Five Seven</t>
  </si>
  <si>
    <t>Extra rate for every additional lead of 15m or part here of beyond the initial lead of 30m up to a maximum of 19 leads (3m neglected) for all kinds of earth work. (One No Lead)</t>
  </si>
  <si>
    <t>pld/cum</t>
  </si>
  <si>
    <t>Extra rate for every additional lift of 1.0m or part thereof beyond the initial lift of 1.50m (30cm neglected for all kinds of earth work. (One No. Lift)</t>
  </si>
  <si>
    <t>plt/cum</t>
  </si>
  <si>
    <t>Ten point Nine Eight Nine</t>
  </si>
  <si>
    <t>04-280</t>
  </si>
  <si>
    <t>Construction at site, cement mortar gauge on masonry wall, including engraving in meter, decimeter &amp; centimeter, painting and figuring with black and red water proof paint, etc, complete as per direction of Engineer in charge</t>
  </si>
  <si>
    <t>Seventy-Seven point Seven Two Three</t>
  </si>
  <si>
    <t>Earth work by manual labour in all kinds of soil in removing the cross bundh/Ring bundh including all leads and lifts complete and placing the spoils to a safe distance-do-as per direction of Engineer in charge</t>
  </si>
  <si>
    <t>Back filling of hydraulic structure including all leads and lifts in 150mm layer including watering, ramming, compaction to 30% relative density etc. complete by compactor or any other suitable method as per direction of Engineer in charge.</t>
  </si>
  <si>
    <t>Seven Hundred and Fifty-Seven point Six Eight Two</t>
  </si>
  <si>
    <t>Back filling of hydraulic structure and slop building in protective work including all leads and lifts with selected local soil in layer if 150mm including, watering, ramming etc complete compacted to 20% relative density by compactor or any other suitable method as per direction of Engineer in char.</t>
  </si>
  <si>
    <t>One Hundred and Fifty-Four point Nine Eight Six</t>
  </si>
  <si>
    <t>Fine dressing and close turfing of the slope and the crest of embankment with 75mm thick good quality durba or charkanta sods of size 200mm x 200mm with all leads and lifts- do-do- etc. complete as per direction of Engineer in charge .</t>
  </si>
  <si>
    <t>Nine point Nine Nine Nine</t>
  </si>
  <si>
    <t>40-600</t>
  </si>
  <si>
    <t>Supplying and placing non-woven needle punched type geotextile fabric (100% polypropylene fabric, unit weight 855kg/m3 to 946 kg/m3) as filter materials of elongation at maximum force machine direction (MD) =&gt;60% and &lt;=100%, elongatio at maqximum force (CMD) =&gt;40% and &lt;=100% horizontal and vertical permeability (under 2 kn/m2 pressure) =&gt;2 x 10E-3 m/sec.for efective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labors, equipment's etc. complete as per direction of Engineer in charge(Geotextile delivered at site should be certified by ISO and clearly labelled with brand name and grade printed at regular intervals across the body of the fabric)</t>
  </si>
  <si>
    <t>One Hundred and Ninety point Four Five Three</t>
  </si>
  <si>
    <t>Construction of B.M. pillar at site first class bricks in cement mortar (1:4) of size 36cm x 38cm x 75cm of cement concrete (1:2:4) base size 50cm x 50cm x 75cm with 12mm thick cement plastering (1:2) in exposed surface of pillar and cement mortar on top (1:2) with in ascription of ?BWDB? with 25cm of the pillar below ground level etc. complete including ramming the backfilling and the cost of all materials as per direction of Engineer in charge.</t>
  </si>
  <si>
    <t>One Thousand One Hundred and Ninety-Nine point Eight Nine Two</t>
  </si>
  <si>
    <t>Earth work by manual labour with clayey soil (minimum 30% clay, 0.40% silt and 0-30% sabd) in construction of cross/ring bundh as per design &amp; specification with all lead and lifts throwing the earth in layer not exceeding 150mm. In thickness in/c clod's breaking rough dressing, clearing the Jungles removing stumps dug baling and 75mm cambering etc. complete as per direction of Engineer in charge.</t>
  </si>
  <si>
    <t>Earth work in excavation of foundation trenches in all kings of soils including leveling, dressing, placing, removal of spoils to a safe distance with initial lead of 30m and lift of 1.5m as per specification and direction of Engineer in charge</t>
  </si>
  <si>
    <t>One Hundred and Seventy-Two point Eight Three Four</t>
  </si>
  <si>
    <t>M.S. Work for reinforcement with twisted M.S. bar, fy=414 N/mm2, (made from billet) in RCC works, including local handling, cutting, forging, bending, cleaning and fabrication with supply of twisted M.S. bar in different sizes and blinding with 22 to 18 gages G.I. wire etc complete including the cost of all materials as per direction of Engineer in charge.</t>
  </si>
  <si>
    <t>160(a)</t>
  </si>
  <si>
    <t>160(b)</t>
  </si>
  <si>
    <t>160(C)</t>
  </si>
  <si>
    <t>162(a)</t>
  </si>
  <si>
    <t>162(b)</t>
  </si>
  <si>
    <t>M.S. work in plates, angles, channels, flat bars, Tees etc. including fabricating, machining, cuttings, bending, welding, forging, drilling, riveting, embedding anchor bars, staging and fitting, fixing, local handling etc. complete with energy consumption and supply of labors including the cost of all materials as per design, specification and direction of Engineer in charge. ding watering, ramming, compaction to 30% relative density etc. complete by compactor or any other suitable method as per direction of Engineer in charge.</t>
  </si>
  <si>
    <t>Forty-Seven Thousand Six Hundred and Ninety-Nine point Three Four Three</t>
  </si>
  <si>
    <t>Manufacturing and supplying of M.S. Flap gate shutter of 8mm thick M.S. skin plate and stiffener with minimum 75mm x 75.00mm x 10mm M.S. angle as frame, horizontal &amp; vertical beam, 100mm x 45mm x 16mm p-type rubber seal, fixed with 10mm dia x 63.5mm M.S. counter shank and hex nuts &amp; bolts and 40mm x 10mm M.S. strip as clamp drilled spaces @ 150mm c/c, hinge assay with gate and wall bracket, link arm of 19mm thick M.S. Plate, 4 nos. 25mm dia x 150mm stainless steel hinge pin with proper thread, nut, cotter pin and washer as per approved design including the cost of all materials of proper grade &amp;i brand new prime coat of red oxide where necessary as specification and direction of the Engineer in charge. .</t>
  </si>
  <si>
    <t>Fifty-Nine Thousand Six Hundred and Seventy-Three point One Three Nine</t>
  </si>
  <si>
    <t>Eight Thousand Four Hundred and Sixty-Two point Six One Eight</t>
  </si>
  <si>
    <t>Forty-Six Thousand Eight Hundred and Sixteen point Six Two Six</t>
  </si>
  <si>
    <t>Earth work by Mechanical Excavator ( Long Boom ) in all kinds of soil in excavation/re-excavation of Channel/Canal/khal etc. Including disposal of spoil-soil upto 30m away from the point of excavation with rough dressing and leveling etc. Complete as per direction of Engineer in charge.</t>
  </si>
  <si>
    <t>One Hundred and Forty-Two point Two Five Seven</t>
  </si>
  <si>
    <t>Extra rate for every additional lead of 15m or part here of beyond the initial lead of 30m up to a maximum of 19 leads (3m neglected) for all kinds of earth work.</t>
  </si>
  <si>
    <t>Extra rate for every additional lift of 1.0m or part thereof beyond the initial lift of 1.50m (30cm neglected for all kinds of earth work.</t>
  </si>
  <si>
    <t>Back filling of hydraulic structure and slop building in protective work including all leads and lifts with selected local soil in layer if 150mm including, watering, ramming etc complete compacted to 20% relative density by compactor or any other suitable method as per direction of Engineer in charge.</t>
  </si>
  <si>
    <t>One Hundred and Fifty-Eight point Eight Six Five</t>
  </si>
  <si>
    <t>Fine dressing and close turfing of the slope and the crest of embankment with 75mm thick good quality durba or charkanta sods of size 200mm x 200mm with all leads and lifts- do-do- etc. complete as per direction of Engineer in charge</t>
  </si>
  <si>
    <t>Gate</t>
  </si>
  <si>
    <t>Site Preparation by manually removing all miscellaneous objectionable materials from entire site and including soil up to 15 cm depth including do ? do etc. complete</t>
  </si>
  <si>
    <t>Eight Hundred and Fifty-Seven point Nine Three Three</t>
  </si>
  <si>
    <t>Ten Thousand Nine Hundred and Fifty-Three point Four Nine Four</t>
  </si>
  <si>
    <t>136(a)</t>
  </si>
  <si>
    <t>136(b)</t>
  </si>
  <si>
    <t>40-260</t>
  </si>
  <si>
    <t>40-260-35</t>
  </si>
  <si>
    <t>Manufacturing and supplying Standard machine made RCC Pipe of different diameter, length and thickness in construction of Drain/ Sluice/ Culvert/ Out let and any other works in leanest mix 1:1.5:3 with 15mm down graded stone shingles and sand of FM&gt;= 2.0 to attain a minimum 28 Days cylinder strength of 25 N/mm2 including breaking, screening, grading, laying in forms, consolidating, curing, including the cost of 6mm dia M.S. work for reinforcement and specification including tools. Plants, testing, stacking in measurable stack etc. complete as per design specification and direction of Engineer in charge.</t>
  </si>
  <si>
    <t>Two Thousand Six Hundred and Thirty-Six point Four One Three</t>
  </si>
  <si>
    <t>60-300</t>
  </si>
  <si>
    <t>Sixty-Six point Three Zero Four</t>
  </si>
  <si>
    <t>Manufacturing, supplying, installation and fitting, fixing the vertical steel lift gate/ flap gate as per design and specification, including fabricating, reverting, welding, fixing rubber seal, providing required nuts and bolts including the cost of all materials etc. complete with a prime coat of red oxide where necessary as per direction of Engineer in charge, (Applicable only for size not specified in Item code 76-240 &amp; 76-250)</t>
  </si>
  <si>
    <t>Two Hundred and Ninety-Nine point Nine Seven Three</t>
  </si>
  <si>
    <t>Twenty-Four point Nine Nine Eight</t>
  </si>
  <si>
    <t>Twenty-Nine point Nine Nine Seven</t>
  </si>
  <si>
    <t>39(a)</t>
  </si>
  <si>
    <t>Shoring for slope protection of foundation trench, canal, embankment, road, pond etc. as per design slope, grades including for spoils to a safe distance as per direction of Engineer in charge.</t>
  </si>
  <si>
    <t>Six Hundred and Thirty-Nine point Nine Four Two</t>
  </si>
  <si>
    <t>39(b)</t>
  </si>
  <si>
    <t>Eight Hundred and Thirty-Seven point Zero Seven Five</t>
  </si>
  <si>
    <t>28-100-20</t>
  </si>
  <si>
    <t>Twenty-Seven point Eight Seven Seven</t>
  </si>
  <si>
    <t>55(a)</t>
  </si>
  <si>
    <t>55(b)</t>
  </si>
  <si>
    <t>Nine Hundred and Nine point Six Zero Eight</t>
  </si>
  <si>
    <t>55(c)</t>
  </si>
  <si>
    <t>57(a)</t>
  </si>
  <si>
    <t>57(b)</t>
  </si>
  <si>
    <t>59(a)</t>
  </si>
  <si>
    <t>59(b)</t>
  </si>
  <si>
    <t>60(a)</t>
  </si>
  <si>
    <t>60(b)</t>
  </si>
  <si>
    <t>61(a)</t>
  </si>
  <si>
    <t>61(b)</t>
  </si>
  <si>
    <t>tem no.</t>
  </si>
  <si>
    <t>Group</t>
  </si>
  <si>
    <t>Item Code (if any)</t>
  </si>
  <si>
    <t>Measurement Unit</t>
  </si>
  <si>
    <t>Unit Price</t>
  </si>
  <si>
    <t>Total Price</t>
  </si>
  <si>
    <t>progress</t>
  </si>
  <si>
    <t>Gate Deduction</t>
  </si>
  <si>
    <t>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</si>
</sst>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00"/>
  </numFmts>
  <fonts count="23">
    <font>
      <sz val="10"/>
      <name val="Arial"/>
    </font>
    <font>
      <sz val="11"/>
      <color theme="1"/>
      <name val="Calibri"/>
      <family val="2"/>
      <scheme val="minor"/>
    </font>
    <font>
      <sz val="10"/>
      <name val="Arial"/>
      <family val="2"/>
    </font>
    <font>
      <sz val="10"/>
      <name val="Arial"/>
      <family val="2"/>
    </font>
    <font>
      <sz val="10"/>
      <name val="Times New Roman"/>
      <family val="1"/>
    </font>
    <font>
      <b/>
      <sz val="10"/>
      <name val="Times New Roman"/>
      <family val="1"/>
    </font>
    <font>
      <sz val="14"/>
      <name val="Times New Roman"/>
      <family val="1"/>
    </font>
    <font>
      <sz val="12"/>
      <name val="Times New Roman"/>
      <family val="1"/>
    </font>
    <font>
      <sz val="10"/>
      <color theme="1"/>
      <name val="Times New Roman"/>
      <family val="1"/>
    </font>
    <font>
      <sz val="10"/>
      <name val="Calibri"/>
      <family val="2"/>
    </font>
    <font>
      <sz val="8"/>
      <name val="Arial"/>
      <family val="2"/>
    </font>
    <font>
      <sz val="8"/>
      <name val="Calibri"/>
      <family val="2"/>
    </font>
    <font>
      <sz val="11.5"/>
      <name val="Times New Roman"/>
      <family val="1"/>
    </font>
    <font>
      <sz val="11.5"/>
      <name val="Arial"/>
      <family val="2"/>
    </font>
    <font>
      <sz val="11.5"/>
      <color theme="1"/>
      <name val="Times New Roman"/>
      <family val="1"/>
    </font>
    <font>
      <b/>
      <sz val="11.5"/>
      <name val="Times New Roman"/>
      <family val="1"/>
    </font>
    <font>
      <sz val="11.5"/>
      <color rgb="FFFF0000"/>
      <name val="Times New Roman"/>
      <family val="1"/>
    </font>
    <font>
      <sz val="11.5"/>
      <color rgb="FFC00000"/>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2"/>
      <color theme="1"/>
      <name val="Calibri"/>
      <family val="2"/>
      <scheme val="minor"/>
    </font>
    <font>
      <sz val="12"/>
      <color rgb="FF333333"/>
      <name val="ArialRegular"/>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6">
    <border>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s>
  <cellStyleXfs count="11">
    <xf numFmtId="0" fontId="0" fillId="0" borderId="0"/>
    <xf numFmtId="43" fontId="3" fillId="0" borderId="0" applyFont="0" applyFill="0" applyBorder="0" applyAlignment="0" applyProtection="0"/>
    <xf numFmtId="43" fontId="2" fillId="0" borderId="0" applyFont="0" applyFill="0" applyBorder="0" applyAlignment="0" applyProtection="0"/>
    <xf numFmtId="0" fontId="3" fillId="0" borderId="0"/>
    <xf numFmtId="0" fontId="3" fillId="0" borderId="0"/>
    <xf numFmtId="0" fontId="2" fillId="0" borderId="0"/>
    <xf numFmtId="9" fontId="3"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1" fillId="0" borderId="0"/>
  </cellStyleXfs>
  <cellXfs count="369">
    <xf numFmtId="0" fontId="0" fillId="0" borderId="0" xfId="0"/>
    <xf numFmtId="0" fontId="4" fillId="0" borderId="0" xfId="0" applyFont="1" applyAlignment="1">
      <alignment horizontal="center"/>
    </xf>
    <xf numFmtId="0" fontId="4" fillId="0" borderId="0" xfId="5" applyFont="1" applyFill="1" applyAlignment="1">
      <alignment vertical="top"/>
    </xf>
    <xf numFmtId="0" fontId="4" fillId="0" borderId="6" xfId="5" applyFont="1" applyFill="1" applyBorder="1" applyAlignment="1">
      <alignment vertical="top"/>
    </xf>
    <xf numFmtId="0" fontId="4" fillId="0" borderId="7" xfId="5" applyFont="1" applyFill="1" applyBorder="1" applyAlignment="1">
      <alignment vertical="top"/>
    </xf>
    <xf numFmtId="0" fontId="4" fillId="0" borderId="0" xfId="5" applyFont="1" applyFill="1" applyBorder="1" applyAlignment="1">
      <alignment vertical="top"/>
    </xf>
    <xf numFmtId="0" fontId="4" fillId="0" borderId="1" xfId="5" applyFont="1" applyFill="1" applyBorder="1" applyAlignment="1">
      <alignment vertical="top"/>
    </xf>
    <xf numFmtId="2" fontId="4" fillId="0" borderId="0" xfId="5" applyNumberFormat="1" applyFont="1" applyFill="1" applyBorder="1" applyAlignment="1">
      <alignment vertical="top" wrapText="1"/>
    </xf>
    <xf numFmtId="0" fontId="4" fillId="0" borderId="0" xfId="5" applyFont="1" applyFill="1" applyAlignment="1">
      <alignment horizontal="center" vertical="top"/>
    </xf>
    <xf numFmtId="2" fontId="4" fillId="0" borderId="0" xfId="5" applyNumberFormat="1" applyFont="1" applyFill="1" applyBorder="1" applyAlignment="1">
      <alignment vertical="top"/>
    </xf>
    <xf numFmtId="0" fontId="4" fillId="0" borderId="14" xfId="5" applyFont="1" applyFill="1" applyBorder="1" applyAlignment="1">
      <alignment horizontal="left" vertical="top"/>
    </xf>
    <xf numFmtId="2" fontId="4" fillId="0" borderId="14" xfId="5" applyNumberFormat="1" applyFont="1" applyFill="1" applyBorder="1" applyAlignment="1">
      <alignment horizontal="center" vertical="top"/>
    </xf>
    <xf numFmtId="0" fontId="4" fillId="0" borderId="13" xfId="5" applyFont="1" applyFill="1" applyBorder="1" applyAlignment="1">
      <alignment vertical="top"/>
    </xf>
    <xf numFmtId="0" fontId="2" fillId="0" borderId="13" xfId="5" applyFont="1" applyFill="1" applyBorder="1" applyAlignment="1">
      <alignment horizontal="center" vertical="center"/>
    </xf>
    <xf numFmtId="0" fontId="4" fillId="0" borderId="9" xfId="5" applyFont="1" applyFill="1" applyBorder="1" applyAlignment="1">
      <alignment horizontal="left" vertical="top"/>
    </xf>
    <xf numFmtId="0" fontId="4" fillId="0" borderId="0" xfId="5" applyFont="1" applyFill="1" applyBorder="1" applyAlignment="1">
      <alignment horizontal="left" vertical="top"/>
    </xf>
    <xf numFmtId="0" fontId="4" fillId="0" borderId="4" xfId="5" applyFont="1" applyFill="1" applyBorder="1" applyAlignment="1">
      <alignment horizontal="center" vertical="center" wrapText="1"/>
    </xf>
    <xf numFmtId="0" fontId="4" fillId="0" borderId="5" xfId="5" applyFont="1" applyFill="1" applyBorder="1" applyAlignment="1">
      <alignment horizontal="center" vertical="center" wrapText="1"/>
    </xf>
    <xf numFmtId="0" fontId="4" fillId="0" borderId="5" xfId="0" applyFont="1" applyFill="1" applyBorder="1" applyAlignment="1">
      <alignment horizontal="center" vertical="top"/>
    </xf>
    <xf numFmtId="0" fontId="4" fillId="0" borderId="0" xfId="0" applyFont="1" applyFill="1"/>
    <xf numFmtId="0" fontId="4" fillId="0" borderId="11" xfId="0" applyFont="1" applyFill="1" applyBorder="1" applyAlignment="1">
      <alignment horizontal="center" vertical="top"/>
    </xf>
    <xf numFmtId="0" fontId="4" fillId="0" borderId="11" xfId="0" applyFont="1" applyFill="1" applyBorder="1" applyAlignment="1">
      <alignment vertical="top"/>
    </xf>
    <xf numFmtId="0" fontId="4" fillId="0" borderId="9" xfId="0" applyFont="1" applyFill="1" applyBorder="1" applyAlignment="1">
      <alignment horizontal="justify" vertical="top"/>
    </xf>
    <xf numFmtId="0" fontId="4" fillId="0" borderId="0" xfId="0" applyFont="1" applyFill="1" applyBorder="1"/>
    <xf numFmtId="0" fontId="4" fillId="0" borderId="0" xfId="0" applyFont="1" applyFill="1" applyBorder="1" applyAlignment="1"/>
    <xf numFmtId="0" fontId="4" fillId="0" borderId="1" xfId="0" applyFont="1" applyFill="1" applyBorder="1"/>
    <xf numFmtId="0" fontId="4" fillId="0" borderId="0" xfId="0" applyFont="1" applyFill="1" applyBorder="1" applyAlignment="1">
      <alignment vertical="center"/>
    </xf>
    <xf numFmtId="0" fontId="4" fillId="0" borderId="0" xfId="0" applyFont="1" applyFill="1" applyBorder="1" applyAlignment="1">
      <alignment vertical="top"/>
    </xf>
    <xf numFmtId="0" fontId="4" fillId="0" borderId="0" xfId="0" applyFont="1" applyFill="1" applyAlignment="1"/>
    <xf numFmtId="0" fontId="4" fillId="0" borderId="0" xfId="0" applyFont="1" applyFill="1" applyAlignment="1">
      <alignment vertical="center"/>
    </xf>
    <xf numFmtId="0" fontId="4" fillId="0" borderId="9" xfId="0" applyFont="1" applyFill="1" applyBorder="1" applyAlignment="1">
      <alignment horizontal="center" vertical="top"/>
    </xf>
    <xf numFmtId="0" fontId="4" fillId="0" borderId="11" xfId="0" applyFont="1" applyFill="1" applyBorder="1" applyAlignment="1">
      <alignment horizontal="center"/>
    </xf>
    <xf numFmtId="1" fontId="4" fillId="0" borderId="14" xfId="0" applyNumberFormat="1" applyFont="1" applyFill="1" applyBorder="1" applyAlignment="1">
      <alignment horizontal="center"/>
    </xf>
    <xf numFmtId="2" fontId="4" fillId="0" borderId="0" xfId="0" applyNumberFormat="1" applyFont="1" applyFill="1" applyBorder="1" applyAlignment="1"/>
    <xf numFmtId="0" fontId="4" fillId="0" borderId="9" xfId="5" applyFont="1" applyFill="1" applyBorder="1" applyAlignment="1">
      <alignment vertical="top" wrapText="1"/>
    </xf>
    <xf numFmtId="0" fontId="4" fillId="0" borderId="11" xfId="5" applyFont="1" applyFill="1" applyBorder="1" applyAlignment="1">
      <alignment vertical="top" wrapText="1"/>
    </xf>
    <xf numFmtId="1" fontId="4" fillId="0" borderId="0" xfId="5" applyNumberFormat="1" applyFont="1" applyFill="1" applyBorder="1" applyAlignment="1">
      <alignment vertical="top"/>
    </xf>
    <xf numFmtId="0" fontId="4" fillId="0" borderId="0" xfId="0" applyFont="1" applyFill="1" applyAlignment="1">
      <alignment horizontal="center"/>
    </xf>
    <xf numFmtId="0" fontId="4" fillId="0" borderId="14" xfId="5" applyFont="1" applyFill="1" applyBorder="1" applyAlignment="1">
      <alignment vertical="top"/>
    </xf>
    <xf numFmtId="0" fontId="4" fillId="0" borderId="14" xfId="5" applyFont="1" applyFill="1" applyBorder="1" applyAlignment="1">
      <alignment horizontal="center" vertical="top"/>
    </xf>
    <xf numFmtId="0" fontId="4" fillId="0" borderId="0" xfId="5" applyFont="1" applyFill="1" applyBorder="1" applyAlignment="1">
      <alignment vertical="top" wrapText="1"/>
    </xf>
    <xf numFmtId="0" fontId="4" fillId="0" borderId="0" xfId="5" applyFont="1" applyFill="1" applyBorder="1" applyAlignment="1">
      <alignment horizontal="right" vertical="top" wrapText="1"/>
    </xf>
    <xf numFmtId="0" fontId="4" fillId="0" borderId="0" xfId="0" applyFont="1" applyFill="1" applyBorder="1" applyAlignment="1">
      <alignment horizontal="center" vertical="center"/>
    </xf>
    <xf numFmtId="2" fontId="4" fillId="0" borderId="0" xfId="5" applyNumberFormat="1" applyFont="1" applyFill="1" applyBorder="1" applyAlignment="1">
      <alignment horizontal="center" vertical="top"/>
    </xf>
    <xf numFmtId="0" fontId="4" fillId="0" borderId="0" xfId="0" applyFont="1" applyFill="1" applyBorder="1" applyAlignment="1">
      <alignment horizontal="justify" vertical="top"/>
    </xf>
    <xf numFmtId="0" fontId="4" fillId="0" borderId="0" xfId="5" applyFont="1" applyFill="1" applyBorder="1" applyAlignment="1">
      <alignment horizontal="justify" vertical="top" wrapText="1"/>
    </xf>
    <xf numFmtId="0" fontId="4" fillId="0" borderId="0" xfId="7" applyFont="1" applyFill="1" applyBorder="1" applyAlignment="1">
      <alignment horizontal="center" vertical="top"/>
    </xf>
    <xf numFmtId="0" fontId="4" fillId="0" borderId="0" xfId="7" applyFont="1" applyBorder="1" applyAlignment="1">
      <alignment vertical="top"/>
    </xf>
    <xf numFmtId="0" fontId="4" fillId="0" borderId="8" xfId="5" applyFont="1" applyFill="1" applyBorder="1" applyAlignment="1">
      <alignment vertical="top" wrapText="1"/>
    </xf>
    <xf numFmtId="0" fontId="4" fillId="0" borderId="0" xfId="7" applyFont="1" applyBorder="1" applyAlignment="1">
      <alignment horizontal="center" vertical="center"/>
    </xf>
    <xf numFmtId="0" fontId="4" fillId="0" borderId="1" xfId="7" applyFont="1" applyBorder="1" applyAlignment="1">
      <alignment horizontal="center" vertical="center"/>
    </xf>
    <xf numFmtId="0" fontId="4" fillId="0" borderId="0" xfId="7" applyFont="1" applyAlignment="1">
      <alignment horizontal="center" vertical="center"/>
    </xf>
    <xf numFmtId="0" fontId="4" fillId="0" borderId="9" xfId="7" applyFont="1" applyBorder="1" applyAlignment="1">
      <alignment horizontal="left" vertical="top" readingOrder="1"/>
    </xf>
    <xf numFmtId="2" fontId="4" fillId="0" borderId="0" xfId="7" applyNumberFormat="1" applyFont="1" applyBorder="1" applyAlignment="1">
      <alignment vertical="top" wrapText="1" readingOrder="1"/>
    </xf>
    <xf numFmtId="2" fontId="4" fillId="2" borderId="0" xfId="7" applyNumberFormat="1" applyFont="1" applyFill="1" applyBorder="1" applyAlignment="1">
      <alignment vertical="top" readingOrder="1"/>
    </xf>
    <xf numFmtId="0" fontId="4" fillId="0" borderId="0" xfId="7" applyFont="1" applyBorder="1" applyAlignment="1">
      <alignment horizontal="center" vertical="top" readingOrder="1"/>
    </xf>
    <xf numFmtId="0" fontId="4" fillId="0" borderId="11" xfId="7" applyFont="1" applyBorder="1" applyAlignment="1">
      <alignment horizontal="center" vertical="center" wrapText="1" readingOrder="1"/>
    </xf>
    <xf numFmtId="0" fontId="4" fillId="0" borderId="8" xfId="7" applyFont="1" applyBorder="1" applyAlignment="1">
      <alignment horizontal="center" vertical="center" wrapText="1" readingOrder="1"/>
    </xf>
    <xf numFmtId="0" fontId="4" fillId="0" borderId="2" xfId="7" applyFont="1" applyBorder="1" applyAlignment="1">
      <alignment horizontal="left" vertical="center"/>
    </xf>
    <xf numFmtId="2" fontId="4" fillId="0" borderId="3" xfId="7" applyNumberFormat="1" applyFont="1" applyBorder="1" applyAlignment="1">
      <alignment vertical="center" wrapText="1"/>
    </xf>
    <xf numFmtId="2" fontId="4" fillId="2" borderId="3" xfId="7" applyNumberFormat="1" applyFont="1" applyFill="1" applyBorder="1" applyAlignment="1">
      <alignment vertical="center"/>
    </xf>
    <xf numFmtId="0" fontId="4" fillId="0" borderId="3" xfId="7" applyFont="1" applyBorder="1" applyAlignment="1">
      <alignment horizontal="center" vertical="center"/>
    </xf>
    <xf numFmtId="0" fontId="4" fillId="0" borderId="14" xfId="7" applyFont="1" applyBorder="1" applyAlignment="1">
      <alignment horizontal="center" vertical="center"/>
    </xf>
    <xf numFmtId="2" fontId="4" fillId="2" borderId="14" xfId="7" applyNumberFormat="1" applyFont="1" applyFill="1" applyBorder="1" applyAlignment="1">
      <alignment horizontal="center" vertical="center"/>
    </xf>
    <xf numFmtId="0" fontId="4" fillId="0" borderId="5" xfId="7" applyFont="1" applyFill="1" applyBorder="1" applyAlignment="1">
      <alignment horizontal="center" vertical="top"/>
    </xf>
    <xf numFmtId="0" fontId="4" fillId="0" borderId="5" xfId="7" applyFont="1" applyBorder="1" applyAlignment="1">
      <alignment vertical="top"/>
    </xf>
    <xf numFmtId="0" fontId="4" fillId="0" borderId="6" xfId="7" applyFont="1" applyBorder="1" applyAlignment="1">
      <alignment vertical="top" wrapText="1"/>
    </xf>
    <xf numFmtId="0" fontId="4" fillId="0" borderId="7" xfId="7" applyFont="1" applyBorder="1" applyAlignment="1">
      <alignment vertical="top" wrapText="1"/>
    </xf>
    <xf numFmtId="0" fontId="4" fillId="0" borderId="0" xfId="7" applyFont="1" applyAlignment="1"/>
    <xf numFmtId="2" fontId="4" fillId="0" borderId="0" xfId="7" applyNumberFormat="1" applyFont="1" applyAlignment="1">
      <alignment horizontal="center" vertical="center"/>
    </xf>
    <xf numFmtId="0" fontId="4" fillId="0" borderId="11" xfId="7" applyFont="1" applyFill="1" applyBorder="1" applyAlignment="1">
      <alignment horizontal="center" vertical="top"/>
    </xf>
    <xf numFmtId="0" fontId="4" fillId="0" borderId="10" xfId="7" applyFont="1" applyBorder="1" applyAlignment="1">
      <alignment vertical="top"/>
    </xf>
    <xf numFmtId="2" fontId="4" fillId="0" borderId="0" xfId="7" applyNumberFormat="1" applyFont="1" applyBorder="1" applyAlignment="1">
      <alignment horizontal="center" vertical="center"/>
    </xf>
    <xf numFmtId="0" fontId="4" fillId="0" borderId="0" xfId="7" applyFont="1" applyBorder="1" applyAlignment="1"/>
    <xf numFmtId="0" fontId="4" fillId="0" borderId="11" xfId="7" applyFont="1" applyBorder="1" applyAlignment="1">
      <alignment vertical="top"/>
    </xf>
    <xf numFmtId="0" fontId="4" fillId="0" borderId="11" xfId="7" applyFont="1" applyBorder="1" applyAlignment="1">
      <alignment horizontal="center" vertical="top"/>
    </xf>
    <xf numFmtId="0" fontId="4" fillId="0" borderId="6" xfId="7" applyFont="1" applyBorder="1" applyAlignment="1">
      <alignment vertical="top"/>
    </xf>
    <xf numFmtId="0" fontId="4" fillId="0" borderId="7" xfId="7" applyFont="1" applyBorder="1" applyAlignment="1">
      <alignment vertical="top"/>
    </xf>
    <xf numFmtId="0" fontId="4" fillId="0" borderId="9" xfId="7" applyFont="1" applyBorder="1" applyAlignment="1">
      <alignment vertical="top"/>
    </xf>
    <xf numFmtId="0" fontId="4" fillId="0" borderId="1" xfId="7" applyFont="1" applyBorder="1" applyAlignment="1">
      <alignment vertical="top"/>
    </xf>
    <xf numFmtId="0" fontId="4" fillId="0" borderId="8" xfId="7" applyFont="1" applyFill="1" applyBorder="1" applyAlignment="1">
      <alignment horizontal="center" vertical="top"/>
    </xf>
    <xf numFmtId="0" fontId="4" fillId="0" borderId="6" xfId="7" applyFont="1" applyFill="1" applyBorder="1" applyAlignment="1">
      <alignment vertical="top"/>
    </xf>
    <xf numFmtId="0" fontId="4" fillId="0" borderId="7" xfId="7" applyFont="1" applyFill="1" applyBorder="1" applyAlignment="1">
      <alignment vertical="top"/>
    </xf>
    <xf numFmtId="0" fontId="4" fillId="0" borderId="9" xfId="7" applyFont="1" applyFill="1" applyBorder="1" applyAlignment="1">
      <alignment vertical="top"/>
    </xf>
    <xf numFmtId="0" fontId="4" fillId="0" borderId="0" xfId="7" applyFont="1" applyFill="1" applyBorder="1" applyAlignment="1">
      <alignment vertical="top"/>
    </xf>
    <xf numFmtId="0" fontId="4" fillId="0" borderId="1" xfId="7" applyFont="1" applyFill="1" applyBorder="1" applyAlignment="1">
      <alignment vertical="top"/>
    </xf>
    <xf numFmtId="0" fontId="4" fillId="0" borderId="8" xfId="7" applyFont="1" applyFill="1" applyBorder="1" applyAlignment="1">
      <alignment horizontal="center" vertical="center" wrapText="1" readingOrder="1"/>
    </xf>
    <xf numFmtId="0" fontId="4" fillId="0" borderId="3" xfId="0" applyFont="1" applyFill="1" applyBorder="1" applyAlignment="1">
      <alignment vertical="top"/>
    </xf>
    <xf numFmtId="0" fontId="4" fillId="0" borderId="11" xfId="5" applyFont="1" applyFill="1" applyBorder="1" applyAlignment="1">
      <alignment vertical="center" wrapText="1"/>
    </xf>
    <xf numFmtId="0" fontId="4" fillId="0" borderId="10" xfId="0" applyFont="1" applyFill="1" applyBorder="1" applyAlignment="1">
      <alignment horizontal="center" vertical="top"/>
    </xf>
    <xf numFmtId="0" fontId="4" fillId="0" borderId="11" xfId="5" applyFont="1" applyFill="1" applyBorder="1" applyAlignment="1">
      <alignment vertical="top"/>
    </xf>
    <xf numFmtId="0" fontId="4" fillId="0" borderId="14" xfId="0" applyFont="1" applyFill="1" applyBorder="1" applyAlignment="1"/>
    <xf numFmtId="0" fontId="4" fillId="0" borderId="2" xfId="5" applyFont="1" applyFill="1" applyBorder="1" applyAlignment="1">
      <alignment horizontal="center" vertical="top" wrapText="1"/>
    </xf>
    <xf numFmtId="1" fontId="4" fillId="0" borderId="3" xfId="5" applyNumberFormat="1" applyFont="1" applyFill="1" applyBorder="1" applyAlignment="1">
      <alignment vertical="top" wrapText="1"/>
    </xf>
    <xf numFmtId="2" fontId="4" fillId="0" borderId="3" xfId="5" applyNumberFormat="1" applyFont="1" applyFill="1" applyBorder="1" applyAlignment="1">
      <alignment vertical="top" wrapText="1"/>
    </xf>
    <xf numFmtId="2" fontId="4" fillId="0" borderId="14" xfId="5" applyNumberFormat="1" applyFont="1" applyFill="1" applyBorder="1" applyAlignment="1">
      <alignment vertical="top" wrapText="1"/>
    </xf>
    <xf numFmtId="0" fontId="4" fillId="0" borderId="14" xfId="5" applyFont="1" applyFill="1" applyBorder="1" applyAlignment="1">
      <alignment vertical="top" wrapText="1"/>
    </xf>
    <xf numFmtId="9" fontId="4" fillId="0" borderId="14" xfId="5" applyNumberFormat="1" applyFont="1" applyFill="1" applyBorder="1" applyAlignment="1">
      <alignment vertical="top" wrapText="1"/>
    </xf>
    <xf numFmtId="0" fontId="4" fillId="0" borderId="0" xfId="7" applyFont="1" applyBorder="1" applyAlignment="1">
      <alignment horizontal="center" vertical="center" wrapText="1" readingOrder="1"/>
    </xf>
    <xf numFmtId="0" fontId="4" fillId="0" borderId="0" xfId="7" applyFont="1" applyBorder="1" applyAlignment="1">
      <alignment horizontal="right" vertical="center"/>
    </xf>
    <xf numFmtId="43" fontId="4" fillId="0" borderId="0" xfId="7" applyNumberFormat="1" applyFont="1" applyBorder="1" applyAlignment="1">
      <alignment horizontal="center" vertical="center"/>
    </xf>
    <xf numFmtId="0" fontId="4" fillId="0" borderId="0" xfId="5" applyFont="1"/>
    <xf numFmtId="0" fontId="5" fillId="0" borderId="4" xfId="5" applyFont="1" applyBorder="1" applyAlignment="1">
      <alignment horizontal="center" vertical="center" wrapText="1"/>
    </xf>
    <xf numFmtId="0" fontId="4" fillId="0" borderId="0" xfId="5" applyFont="1" applyAlignment="1">
      <alignment horizontal="center"/>
    </xf>
    <xf numFmtId="0" fontId="4" fillId="0" borderId="0" xfId="5" applyFont="1" applyAlignment="1">
      <alignment horizontal="center" vertical="top"/>
    </xf>
    <xf numFmtId="0" fontId="4" fillId="0" borderId="0" xfId="5" applyFont="1" applyFill="1"/>
    <xf numFmtId="0" fontId="4" fillId="0" borderId="0" xfId="5" applyFont="1" applyAlignment="1">
      <alignment horizontal="center" vertical="center"/>
    </xf>
    <xf numFmtId="0" fontId="4" fillId="0" borderId="0" xfId="5" applyFont="1" applyAlignment="1">
      <alignment horizontal="justify"/>
    </xf>
    <xf numFmtId="0" fontId="4" fillId="0" borderId="0" xfId="5" applyFont="1" applyFill="1" applyBorder="1" applyAlignment="1">
      <alignment horizontal="justify" vertical="top" wrapText="1"/>
    </xf>
    <xf numFmtId="0" fontId="4" fillId="0" borderId="5" xfId="5" applyFont="1" applyFill="1" applyBorder="1" applyAlignment="1">
      <alignment horizontal="center" vertical="top" wrapText="1"/>
    </xf>
    <xf numFmtId="0" fontId="4" fillId="0" borderId="11" xfId="5" applyFont="1" applyFill="1" applyBorder="1" applyAlignment="1">
      <alignment horizontal="center" vertical="top" wrapText="1"/>
    </xf>
    <xf numFmtId="0" fontId="4" fillId="0" borderId="0" xfId="5" applyFont="1" applyFill="1" applyBorder="1" applyAlignment="1">
      <alignment horizontal="center" vertical="top" wrapText="1"/>
    </xf>
    <xf numFmtId="2" fontId="4" fillId="0" borderId="0" xfId="5" applyNumberFormat="1" applyFont="1" applyFill="1" applyBorder="1" applyAlignment="1">
      <alignment horizontal="center" vertical="top" wrapText="1"/>
    </xf>
    <xf numFmtId="0" fontId="4" fillId="0" borderId="0" xfId="5" applyFont="1" applyFill="1" applyBorder="1" applyAlignment="1">
      <alignment horizontal="left" vertical="top" wrapText="1"/>
    </xf>
    <xf numFmtId="0" fontId="4" fillId="0" borderId="3" xfId="5" applyFont="1" applyFill="1" applyBorder="1" applyAlignment="1">
      <alignment vertical="top" wrapText="1"/>
    </xf>
    <xf numFmtId="0" fontId="4" fillId="0" borderId="0" xfId="5" applyFont="1" applyFill="1" applyBorder="1" applyAlignment="1">
      <alignment vertical="top" wrapText="1"/>
    </xf>
    <xf numFmtId="0" fontId="4" fillId="0" borderId="9" xfId="5" applyFont="1" applyFill="1" applyBorder="1" applyAlignment="1">
      <alignment horizontal="right" vertical="top" wrapText="1"/>
    </xf>
    <xf numFmtId="0" fontId="4" fillId="0" borderId="0" xfId="5" applyFont="1" applyFill="1" applyBorder="1" applyAlignment="1">
      <alignment horizontal="right" vertical="top" wrapText="1"/>
    </xf>
    <xf numFmtId="2" fontId="4" fillId="0" borderId="0" xfId="5" applyNumberFormat="1" applyFont="1" applyFill="1" applyBorder="1" applyAlignment="1">
      <alignment horizontal="center" vertical="top"/>
    </xf>
    <xf numFmtId="0" fontId="4" fillId="0" borderId="0" xfId="5" applyFont="1" applyFill="1" applyBorder="1" applyAlignment="1">
      <alignment horizontal="center" vertical="top"/>
    </xf>
    <xf numFmtId="2" fontId="4" fillId="0" borderId="0" xfId="7" applyNumberFormat="1" applyFont="1" applyBorder="1" applyAlignment="1">
      <alignment horizontal="center" vertical="top"/>
    </xf>
    <xf numFmtId="0" fontId="4" fillId="0" borderId="0" xfId="7" applyFont="1" applyBorder="1" applyAlignment="1">
      <alignment horizontal="center" vertical="top"/>
    </xf>
    <xf numFmtId="2" fontId="4" fillId="0" borderId="0" xfId="0" applyNumberFormat="1" applyFont="1" applyFill="1" applyBorder="1" applyAlignment="1">
      <alignment horizontal="center"/>
    </xf>
    <xf numFmtId="0" fontId="4" fillId="0" borderId="0" xfId="0" applyFont="1" applyFill="1" applyBorder="1" applyAlignment="1">
      <alignment horizontal="center"/>
    </xf>
    <xf numFmtId="1" fontId="4" fillId="0" borderId="0" xfId="7" applyNumberFormat="1" applyFont="1" applyBorder="1" applyAlignment="1">
      <alignment horizontal="center" vertical="top"/>
    </xf>
    <xf numFmtId="0" fontId="4" fillId="0" borderId="1" xfId="5" applyFont="1" applyFill="1" applyBorder="1" applyAlignment="1">
      <alignment horizontal="justify" vertical="top" wrapText="1"/>
    </xf>
    <xf numFmtId="0" fontId="4" fillId="0" borderId="6" xfId="5" applyFont="1" applyFill="1" applyBorder="1" applyAlignment="1">
      <alignment vertical="top" wrapText="1"/>
    </xf>
    <xf numFmtId="0" fontId="4" fillId="0" borderId="7" xfId="5" applyFont="1" applyFill="1" applyBorder="1" applyAlignment="1">
      <alignment vertical="top" wrapText="1"/>
    </xf>
    <xf numFmtId="0" fontId="4" fillId="0" borderId="1" xfId="0" applyFont="1" applyFill="1" applyBorder="1" applyAlignment="1">
      <alignment horizontal="center" vertical="center"/>
    </xf>
    <xf numFmtId="0" fontId="4" fillId="0" borderId="15" xfId="0" applyFont="1" applyFill="1" applyBorder="1" applyAlignment="1">
      <alignment vertical="top"/>
    </xf>
    <xf numFmtId="0" fontId="4" fillId="0" borderId="9" xfId="0" applyFont="1" applyFill="1" applyBorder="1" applyAlignment="1">
      <alignment horizontal="center" vertical="center"/>
    </xf>
    <xf numFmtId="0" fontId="4" fillId="0" borderId="1" xfId="0" applyFont="1" applyFill="1" applyBorder="1" applyAlignment="1"/>
    <xf numFmtId="0" fontId="4" fillId="0" borderId="2" xfId="7" applyFont="1" applyFill="1" applyBorder="1" applyAlignment="1">
      <alignment horizontal="center" vertical="top"/>
    </xf>
    <xf numFmtId="0" fontId="4" fillId="0" borderId="0" xfId="5" applyFont="1" applyFill="1" applyBorder="1" applyAlignment="1">
      <alignment horizontal="center" vertical="top"/>
    </xf>
    <xf numFmtId="2" fontId="4" fillId="0" borderId="0" xfId="5" applyNumberFormat="1" applyFont="1" applyFill="1" applyAlignment="1">
      <alignment vertical="top"/>
    </xf>
    <xf numFmtId="0" fontId="4" fillId="0" borderId="0" xfId="5" applyFont="1" applyFill="1" applyBorder="1" applyAlignment="1">
      <alignment horizontal="center" vertical="top"/>
    </xf>
    <xf numFmtId="0" fontId="4" fillId="0" borderId="5" xfId="5" applyFont="1" applyFill="1" applyBorder="1" applyAlignment="1">
      <alignment vertical="top" wrapText="1"/>
    </xf>
    <xf numFmtId="1" fontId="4" fillId="0" borderId="14" xfId="5" applyNumberFormat="1" applyFont="1" applyFill="1" applyBorder="1" applyAlignment="1">
      <alignment horizontal="center" vertical="top"/>
    </xf>
    <xf numFmtId="165" fontId="4" fillId="0" borderId="0" xfId="5" applyNumberFormat="1" applyFont="1" applyFill="1" applyAlignment="1">
      <alignment vertical="top"/>
    </xf>
    <xf numFmtId="0" fontId="4" fillId="0" borderId="9" xfId="5" applyFont="1" applyFill="1" applyBorder="1" applyAlignment="1">
      <alignment horizontal="justify" vertical="top" wrapText="1"/>
    </xf>
    <xf numFmtId="0" fontId="4" fillId="0" borderId="0" xfId="5" applyFont="1" applyFill="1" applyBorder="1" applyAlignment="1">
      <alignment horizontal="justify" vertical="top" wrapText="1"/>
    </xf>
    <xf numFmtId="0" fontId="4" fillId="0" borderId="3" xfId="5" applyFont="1" applyFill="1" applyBorder="1" applyAlignment="1">
      <alignment vertical="top" wrapText="1"/>
    </xf>
    <xf numFmtId="0" fontId="4" fillId="0" borderId="0" xfId="5" applyFont="1" applyFill="1" applyBorder="1" applyAlignment="1">
      <alignment vertical="top" wrapText="1"/>
    </xf>
    <xf numFmtId="0" fontId="4" fillId="0" borderId="0" xfId="5" applyFont="1" applyFill="1" applyBorder="1" applyAlignment="1">
      <alignment horizontal="center" vertical="top"/>
    </xf>
    <xf numFmtId="2" fontId="4" fillId="0" borderId="0" xfId="7" applyNumberFormat="1" applyFont="1" applyBorder="1" applyAlignment="1">
      <alignment horizontal="center" vertical="top"/>
    </xf>
    <xf numFmtId="0" fontId="4" fillId="0" borderId="0" xfId="0" applyFont="1" applyFill="1" applyBorder="1" applyAlignment="1">
      <alignment horizontal="center"/>
    </xf>
    <xf numFmtId="0" fontId="4" fillId="0" borderId="0" xfId="5" applyFont="1" applyFill="1" applyBorder="1" applyAlignment="1">
      <alignment vertical="top" wrapText="1"/>
    </xf>
    <xf numFmtId="0" fontId="4" fillId="0" borderId="9" xfId="5" applyFont="1" applyFill="1" applyBorder="1" applyAlignment="1">
      <alignment horizontal="center" vertical="top" wrapText="1"/>
    </xf>
    <xf numFmtId="0" fontId="4" fillId="0" borderId="0" xfId="5" applyFont="1" applyFill="1" applyBorder="1" applyAlignment="1">
      <alignment horizontal="center" vertical="top" wrapText="1"/>
    </xf>
    <xf numFmtId="0" fontId="4" fillId="0" borderId="0" xfId="5" applyFont="1" applyFill="1" applyBorder="1" applyAlignment="1">
      <alignment horizontal="center" vertical="top"/>
    </xf>
    <xf numFmtId="2" fontId="4" fillId="0" borderId="0" xfId="7" applyNumberFormat="1" applyFont="1" applyBorder="1" applyAlignment="1">
      <alignment vertical="top"/>
    </xf>
    <xf numFmtId="0" fontId="8" fillId="0" borderId="0" xfId="0" applyFont="1" applyBorder="1" applyAlignment="1">
      <alignment horizontal="center" vertical="center"/>
    </xf>
    <xf numFmtId="0" fontId="8" fillId="0" borderId="0" xfId="0" applyFont="1" applyBorder="1" applyAlignment="1">
      <alignment horizontal="center"/>
    </xf>
    <xf numFmtId="0" fontId="8" fillId="0" borderId="0" xfId="0" applyFont="1" applyBorder="1"/>
    <xf numFmtId="2" fontId="8" fillId="0" borderId="0" xfId="0" applyNumberFormat="1" applyFont="1" applyBorder="1"/>
    <xf numFmtId="2" fontId="8" fillId="0" borderId="0" xfId="0" applyNumberFormat="1" applyFont="1" applyBorder="1" applyAlignment="1">
      <alignment horizontal="center" vertical="center"/>
    </xf>
    <xf numFmtId="0" fontId="8" fillId="0" borderId="3" xfId="0" applyFont="1" applyBorder="1"/>
    <xf numFmtId="0" fontId="8" fillId="0" borderId="3" xfId="0" applyFont="1" applyBorder="1" applyAlignment="1"/>
    <xf numFmtId="0" fontId="8" fillId="0" borderId="0" xfId="0" applyFont="1" applyBorder="1" applyAlignment="1"/>
    <xf numFmtId="0" fontId="4" fillId="0" borderId="3" xfId="5" applyFont="1" applyFill="1" applyBorder="1" applyAlignment="1">
      <alignment vertical="top"/>
    </xf>
    <xf numFmtId="0" fontId="8" fillId="0" borderId="0" xfId="0" applyFont="1" applyFill="1" applyBorder="1"/>
    <xf numFmtId="164" fontId="4" fillId="0" borderId="0" xfId="0" applyNumberFormat="1" applyFont="1" applyFill="1" applyBorder="1" applyAlignment="1">
      <alignment vertical="top"/>
    </xf>
    <xf numFmtId="0" fontId="4" fillId="0" borderId="5" xfId="5" applyFont="1" applyFill="1" applyBorder="1" applyAlignment="1">
      <alignment horizontal="center" vertical="top" wrapText="1"/>
    </xf>
    <xf numFmtId="0" fontId="4" fillId="0" borderId="0" xfId="5" applyFont="1" applyFill="1" applyBorder="1" applyAlignment="1">
      <alignment horizontal="center" vertical="top" wrapText="1"/>
    </xf>
    <xf numFmtId="0" fontId="4" fillId="0" borderId="3" xfId="5" applyFont="1" applyFill="1" applyBorder="1" applyAlignment="1">
      <alignment vertical="top" wrapText="1"/>
    </xf>
    <xf numFmtId="0" fontId="4" fillId="0" borderId="0" xfId="5" applyFont="1" applyFill="1" applyBorder="1" applyAlignment="1">
      <alignment vertical="top" wrapText="1"/>
    </xf>
    <xf numFmtId="0" fontId="4" fillId="0" borderId="6" xfId="5" applyFont="1" applyFill="1" applyBorder="1" applyAlignment="1">
      <alignment vertical="top" wrapText="1"/>
    </xf>
    <xf numFmtId="2" fontId="4" fillId="0" borderId="0" xfId="5" applyNumberFormat="1" applyFont="1" applyFill="1" applyBorder="1" applyAlignment="1">
      <alignment horizontal="center" vertical="top"/>
    </xf>
    <xf numFmtId="0" fontId="4" fillId="0" borderId="0" xfId="5" applyFont="1" applyFill="1" applyBorder="1" applyAlignment="1">
      <alignment horizontal="center" vertical="top"/>
    </xf>
    <xf numFmtId="1" fontId="4" fillId="0" borderId="0" xfId="5" applyNumberFormat="1" applyFont="1" applyFill="1" applyBorder="1" applyAlignment="1">
      <alignment horizontal="center" vertical="top"/>
    </xf>
    <xf numFmtId="164" fontId="4" fillId="0" borderId="0" xfId="5" applyNumberFormat="1" applyFont="1" applyFill="1" applyBorder="1" applyAlignment="1">
      <alignment vertical="top" wrapText="1"/>
    </xf>
    <xf numFmtId="2" fontId="4" fillId="0" borderId="0" xfId="7" applyNumberFormat="1" applyFont="1" applyBorder="1" applyAlignment="1">
      <alignment horizontal="center" vertical="top"/>
    </xf>
    <xf numFmtId="0" fontId="4" fillId="0" borderId="9" xfId="5" applyFont="1" applyFill="1" applyBorder="1" applyAlignment="1">
      <alignment horizontal="justify" vertical="top" wrapText="1"/>
    </xf>
    <xf numFmtId="0" fontId="4" fillId="0" borderId="0" xfId="5" applyFont="1" applyFill="1" applyBorder="1" applyAlignment="1">
      <alignment horizontal="justify" vertical="top" wrapText="1"/>
    </xf>
    <xf numFmtId="0" fontId="4" fillId="0" borderId="3" xfId="5" applyFont="1" applyFill="1" applyBorder="1" applyAlignment="1">
      <alignment vertical="top" wrapText="1"/>
    </xf>
    <xf numFmtId="0" fontId="4" fillId="0" borderId="12" xfId="0" applyFont="1" applyFill="1" applyBorder="1" applyAlignment="1">
      <alignment horizontal="center" vertical="top"/>
    </xf>
    <xf numFmtId="0" fontId="4" fillId="0" borderId="4" xfId="5" applyFont="1" applyFill="1" applyBorder="1" applyAlignment="1">
      <alignment horizontal="center" vertical="top" wrapText="1"/>
    </xf>
    <xf numFmtId="0" fontId="4" fillId="0" borderId="14" xfId="7" applyFont="1" applyBorder="1" applyAlignment="1">
      <alignment vertical="top"/>
    </xf>
    <xf numFmtId="0" fontId="4" fillId="0" borderId="14" xfId="7" applyFont="1" applyBorder="1" applyAlignment="1">
      <alignment horizontal="center" vertical="top"/>
    </xf>
    <xf numFmtId="0" fontId="4" fillId="0" borderId="13" xfId="7" applyFont="1" applyBorder="1" applyAlignment="1">
      <alignment vertical="top"/>
    </xf>
    <xf numFmtId="0" fontId="9" fillId="0" borderId="0" xfId="0" applyFont="1" applyBorder="1" applyAlignment="1">
      <alignment vertical="center" wrapText="1"/>
    </xf>
    <xf numFmtId="0" fontId="0" fillId="0" borderId="0" xfId="0" applyBorder="1"/>
    <xf numFmtId="0" fontId="9" fillId="0" borderId="0" xfId="0" applyFont="1" applyBorder="1"/>
    <xf numFmtId="0" fontId="11" fillId="0" borderId="0" xfId="0" applyFont="1" applyBorder="1" applyAlignment="1">
      <alignment vertical="center" wrapText="1"/>
    </xf>
    <xf numFmtId="0" fontId="11" fillId="0" borderId="0" xfId="0" applyFont="1" applyBorder="1"/>
    <xf numFmtId="0" fontId="4" fillId="0" borderId="5" xfId="5" applyFont="1" applyFill="1" applyBorder="1" applyAlignment="1">
      <alignment horizontal="center" vertical="top" wrapText="1"/>
    </xf>
    <xf numFmtId="0" fontId="4" fillId="0" borderId="11" xfId="5" applyFont="1" applyFill="1" applyBorder="1" applyAlignment="1">
      <alignment horizontal="center" vertical="top" wrapText="1"/>
    </xf>
    <xf numFmtId="0" fontId="4" fillId="0" borderId="8" xfId="5" applyFont="1" applyFill="1" applyBorder="1" applyAlignment="1">
      <alignment horizontal="center" vertical="top" wrapText="1"/>
    </xf>
    <xf numFmtId="0" fontId="4" fillId="0" borderId="9" xfId="5" applyFont="1" applyFill="1" applyBorder="1" applyAlignment="1">
      <alignment horizontal="center" vertical="top" wrapText="1"/>
    </xf>
    <xf numFmtId="0" fontId="12" fillId="0" borderId="4" xfId="5" applyFont="1" applyBorder="1" applyAlignment="1">
      <alignment horizontal="center" vertical="top" wrapText="1"/>
    </xf>
    <xf numFmtId="0" fontId="12" fillId="0" borderId="4" xfId="5" applyFont="1" applyBorder="1" applyAlignment="1">
      <alignment horizontal="justify" vertical="top" wrapText="1"/>
    </xf>
    <xf numFmtId="0" fontId="12" fillId="0" borderId="4" xfId="5" applyFont="1" applyFill="1" applyBorder="1" applyAlignment="1">
      <alignment horizontal="center" vertical="top" wrapText="1"/>
    </xf>
    <xf numFmtId="0" fontId="12" fillId="0" borderId="4" xfId="5" applyFont="1" applyFill="1" applyBorder="1" applyAlignment="1">
      <alignment horizontal="justify" vertical="top" wrapText="1"/>
    </xf>
    <xf numFmtId="0" fontId="12" fillId="0" borderId="4" xfId="5" applyFont="1" applyBorder="1" applyAlignment="1">
      <alignment horizontal="center" vertical="center"/>
    </xf>
    <xf numFmtId="2" fontId="12" fillId="0" borderId="4" xfId="5" applyNumberFormat="1" applyFont="1" applyBorder="1" applyAlignment="1">
      <alignment horizontal="center" vertical="center"/>
    </xf>
    <xf numFmtId="2" fontId="12" fillId="0" borderId="4" xfId="5" applyNumberFormat="1" applyFont="1" applyFill="1" applyBorder="1" applyAlignment="1">
      <alignment horizontal="center" vertical="center"/>
    </xf>
    <xf numFmtId="0" fontId="12" fillId="0" borderId="4" xfId="5" applyFont="1" applyFill="1" applyBorder="1" applyAlignment="1">
      <alignment horizontal="center" vertical="center"/>
    </xf>
    <xf numFmtId="3" fontId="12" fillId="0" borderId="4" xfId="5" applyNumberFormat="1" applyFont="1" applyBorder="1" applyAlignment="1">
      <alignment horizontal="center" vertical="center" wrapText="1"/>
    </xf>
    <xf numFmtId="0" fontId="12" fillId="0" borderId="4" xfId="5" applyFont="1" applyBorder="1" applyAlignment="1">
      <alignment horizontal="justify" vertical="center"/>
    </xf>
    <xf numFmtId="0" fontId="12" fillId="0" borderId="4" xfId="0" applyFont="1" applyBorder="1" applyAlignment="1">
      <alignment horizontal="center" vertical="center" wrapText="1"/>
    </xf>
    <xf numFmtId="165" fontId="12" fillId="0" borderId="4" xfId="0" applyNumberFormat="1" applyFont="1" applyBorder="1" applyAlignment="1">
      <alignment horizontal="center" vertical="center"/>
    </xf>
    <xf numFmtId="0" fontId="12" fillId="3" borderId="4" xfId="0" applyFont="1" applyFill="1" applyBorder="1" applyAlignment="1">
      <alignment horizontal="center" vertical="center" wrapText="1"/>
    </xf>
    <xf numFmtId="0" fontId="12" fillId="0" borderId="4" xfId="0" applyFont="1" applyBorder="1" applyAlignment="1">
      <alignment horizontal="center"/>
    </xf>
    <xf numFmtId="2" fontId="12" fillId="0" borderId="4" xfId="0" applyNumberFormat="1" applyFont="1" applyBorder="1" applyAlignment="1">
      <alignment horizontal="center" vertical="center" wrapText="1"/>
    </xf>
    <xf numFmtId="0" fontId="12" fillId="0" borderId="4" xfId="0" applyFont="1" applyBorder="1" applyAlignment="1">
      <alignment vertical="top" wrapText="1"/>
    </xf>
    <xf numFmtId="0" fontId="12" fillId="3" borderId="4" xfId="0" applyFont="1" applyFill="1" applyBorder="1" applyAlignment="1">
      <alignment horizontal="center" vertical="center"/>
    </xf>
    <xf numFmtId="0" fontId="12" fillId="0" borderId="4" xfId="0" applyNumberFormat="1" applyFont="1" applyFill="1" applyBorder="1" applyAlignment="1">
      <alignment horizontal="center" vertical="center" wrapText="1"/>
    </xf>
    <xf numFmtId="0" fontId="12" fillId="0" borderId="4" xfId="0" applyFont="1" applyFill="1" applyBorder="1" applyAlignment="1">
      <alignment horizontal="center" vertical="center" wrapText="1"/>
    </xf>
    <xf numFmtId="165" fontId="12" fillId="0" borderId="4" xfId="0" applyNumberFormat="1" applyFont="1" applyBorder="1" applyAlignment="1">
      <alignment horizontal="center" vertical="center" wrapText="1"/>
    </xf>
    <xf numFmtId="0" fontId="15" fillId="0" borderId="4" xfId="0" applyFont="1" applyBorder="1" applyAlignment="1">
      <alignment horizontal="center"/>
    </xf>
    <xf numFmtId="0" fontId="12" fillId="0" borderId="4" xfId="0" applyFont="1" applyBorder="1" applyAlignment="1">
      <alignment horizontal="justify" vertical="top" wrapText="1"/>
    </xf>
    <xf numFmtId="0" fontId="12" fillId="3" borderId="4" xfId="0" applyFont="1" applyFill="1" applyBorder="1" applyAlignment="1">
      <alignment horizontal="justify" vertical="top" wrapText="1"/>
    </xf>
    <xf numFmtId="0" fontId="14" fillId="0" borderId="4" xfId="0" applyFont="1" applyBorder="1" applyAlignment="1">
      <alignment horizontal="center" vertical="top"/>
    </xf>
    <xf numFmtId="0" fontId="14" fillId="0" borderId="4" xfId="0" applyFont="1" applyBorder="1" applyAlignment="1">
      <alignment horizontal="justify" vertical="top" wrapText="1"/>
    </xf>
    <xf numFmtId="0" fontId="12" fillId="3" borderId="4" xfId="0" applyFont="1" applyFill="1" applyBorder="1" applyAlignment="1">
      <alignment horizontal="justify" vertical="top"/>
    </xf>
    <xf numFmtId="0" fontId="12" fillId="0" borderId="4" xfId="0" applyNumberFormat="1" applyFont="1" applyFill="1" applyBorder="1" applyAlignment="1">
      <alignment horizontal="justify" vertical="top" wrapText="1"/>
    </xf>
    <xf numFmtId="0" fontId="12" fillId="0" borderId="4" xfId="0" applyFont="1" applyFill="1" applyBorder="1" applyAlignment="1">
      <alignment horizontal="justify" vertical="top"/>
    </xf>
    <xf numFmtId="0" fontId="12" fillId="0" borderId="4" xfId="0" applyFont="1" applyBorder="1" applyAlignment="1">
      <alignment horizontal="justify" vertical="top"/>
    </xf>
    <xf numFmtId="0" fontId="12" fillId="0" borderId="4" xfId="0" applyFont="1" applyBorder="1"/>
    <xf numFmtId="0" fontId="12" fillId="0" borderId="4" xfId="0" applyFont="1" applyBorder="1" applyAlignment="1">
      <alignment horizontal="justify" vertical="center" wrapText="1"/>
    </xf>
    <xf numFmtId="165" fontId="12" fillId="0" borderId="4" xfId="5" applyNumberFormat="1" applyFont="1" applyBorder="1" applyAlignment="1">
      <alignment horizontal="center" vertical="center"/>
    </xf>
    <xf numFmtId="165" fontId="12" fillId="3" borderId="4" xfId="0" applyNumberFormat="1" applyFont="1" applyFill="1" applyBorder="1" applyAlignment="1">
      <alignment horizontal="center" vertical="center" wrapText="1"/>
    </xf>
    <xf numFmtId="0" fontId="12" fillId="0" borderId="4" xfId="0" applyFont="1" applyBorder="1" applyAlignment="1">
      <alignment horizontal="justify" wrapText="1"/>
    </xf>
    <xf numFmtId="165" fontId="12" fillId="0" borderId="4" xfId="0" applyNumberFormat="1" applyFont="1" applyFill="1" applyBorder="1" applyAlignment="1">
      <alignment horizontal="center" vertical="center"/>
    </xf>
    <xf numFmtId="0" fontId="12" fillId="0" borderId="4" xfId="0" applyFont="1" applyBorder="1" applyAlignment="1">
      <alignment horizontal="justify" vertical="center"/>
    </xf>
    <xf numFmtId="0" fontId="15" fillId="0" borderId="4" xfId="0" applyFont="1" applyBorder="1" applyAlignment="1">
      <alignment horizontal="center" vertical="center"/>
    </xf>
    <xf numFmtId="0" fontId="15" fillId="0" borderId="4" xfId="0" applyFont="1" applyBorder="1" applyAlignment="1"/>
    <xf numFmtId="0" fontId="15" fillId="0" borderId="4" xfId="0" applyFont="1" applyBorder="1" applyAlignment="1">
      <alignment horizontal="left"/>
    </xf>
    <xf numFmtId="0" fontId="12" fillId="0" borderId="4" xfId="0" applyFont="1" applyBorder="1" applyAlignment="1">
      <alignment wrapText="1"/>
    </xf>
    <xf numFmtId="165" fontId="5" fillId="0" borderId="4" xfId="5" applyNumberFormat="1" applyFont="1" applyBorder="1" applyAlignment="1">
      <alignment horizontal="center" vertical="center" wrapText="1"/>
    </xf>
    <xf numFmtId="2" fontId="5" fillId="0" borderId="4" xfId="5" applyNumberFormat="1" applyFont="1" applyBorder="1" applyAlignment="1">
      <alignment horizontal="center" vertical="center" wrapText="1"/>
    </xf>
    <xf numFmtId="2" fontId="12" fillId="0" borderId="4" xfId="0" applyNumberFormat="1" applyFont="1" applyBorder="1" applyAlignment="1">
      <alignment horizontal="center" vertical="center"/>
    </xf>
    <xf numFmtId="2" fontId="12" fillId="3" borderId="4" xfId="0" applyNumberFormat="1" applyFont="1" applyFill="1" applyBorder="1" applyAlignment="1">
      <alignment horizontal="center" vertical="center" wrapText="1"/>
    </xf>
    <xf numFmtId="2" fontId="12" fillId="0" borderId="4" xfId="0" applyNumberFormat="1" applyFont="1" applyFill="1" applyBorder="1" applyAlignment="1">
      <alignment horizontal="center" vertical="center"/>
    </xf>
    <xf numFmtId="2" fontId="12" fillId="3" borderId="4" xfId="0" applyNumberFormat="1" applyFont="1" applyFill="1" applyBorder="1" applyAlignment="1">
      <alignment horizontal="center" vertical="center"/>
    </xf>
    <xf numFmtId="2" fontId="12" fillId="0" borderId="4" xfId="0" applyNumberFormat="1" applyFont="1" applyFill="1" applyBorder="1" applyAlignment="1">
      <alignment horizontal="center" vertical="center" wrapText="1"/>
    </xf>
    <xf numFmtId="0" fontId="12" fillId="0" borderId="4" xfId="0" applyFont="1" applyBorder="1" applyAlignment="1">
      <alignment vertical="center" wrapText="1"/>
    </xf>
    <xf numFmtId="0" fontId="12" fillId="0" borderId="4" xfId="0" applyFont="1" applyBorder="1" applyAlignment="1"/>
    <xf numFmtId="0" fontId="12" fillId="0" borderId="4" xfId="0" applyFont="1" applyBorder="1" applyAlignment="1">
      <alignment horizontal="center" wrapText="1"/>
    </xf>
    <xf numFmtId="2" fontId="12" fillId="0" borderId="4" xfId="5" applyNumberFormat="1" applyFont="1" applyBorder="1" applyAlignment="1">
      <alignment horizontal="center" vertical="center" wrapText="1"/>
    </xf>
    <xf numFmtId="2" fontId="13" fillId="0" borderId="4" xfId="0" applyNumberFormat="1" applyFont="1" applyBorder="1" applyAlignment="1">
      <alignment horizontal="center" vertical="center"/>
    </xf>
    <xf numFmtId="2" fontId="13" fillId="0" borderId="4" xfId="0" applyNumberFormat="1" applyFont="1" applyFill="1" applyBorder="1" applyAlignment="1">
      <alignment horizontal="center" vertical="center"/>
    </xf>
    <xf numFmtId="0" fontId="12" fillId="0" borderId="4" xfId="5" applyFont="1" applyBorder="1" applyAlignment="1">
      <alignment horizontal="center" vertical="center" wrapText="1"/>
    </xf>
    <xf numFmtId="0" fontId="12" fillId="0" borderId="4" xfId="5" applyFont="1" applyFill="1" applyBorder="1" applyAlignment="1">
      <alignment horizontal="center" vertical="center" wrapText="1"/>
    </xf>
    <xf numFmtId="2" fontId="12" fillId="0" borderId="4" xfId="5" applyNumberFormat="1" applyFont="1" applyFill="1" applyBorder="1" applyAlignment="1">
      <alignment horizontal="center" vertical="center" wrapText="1"/>
    </xf>
    <xf numFmtId="165" fontId="12" fillId="0" borderId="4" xfId="5" applyNumberFormat="1" applyFont="1" applyFill="1" applyBorder="1" applyAlignment="1">
      <alignment horizontal="center" vertical="center" wrapText="1"/>
    </xf>
    <xf numFmtId="0" fontId="14" fillId="0" borderId="4" xfId="0" applyFont="1" applyFill="1" applyBorder="1" applyAlignment="1">
      <alignment horizontal="center" vertical="center"/>
    </xf>
    <xf numFmtId="2" fontId="14" fillId="0" borderId="4" xfId="0" applyNumberFormat="1" applyFont="1" applyFill="1" applyBorder="1" applyAlignment="1">
      <alignment horizontal="center" vertical="center"/>
    </xf>
    <xf numFmtId="165" fontId="16" fillId="0" borderId="4" xfId="0" applyNumberFormat="1" applyFont="1" applyBorder="1" applyAlignment="1">
      <alignment horizontal="center" vertical="center"/>
    </xf>
    <xf numFmtId="2" fontId="16" fillId="0" borderId="4" xfId="0" applyNumberFormat="1" applyFont="1" applyBorder="1" applyAlignment="1">
      <alignment horizontal="center" vertical="center"/>
    </xf>
    <xf numFmtId="165" fontId="17" fillId="0" borderId="4" xfId="0" applyNumberFormat="1" applyFont="1" applyBorder="1" applyAlignment="1">
      <alignment horizontal="center" vertical="center"/>
    </xf>
    <xf numFmtId="2" fontId="17" fillId="0" borderId="4" xfId="0" applyNumberFormat="1" applyFont="1" applyBorder="1" applyAlignment="1">
      <alignment horizontal="center" vertical="center"/>
    </xf>
    <xf numFmtId="2" fontId="15" fillId="0" borderId="4" xfId="0" applyNumberFormat="1" applyFont="1" applyBorder="1" applyAlignment="1">
      <alignment horizontal="center" vertical="center"/>
    </xf>
    <xf numFmtId="165" fontId="15" fillId="0" borderId="4" xfId="0" applyNumberFormat="1" applyFont="1" applyBorder="1" applyAlignment="1">
      <alignment horizontal="center" vertical="center"/>
    </xf>
    <xf numFmtId="165" fontId="13" fillId="0" borderId="4" xfId="0" applyNumberFormat="1" applyFont="1" applyBorder="1" applyAlignment="1">
      <alignment horizontal="center" vertical="center"/>
    </xf>
    <xf numFmtId="2" fontId="4" fillId="0" borderId="0" xfId="5" applyNumberFormat="1" applyFont="1" applyAlignment="1">
      <alignment horizontal="center" vertical="center"/>
    </xf>
    <xf numFmtId="165" fontId="4" fillId="0" borderId="0" xfId="5" applyNumberFormat="1" applyFont="1" applyAlignment="1">
      <alignment horizontal="center" vertical="center"/>
    </xf>
    <xf numFmtId="0" fontId="4" fillId="0" borderId="4" xfId="5" applyFont="1" applyBorder="1" applyAlignment="1">
      <alignment horizontal="center" vertical="center" wrapText="1"/>
    </xf>
    <xf numFmtId="2" fontId="12" fillId="2" borderId="4" xfId="7" applyNumberFormat="1" applyFont="1" applyFill="1" applyBorder="1" applyAlignment="1">
      <alignment horizontal="center" vertical="center" wrapText="1"/>
    </xf>
    <xf numFmtId="0" fontId="12" fillId="0" borderId="4" xfId="0" applyFont="1" applyFill="1" applyBorder="1" applyAlignment="1">
      <alignment horizontal="center" vertical="center"/>
    </xf>
    <xf numFmtId="0" fontId="12" fillId="0" borderId="4" xfId="5" applyFont="1" applyBorder="1" applyAlignment="1">
      <alignment horizontal="center" vertical="center"/>
    </xf>
    <xf numFmtId="0" fontId="12" fillId="0" borderId="4" xfId="0" applyFont="1" applyBorder="1" applyAlignment="1">
      <alignment horizontal="center" vertical="center"/>
    </xf>
    <xf numFmtId="0" fontId="18" fillId="0" borderId="5" xfId="10" applyFont="1" applyBorder="1" applyAlignment="1">
      <alignment vertical="center"/>
    </xf>
    <xf numFmtId="0" fontId="18" fillId="0" borderId="5" xfId="10" applyFont="1" applyBorder="1" applyAlignment="1">
      <alignment horizontal="center"/>
    </xf>
    <xf numFmtId="0" fontId="19" fillId="0" borderId="4" xfId="10" applyFont="1" applyBorder="1" applyAlignment="1">
      <alignment horizontal="center"/>
    </xf>
    <xf numFmtId="0" fontId="1" fillId="0" borderId="0" xfId="10"/>
    <xf numFmtId="0" fontId="18" fillId="0" borderId="4" xfId="10" applyFont="1" applyBorder="1" applyAlignment="1">
      <alignment horizontal="center" vertical="center"/>
    </xf>
    <xf numFmtId="0" fontId="20" fillId="0" borderId="4" xfId="10" applyFont="1" applyBorder="1" applyAlignment="1">
      <alignment horizontal="center" vertical="center"/>
    </xf>
    <xf numFmtId="0" fontId="19" fillId="0" borderId="4" xfId="10" applyFont="1" applyBorder="1" applyAlignment="1">
      <alignment horizontal="center" vertical="center"/>
    </xf>
    <xf numFmtId="164" fontId="1" fillId="0" borderId="4" xfId="10" applyNumberFormat="1" applyBorder="1" applyAlignment="1">
      <alignment horizontal="center"/>
    </xf>
    <xf numFmtId="0" fontId="19" fillId="3" borderId="4" xfId="10" applyFont="1" applyFill="1" applyBorder="1" applyAlignment="1">
      <alignment horizontal="center"/>
    </xf>
    <xf numFmtId="0" fontId="19" fillId="0" borderId="4" xfId="10" applyFont="1" applyBorder="1" applyAlignment="1">
      <alignment horizontal="center" vertical="center" wrapText="1"/>
    </xf>
    <xf numFmtId="0" fontId="1" fillId="0" borderId="4" xfId="10" applyBorder="1" applyAlignment="1">
      <alignment horizontal="center"/>
    </xf>
    <xf numFmtId="0" fontId="19" fillId="0" borderId="4" xfId="10" applyFont="1" applyFill="1" applyBorder="1" applyAlignment="1">
      <alignment horizontal="center"/>
    </xf>
    <xf numFmtId="0" fontId="1" fillId="0" borderId="4" xfId="10" applyBorder="1"/>
    <xf numFmtId="0" fontId="1" fillId="0" borderId="4" xfId="10" applyFill="1" applyBorder="1" applyAlignment="1">
      <alignment horizontal="center"/>
    </xf>
    <xf numFmtId="2" fontId="1" fillId="0" borderId="4" xfId="10" applyNumberFormat="1" applyBorder="1" applyAlignment="1">
      <alignment horizontal="center"/>
    </xf>
    <xf numFmtId="2" fontId="21" fillId="0" borderId="4" xfId="10" applyNumberFormat="1" applyFont="1" applyBorder="1" applyAlignment="1">
      <alignment horizontal="center"/>
    </xf>
    <xf numFmtId="2" fontId="21" fillId="0" borderId="4" xfId="10" applyNumberFormat="1" applyFont="1" applyBorder="1"/>
    <xf numFmtId="0" fontId="21" fillId="0" borderId="4" xfId="10" applyFont="1" applyBorder="1"/>
    <xf numFmtId="164" fontId="1" fillId="0" borderId="0" xfId="10" applyNumberFormat="1"/>
    <xf numFmtId="0" fontId="22" fillId="0" borderId="4" xfId="0" applyFont="1" applyBorder="1" applyAlignment="1">
      <alignment vertical="center" wrapText="1"/>
    </xf>
    <xf numFmtId="4" fontId="22" fillId="0" borderId="4" xfId="0" applyNumberFormat="1" applyFont="1" applyBorder="1" applyAlignment="1">
      <alignment vertical="center" wrapText="1"/>
    </xf>
    <xf numFmtId="0" fontId="4" fillId="0" borderId="5" xfId="5" applyFont="1" applyFill="1" applyBorder="1" applyAlignment="1">
      <alignment horizontal="center" vertical="top" wrapText="1"/>
    </xf>
    <xf numFmtId="0" fontId="4" fillId="0" borderId="11" xfId="5" applyFont="1" applyFill="1" applyBorder="1" applyAlignment="1">
      <alignment horizontal="center" vertical="top" wrapText="1"/>
    </xf>
    <xf numFmtId="0" fontId="4" fillId="0" borderId="8" xfId="5" applyFont="1" applyFill="1" applyBorder="1" applyAlignment="1">
      <alignment horizontal="center" vertical="top" wrapText="1"/>
    </xf>
    <xf numFmtId="0" fontId="4" fillId="0" borderId="6" xfId="5" applyFont="1" applyFill="1" applyBorder="1" applyAlignment="1">
      <alignment vertical="top" wrapText="1"/>
    </xf>
    <xf numFmtId="0" fontId="4" fillId="0" borderId="0" xfId="5" applyFont="1" applyFill="1" applyBorder="1" applyAlignment="1">
      <alignment horizontal="center" vertical="top" wrapText="1"/>
    </xf>
    <xf numFmtId="2" fontId="4" fillId="0" borderId="0" xfId="5" applyNumberFormat="1" applyFont="1" applyFill="1" applyBorder="1" applyAlignment="1">
      <alignment horizontal="center" vertical="top" wrapText="1"/>
    </xf>
    <xf numFmtId="0" fontId="4" fillId="0" borderId="3" xfId="5" applyFont="1" applyFill="1" applyBorder="1" applyAlignment="1">
      <alignment horizontal="right" vertical="top" wrapText="1"/>
    </xf>
    <xf numFmtId="0" fontId="4" fillId="0" borderId="0" xfId="5" applyFont="1" applyFill="1" applyBorder="1" applyAlignment="1">
      <alignment horizontal="left" vertical="top" wrapText="1"/>
    </xf>
    <xf numFmtId="0" fontId="4" fillId="0" borderId="9" xfId="5" applyFont="1" applyFill="1" applyBorder="1" applyAlignment="1">
      <alignment horizontal="center" vertical="top" wrapText="1"/>
    </xf>
    <xf numFmtId="164" fontId="4" fillId="0" borderId="0" xfId="5" applyNumberFormat="1" applyFont="1" applyFill="1" applyBorder="1" applyAlignment="1">
      <alignment horizontal="center" vertical="top" wrapText="1"/>
    </xf>
    <xf numFmtId="0" fontId="4" fillId="0" borderId="14" xfId="5" applyFont="1" applyFill="1" applyBorder="1" applyAlignment="1">
      <alignment horizontal="right" vertical="top" wrapText="1"/>
    </xf>
    <xf numFmtId="0" fontId="4" fillId="0" borderId="10" xfId="5" applyFont="1" applyFill="1" applyBorder="1" applyAlignment="1">
      <alignment horizontal="justify" vertical="top" wrapText="1"/>
    </xf>
    <xf numFmtId="0" fontId="4" fillId="0" borderId="6" xfId="5" applyFont="1" applyFill="1" applyBorder="1" applyAlignment="1">
      <alignment horizontal="justify" vertical="top" wrapText="1"/>
    </xf>
    <xf numFmtId="1" fontId="4" fillId="0" borderId="0" xfId="5" applyNumberFormat="1" applyFont="1" applyFill="1" applyBorder="1" applyAlignment="1">
      <alignment horizontal="center" vertical="top"/>
    </xf>
    <xf numFmtId="2" fontId="4" fillId="0" borderId="0" xfId="7" applyNumberFormat="1" applyFont="1" applyBorder="1" applyAlignment="1">
      <alignment horizontal="center" vertical="top"/>
    </xf>
    <xf numFmtId="0" fontId="4" fillId="0" borderId="0" xfId="0" applyFont="1" applyFill="1" applyBorder="1" applyAlignment="1">
      <alignment horizontal="right" vertical="top"/>
    </xf>
    <xf numFmtId="164" fontId="4" fillId="0" borderId="0" xfId="0" applyNumberFormat="1" applyFont="1" applyFill="1" applyBorder="1" applyAlignment="1">
      <alignment horizontal="center" vertical="top"/>
    </xf>
    <xf numFmtId="0" fontId="4" fillId="0" borderId="0" xfId="0" applyFont="1" applyFill="1" applyBorder="1" applyAlignment="1">
      <alignment horizontal="left" vertical="top"/>
    </xf>
    <xf numFmtId="1" fontId="4" fillId="0" borderId="0" xfId="0" applyNumberFormat="1" applyFont="1" applyFill="1" applyBorder="1" applyAlignment="1">
      <alignment horizontal="center"/>
    </xf>
    <xf numFmtId="1" fontId="4" fillId="0" borderId="0" xfId="7" applyNumberFormat="1" applyFont="1" applyBorder="1" applyAlignment="1">
      <alignment horizontal="center" vertical="top"/>
    </xf>
    <xf numFmtId="0" fontId="4" fillId="0" borderId="0" xfId="0" applyFont="1" applyFill="1" applyBorder="1" applyAlignment="1">
      <alignment horizontal="center"/>
    </xf>
    <xf numFmtId="0" fontId="4" fillId="0" borderId="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7" xfId="5" applyFont="1" applyFill="1" applyBorder="1" applyAlignment="1">
      <alignment horizontal="justify" vertical="top" wrapText="1"/>
    </xf>
    <xf numFmtId="2" fontId="4" fillId="0" borderId="0" xfId="7" applyNumberFormat="1" applyFont="1" applyFill="1" applyBorder="1" applyAlignment="1">
      <alignment horizontal="center" vertical="top"/>
    </xf>
    <xf numFmtId="0" fontId="4" fillId="0" borderId="0" xfId="0" applyFont="1" applyFill="1" applyBorder="1" applyAlignment="1">
      <alignment horizontal="center" vertical="top"/>
    </xf>
    <xf numFmtId="2" fontId="4" fillId="0" borderId="0" xfId="0" applyNumberFormat="1" applyFont="1" applyFill="1" applyBorder="1" applyAlignment="1">
      <alignment horizontal="center"/>
    </xf>
    <xf numFmtId="0" fontId="4" fillId="0" borderId="0" xfId="5" applyFont="1" applyFill="1" applyBorder="1" applyAlignment="1">
      <alignment horizontal="right" vertical="top" wrapText="1"/>
    </xf>
    <xf numFmtId="0" fontId="8" fillId="0" borderId="0" xfId="0" applyFont="1" applyBorder="1" applyAlignment="1">
      <alignment horizontal="center" vertical="center"/>
    </xf>
    <xf numFmtId="0" fontId="8" fillId="0" borderId="0" xfId="0" applyFont="1" applyBorder="1" applyAlignment="1">
      <alignment horizontal="center"/>
    </xf>
    <xf numFmtId="0" fontId="4" fillId="0" borderId="9" xfId="5" applyFont="1" applyFill="1" applyBorder="1" applyAlignment="1">
      <alignment horizontal="right" vertical="top" wrapText="1"/>
    </xf>
    <xf numFmtId="0" fontId="4" fillId="0" borderId="0" xfId="5" applyFont="1" applyFill="1" applyBorder="1" applyAlignment="1">
      <alignment horizontal="center" vertical="top"/>
    </xf>
    <xf numFmtId="0" fontId="4" fillId="0" borderId="7" xfId="5" applyFont="1" applyFill="1" applyBorder="1" applyAlignment="1">
      <alignment horizontal="center" vertical="top" wrapText="1"/>
    </xf>
    <xf numFmtId="0" fontId="4" fillId="0" borderId="1" xfId="5" applyFont="1" applyFill="1" applyBorder="1" applyAlignment="1">
      <alignment horizontal="center" vertical="top" wrapText="1"/>
    </xf>
    <xf numFmtId="0" fontId="4" fillId="0" borderId="15" xfId="5" applyFont="1" applyFill="1" applyBorder="1" applyAlignment="1">
      <alignment horizontal="center" vertical="top" wrapText="1"/>
    </xf>
    <xf numFmtId="2" fontId="4" fillId="0" borderId="0" xfId="5" applyNumberFormat="1" applyFont="1" applyFill="1" applyBorder="1" applyAlignment="1">
      <alignment horizontal="center" vertical="top"/>
    </xf>
    <xf numFmtId="0" fontId="4" fillId="0" borderId="5" xfId="7" applyFont="1" applyBorder="1" applyAlignment="1">
      <alignment horizontal="center" vertical="top" wrapText="1"/>
    </xf>
    <xf numFmtId="0" fontId="4" fillId="0" borderId="11" xfId="7" applyFont="1" applyBorder="1" applyAlignment="1">
      <alignment horizontal="center" vertical="top" wrapText="1"/>
    </xf>
    <xf numFmtId="0" fontId="4" fillId="0" borderId="8" xfId="7" applyFont="1" applyBorder="1" applyAlignment="1">
      <alignment horizontal="center" vertical="top" wrapText="1"/>
    </xf>
    <xf numFmtId="0" fontId="4" fillId="0" borderId="5" xfId="7" applyFont="1" applyBorder="1" applyAlignment="1">
      <alignment horizontal="center" vertical="top" wrapText="1" readingOrder="1"/>
    </xf>
    <xf numFmtId="0" fontId="4" fillId="0" borderId="11" xfId="7" applyFont="1" applyBorder="1" applyAlignment="1">
      <alignment horizontal="center" vertical="top" wrapText="1" readingOrder="1"/>
    </xf>
    <xf numFmtId="0" fontId="4" fillId="0" borderId="10" xfId="7" applyFont="1" applyBorder="1" applyAlignment="1">
      <alignment horizontal="left" vertical="center" wrapText="1"/>
    </xf>
    <xf numFmtId="0" fontId="4" fillId="0" borderId="6" xfId="7" applyFont="1" applyBorder="1" applyAlignment="1">
      <alignment horizontal="left" vertical="center" wrapText="1"/>
    </xf>
    <xf numFmtId="0" fontId="4" fillId="0" borderId="3" xfId="5" applyFont="1" applyFill="1" applyBorder="1" applyAlignment="1">
      <alignment horizontal="right" vertical="center" wrapText="1"/>
    </xf>
    <xf numFmtId="165" fontId="4" fillId="0" borderId="0" xfId="5" applyNumberFormat="1" applyFont="1" applyFill="1" applyBorder="1" applyAlignment="1">
      <alignment horizontal="center" vertical="top" wrapText="1"/>
    </xf>
    <xf numFmtId="0" fontId="4" fillId="0" borderId="0" xfId="5" applyFont="1" applyFill="1" applyBorder="1" applyAlignment="1">
      <alignment vertical="top" wrapText="1"/>
    </xf>
    <xf numFmtId="0" fontId="4" fillId="0" borderId="2" xfId="5" applyFont="1" applyFill="1" applyBorder="1" applyAlignment="1">
      <alignment vertical="top" wrapText="1"/>
    </xf>
    <xf numFmtId="0" fontId="4" fillId="0" borderId="3" xfId="5" applyFont="1" applyFill="1" applyBorder="1" applyAlignment="1">
      <alignment vertical="top" wrapText="1"/>
    </xf>
    <xf numFmtId="1" fontId="4" fillId="0" borderId="0" xfId="5" applyNumberFormat="1" applyFont="1" applyFill="1" applyBorder="1" applyAlignment="1">
      <alignment horizontal="center" vertical="top" wrapText="1"/>
    </xf>
    <xf numFmtId="0" fontId="6" fillId="0" borderId="0" xfId="5" applyFont="1" applyFill="1" applyAlignment="1">
      <alignment horizontal="center" vertical="top"/>
    </xf>
    <xf numFmtId="0" fontId="7" fillId="0" borderId="3" xfId="5" applyFont="1" applyFill="1" applyBorder="1" applyAlignment="1">
      <alignment horizontal="justify" vertical="top" wrapText="1"/>
    </xf>
    <xf numFmtId="0" fontId="4" fillId="0" borderId="4" xfId="5" applyFont="1" applyFill="1" applyBorder="1" applyAlignment="1">
      <alignment horizontal="center" vertical="center"/>
    </xf>
    <xf numFmtId="0" fontId="4" fillId="0" borderId="12" xfId="5" applyFont="1" applyFill="1" applyBorder="1" applyAlignment="1">
      <alignment horizontal="justify" vertical="top" wrapText="1"/>
    </xf>
    <xf numFmtId="0" fontId="4" fillId="0" borderId="14" xfId="5" applyFont="1" applyFill="1" applyBorder="1" applyAlignment="1">
      <alignment horizontal="justify" vertical="top" wrapText="1"/>
    </xf>
    <xf numFmtId="2" fontId="8" fillId="0" borderId="0" xfId="0" applyNumberFormat="1" applyFont="1" applyBorder="1" applyAlignment="1">
      <alignment horizontal="center" vertical="center"/>
    </xf>
    <xf numFmtId="0" fontId="8" fillId="0" borderId="6" xfId="0" applyFont="1" applyBorder="1" applyAlignment="1">
      <alignment horizontal="center"/>
    </xf>
    <xf numFmtId="1" fontId="8" fillId="0" borderId="0" xfId="0" applyNumberFormat="1" applyFont="1" applyBorder="1" applyAlignment="1">
      <alignment horizontal="center"/>
    </xf>
    <xf numFmtId="2" fontId="8" fillId="0" borderId="0" xfId="0" applyNumberFormat="1" applyFont="1" applyBorder="1" applyAlignment="1">
      <alignment horizontal="center"/>
    </xf>
    <xf numFmtId="0" fontId="4" fillId="0" borderId="0" xfId="7" applyFont="1" applyBorder="1" applyAlignment="1">
      <alignment horizontal="center" vertical="top"/>
    </xf>
    <xf numFmtId="2" fontId="8" fillId="0" borderId="3" xfId="0" applyNumberFormat="1" applyFont="1" applyBorder="1" applyAlignment="1">
      <alignment horizontal="center"/>
    </xf>
    <xf numFmtId="0" fontId="4" fillId="0" borderId="3" xfId="5" applyFont="1" applyFill="1" applyBorder="1" applyAlignment="1">
      <alignment horizontal="center" vertical="top"/>
    </xf>
    <xf numFmtId="1" fontId="8" fillId="0" borderId="0" xfId="0" applyNumberFormat="1" applyFont="1" applyBorder="1" applyAlignment="1">
      <alignment horizontal="center" vertical="center"/>
    </xf>
    <xf numFmtId="0" fontId="8" fillId="0" borderId="3" xfId="0" applyFont="1" applyBorder="1" applyAlignment="1">
      <alignment horizontal="center"/>
    </xf>
    <xf numFmtId="165" fontId="4" fillId="0" borderId="0" xfId="0" applyNumberFormat="1" applyFont="1" applyFill="1" applyBorder="1" applyAlignment="1">
      <alignment horizontal="center" vertical="center"/>
    </xf>
    <xf numFmtId="0" fontId="0" fillId="0" borderId="0" xfId="0" applyBorder="1" applyAlignment="1">
      <alignment horizontal="center"/>
    </xf>
    <xf numFmtId="0" fontId="10" fillId="0" borderId="0" xfId="0" applyFont="1" applyBorder="1" applyAlignment="1">
      <alignment horizontal="center"/>
    </xf>
    <xf numFmtId="164" fontId="10" fillId="0" borderId="0" xfId="0" applyNumberFormat="1" applyFont="1" applyBorder="1" applyAlignment="1">
      <alignment horizontal="center"/>
    </xf>
    <xf numFmtId="2" fontId="10" fillId="0" borderId="0" xfId="0" applyNumberFormat="1" applyFont="1" applyBorder="1" applyAlignment="1">
      <alignment horizontal="center"/>
    </xf>
    <xf numFmtId="0" fontId="4" fillId="0" borderId="9" xfId="5" applyFont="1" applyFill="1" applyBorder="1" applyAlignment="1">
      <alignment horizontal="justify" vertical="top" wrapText="1"/>
    </xf>
    <xf numFmtId="0" fontId="4" fillId="0" borderId="0" xfId="5" applyFont="1" applyFill="1" applyBorder="1" applyAlignment="1">
      <alignment horizontal="justify" vertical="top" wrapText="1"/>
    </xf>
    <xf numFmtId="0" fontId="12" fillId="0" borderId="4" xfId="5" applyFont="1" applyBorder="1" applyAlignment="1">
      <alignment horizontal="center" vertical="center"/>
    </xf>
    <xf numFmtId="0" fontId="12" fillId="0" borderId="4" xfId="7" applyFont="1" applyBorder="1" applyAlignment="1">
      <alignment horizontal="left" vertical="center"/>
    </xf>
    <xf numFmtId="0" fontId="12" fillId="0" borderId="12" xfId="7" applyFont="1" applyBorder="1" applyAlignment="1">
      <alignment horizontal="left" vertical="center"/>
    </xf>
    <xf numFmtId="0" fontId="12" fillId="0" borderId="14" xfId="7" applyFont="1" applyBorder="1" applyAlignment="1">
      <alignment horizontal="left" vertical="center"/>
    </xf>
    <xf numFmtId="0" fontId="12" fillId="0" borderId="13" xfId="7" applyFont="1" applyBorder="1" applyAlignment="1">
      <alignment horizontal="left" vertical="center"/>
    </xf>
    <xf numFmtId="0" fontId="15" fillId="0" borderId="4" xfId="0" applyFont="1" applyBorder="1" applyAlignment="1">
      <alignment horizontal="right"/>
    </xf>
    <xf numFmtId="0" fontId="12" fillId="0" borderId="4" xfId="5" applyFont="1" applyBorder="1" applyAlignment="1">
      <alignment horizontal="right"/>
    </xf>
    <xf numFmtId="0" fontId="21" fillId="0" borderId="4" xfId="10" applyFont="1" applyBorder="1" applyAlignment="1">
      <alignment horizontal="center"/>
    </xf>
    <xf numFmtId="0" fontId="0" fillId="0" borderId="0" xfId="0" applyAlignment="1">
      <alignment horizontal="center"/>
    </xf>
    <xf numFmtId="0" fontId="2" fillId="0" borderId="0" xfId="0" applyFont="1"/>
    <xf numFmtId="0" fontId="2" fillId="0" borderId="0" xfId="0" applyFont="1" applyAlignment="1">
      <alignment horizontal="center"/>
    </xf>
    <xf numFmtId="4" fontId="0" fillId="0" borderId="0" xfId="0" applyNumberFormat="1"/>
    <xf numFmtId="0" fontId="0" fillId="0" borderId="4" xfId="0" applyBorder="1" applyAlignment="1">
      <alignment horizontal="center"/>
    </xf>
    <xf numFmtId="0" fontId="0" fillId="0" borderId="4" xfId="0" applyBorder="1" applyAlignment="1"/>
    <xf numFmtId="4" fontId="0" fillId="0" borderId="0" xfId="0" applyNumberFormat="1" applyAlignment="1">
      <alignment horizontal="center"/>
    </xf>
    <xf numFmtId="4" fontId="0" fillId="0" borderId="4" xfId="0" applyNumberFormat="1" applyBorder="1" applyAlignment="1">
      <alignment horizontal="center"/>
    </xf>
  </cellXfs>
  <cellStyles count="11">
    <cellStyle name="Comma 2" xfId="1" xr:uid="{00000000-0005-0000-0000-000000000000}"/>
    <cellStyle name="Comma 2 2" xfId="9" xr:uid="{00000000-0005-0000-0000-000001000000}"/>
    <cellStyle name="Comma 3" xfId="2" xr:uid="{00000000-0005-0000-0000-000002000000}"/>
    <cellStyle name="Normal" xfId="0" builtinId="0"/>
    <cellStyle name="Normal 2" xfId="3" xr:uid="{00000000-0005-0000-0000-000004000000}"/>
    <cellStyle name="Normal 2 2" xfId="7" xr:uid="{00000000-0005-0000-0000-000005000000}"/>
    <cellStyle name="Normal 3" xfId="4" xr:uid="{00000000-0005-0000-0000-000006000000}"/>
    <cellStyle name="Normal 4" xfId="5" xr:uid="{00000000-0005-0000-0000-000007000000}"/>
    <cellStyle name="Normal 5" xfId="10" xr:uid="{00000000-0005-0000-0000-000008000000}"/>
    <cellStyle name="Percent 2" xfId="6" xr:uid="{00000000-0005-0000-0000-000009000000}"/>
    <cellStyle name="Percent 2 2" xfId="8"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PC~1/AppData/Local/Temp/Package_2_A_Naogaon%20Haor(Tot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Estimate"/>
      <sheetName val="Abstract"/>
      <sheetName val="Naogaon_A_10.00 to 28.90"/>
      <sheetName val="b"/>
    </sheetNames>
    <sheetDataSet>
      <sheetData sheetId="0" refreshError="1"/>
      <sheetData sheetId="1" refreshError="1">
        <row r="2">
          <cell r="A2" t="str">
            <v xml:space="preserve">Construction of (a) Submergible Embankment around Naogaon Haor (Part-A) from KM 10.00 to KM 28.90.00=16.90 KM and (b) Gokhra  Khal Rehulator (2-Vent,1.50m×1.80m) at KM 6.04 of Naogaon Haor Sub-Project, Part-A in c/w Haor Flood Management and Livelihood Improved Improvement Project(BWDB Part) under Kishoregange WD Division, BWDB, Kishoregonj during the FY2016-17 &amp; FY2017-18. </v>
          </cell>
        </row>
        <row r="15">
          <cell r="AG15" t="str">
            <v>nos</v>
          </cell>
        </row>
        <row r="19">
          <cell r="AG19" t="str">
            <v>m</v>
          </cell>
        </row>
        <row r="22">
          <cell r="AG22" t="str">
            <v>nos</v>
          </cell>
        </row>
        <row r="25">
          <cell r="AG25" t="str">
            <v>nos</v>
          </cell>
        </row>
        <row r="84">
          <cell r="C84" t="str">
            <v xml:space="preserve">Manufacturing and supplying of CC blocks in leanest mix (1:2:4) in volume, with cement, sand (FM&gt;=1.5) and stone chips (40mmdown graded), to attain a minimum 28 days cylinder strength of 15.0 N/mm2 including grading, washing shingles, mixing, laying in forms, consolidation, curing for at least 21 days, including preparation of platform, shuttering in measureable stacks etc. complete including supply of all materials ( steel shutter to be used) as per direction of Enginnner in charge. </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136"/>
  <sheetViews>
    <sheetView view="pageBreakPreview" topLeftCell="A89" zoomScaleSheetLayoutView="100" workbookViewId="0">
      <selection activeCell="AI84" sqref="AI84"/>
    </sheetView>
  </sheetViews>
  <sheetFormatPr defaultColWidth="9.1796875" defaultRowHeight="13"/>
  <cols>
    <col min="1" max="1" width="4.54296875" style="8" customWidth="1"/>
    <col min="2" max="2" width="9.54296875" style="2" customWidth="1"/>
    <col min="3" max="3" width="1.54296875" style="2" customWidth="1"/>
    <col min="4" max="4" width="1.1796875" style="2" customWidth="1"/>
    <col min="5" max="6" width="1.453125" style="2" customWidth="1"/>
    <col min="7" max="7" width="1.7265625" style="2" customWidth="1"/>
    <col min="8" max="9" width="1.81640625" style="2" customWidth="1"/>
    <col min="10" max="10" width="2.54296875" style="2" customWidth="1"/>
    <col min="11" max="11" width="2.26953125" style="2" customWidth="1"/>
    <col min="12" max="12" width="2.453125" style="2" customWidth="1"/>
    <col min="13" max="13" width="3.54296875" style="2" customWidth="1"/>
    <col min="14" max="14" width="2.26953125" style="2" customWidth="1"/>
    <col min="15" max="15" width="2.54296875" style="2" customWidth="1"/>
    <col min="16" max="16" width="4" style="2" customWidth="1"/>
    <col min="17" max="20" width="2.26953125" style="2" customWidth="1"/>
    <col min="21" max="21" width="4.81640625" style="2" customWidth="1"/>
    <col min="22" max="22" width="3.1796875" style="2" customWidth="1"/>
    <col min="23" max="23" width="2.453125" style="2" customWidth="1"/>
    <col min="24" max="24" width="3" style="2" customWidth="1"/>
    <col min="25" max="25" width="2.54296875" style="2" customWidth="1"/>
    <col min="26" max="26" width="2.26953125" style="2" customWidth="1"/>
    <col min="27" max="27" width="3.7265625" style="2" customWidth="1"/>
    <col min="28" max="28" width="3.26953125" style="2" customWidth="1"/>
    <col min="29" max="29" width="1.54296875" style="2" customWidth="1"/>
    <col min="30" max="30" width="1.7265625" style="2" customWidth="1"/>
    <col min="31" max="31" width="2.1796875" style="2" customWidth="1"/>
    <col min="32" max="32" width="10.26953125" style="2" customWidth="1"/>
    <col min="33" max="33" width="4.54296875" style="2" customWidth="1"/>
    <col min="34" max="34" width="32.81640625" style="2" customWidth="1"/>
    <col min="35" max="35" width="27.1796875" style="2" customWidth="1"/>
    <col min="36" max="36" width="4" style="2" customWidth="1"/>
    <col min="37" max="37" width="6.26953125" style="2" customWidth="1"/>
    <col min="38" max="48" width="2.26953125" style="2" customWidth="1"/>
    <col min="49" max="49" width="4.453125" style="2" customWidth="1"/>
    <col min="50" max="170" width="2.26953125" style="2" customWidth="1"/>
    <col min="171" max="16384" width="9.1796875" style="2"/>
  </cols>
  <sheetData>
    <row r="1" spans="1:37" ht="17.25" customHeight="1">
      <c r="A1" s="332" t="s">
        <v>10</v>
      </c>
      <c r="B1" s="332"/>
      <c r="C1" s="332"/>
      <c r="D1" s="332"/>
      <c r="E1" s="332"/>
      <c r="F1" s="332"/>
      <c r="G1" s="332"/>
      <c r="H1" s="332"/>
      <c r="I1" s="332"/>
      <c r="J1" s="332"/>
      <c r="K1" s="332"/>
      <c r="L1" s="332"/>
      <c r="M1" s="332"/>
      <c r="N1" s="332"/>
      <c r="O1" s="332"/>
      <c r="P1" s="332"/>
      <c r="Q1" s="332"/>
      <c r="R1" s="332"/>
      <c r="S1" s="332"/>
      <c r="T1" s="332"/>
      <c r="U1" s="332"/>
      <c r="V1" s="332"/>
      <c r="W1" s="332"/>
      <c r="X1" s="332"/>
      <c r="Y1" s="332"/>
      <c r="Z1" s="332"/>
      <c r="AA1" s="332"/>
      <c r="AB1" s="332"/>
      <c r="AC1" s="332"/>
      <c r="AD1" s="332"/>
      <c r="AE1" s="332"/>
      <c r="AF1" s="332"/>
      <c r="AG1" s="332"/>
    </row>
    <row r="2" spans="1:37" ht="95.25" customHeight="1">
      <c r="A2" s="333" t="e">
        <f>#REF!</f>
        <v>#REF!</v>
      </c>
      <c r="B2" s="333"/>
      <c r="C2" s="333"/>
      <c r="D2" s="333"/>
      <c r="E2" s="333"/>
      <c r="F2" s="333"/>
      <c r="G2" s="333"/>
      <c r="H2" s="333"/>
      <c r="I2" s="333"/>
      <c r="J2" s="333"/>
      <c r="K2" s="333"/>
      <c r="L2" s="333"/>
      <c r="M2" s="333"/>
      <c r="N2" s="333"/>
      <c r="O2" s="333"/>
      <c r="P2" s="333"/>
      <c r="Q2" s="333"/>
      <c r="R2" s="333"/>
      <c r="S2" s="333"/>
      <c r="T2" s="333"/>
      <c r="U2" s="333"/>
      <c r="V2" s="333"/>
      <c r="W2" s="333"/>
      <c r="X2" s="333"/>
      <c r="Y2" s="333"/>
      <c r="Z2" s="333"/>
      <c r="AA2" s="333"/>
      <c r="AB2" s="333"/>
      <c r="AC2" s="333"/>
      <c r="AD2" s="333"/>
      <c r="AE2" s="333"/>
      <c r="AF2" s="333"/>
      <c r="AG2" s="333"/>
      <c r="AK2" s="2">
        <f>9*0.2*85</f>
        <v>153</v>
      </c>
    </row>
    <row r="3" spans="1:37" s="8" customFormat="1" ht="24.75" customHeight="1">
      <c r="A3" s="16" t="s">
        <v>26</v>
      </c>
      <c r="B3" s="16" t="s">
        <v>4</v>
      </c>
      <c r="C3" s="334" t="s">
        <v>5</v>
      </c>
      <c r="D3" s="334"/>
      <c r="E3" s="334"/>
      <c r="F3" s="334"/>
      <c r="G3" s="334"/>
      <c r="H3" s="334"/>
      <c r="I3" s="334"/>
      <c r="J3" s="334"/>
      <c r="K3" s="334"/>
      <c r="L3" s="334"/>
      <c r="M3" s="334"/>
      <c r="N3" s="334"/>
      <c r="O3" s="334"/>
      <c r="P3" s="334"/>
      <c r="Q3" s="334"/>
      <c r="R3" s="334"/>
      <c r="S3" s="334"/>
      <c r="T3" s="334"/>
      <c r="U3" s="334"/>
      <c r="V3" s="334"/>
      <c r="W3" s="334"/>
      <c r="X3" s="334"/>
      <c r="Y3" s="334"/>
      <c r="Z3" s="334" t="s">
        <v>11</v>
      </c>
      <c r="AA3" s="334"/>
      <c r="AB3" s="334"/>
      <c r="AC3" s="334"/>
      <c r="AD3" s="334"/>
      <c r="AE3" s="334"/>
      <c r="AF3" s="334"/>
      <c r="AG3" s="334"/>
    </row>
    <row r="4" spans="1:37" ht="75.75" customHeight="1">
      <c r="A4" s="283">
        <v>1</v>
      </c>
      <c r="B4" s="283" t="s">
        <v>34</v>
      </c>
      <c r="C4" s="294" t="s">
        <v>33</v>
      </c>
      <c r="D4" s="295"/>
      <c r="E4" s="295"/>
      <c r="F4" s="295"/>
      <c r="G4" s="295"/>
      <c r="H4" s="295"/>
      <c r="I4" s="295"/>
      <c r="J4" s="295"/>
      <c r="K4" s="295"/>
      <c r="L4" s="295"/>
      <c r="M4" s="295"/>
      <c r="N4" s="295"/>
      <c r="O4" s="295"/>
      <c r="P4" s="295"/>
      <c r="Q4" s="295"/>
      <c r="R4" s="295"/>
      <c r="S4" s="295"/>
      <c r="T4" s="295"/>
      <c r="U4" s="295"/>
      <c r="V4" s="295"/>
      <c r="W4" s="295"/>
      <c r="X4" s="295"/>
      <c r="Y4" s="295"/>
      <c r="Z4" s="295"/>
      <c r="AA4" s="295"/>
      <c r="AB4" s="295"/>
      <c r="AC4" s="295"/>
      <c r="AD4" s="295"/>
      <c r="AE4" s="3"/>
      <c r="AF4" s="3"/>
      <c r="AG4" s="4"/>
    </row>
    <row r="5" spans="1:37" ht="13.5" customHeight="1">
      <c r="A5" s="284"/>
      <c r="B5" s="284"/>
      <c r="C5" s="291" t="s">
        <v>18</v>
      </c>
      <c r="D5" s="287"/>
      <c r="E5" s="287"/>
      <c r="F5" s="287"/>
      <c r="G5" s="287"/>
      <c r="H5" s="287"/>
      <c r="I5" s="115" t="s">
        <v>16</v>
      </c>
      <c r="J5" s="288">
        <v>13.17</v>
      </c>
      <c r="K5" s="288"/>
      <c r="L5" s="290" t="s">
        <v>35</v>
      </c>
      <c r="M5" s="290"/>
      <c r="N5" s="115" t="s">
        <v>16</v>
      </c>
      <c r="O5" s="115" t="s">
        <v>19</v>
      </c>
      <c r="P5" s="7">
        <v>0.5</v>
      </c>
      <c r="Q5" s="5" t="s">
        <v>36</v>
      </c>
      <c r="R5" s="115"/>
      <c r="S5" s="115"/>
      <c r="T5" s="115" t="s">
        <v>16</v>
      </c>
      <c r="U5" s="287">
        <f>ROUND(J5/P5,0)</f>
        <v>26</v>
      </c>
      <c r="V5" s="287"/>
      <c r="W5" s="115" t="s">
        <v>37</v>
      </c>
      <c r="X5" s="115">
        <v>1</v>
      </c>
      <c r="Y5" s="6" t="s">
        <v>8</v>
      </c>
      <c r="Z5" s="115"/>
      <c r="AA5" s="115"/>
      <c r="AB5" s="115"/>
      <c r="AC5" s="115"/>
      <c r="AD5" s="115"/>
      <c r="AE5" s="5" t="s">
        <v>16</v>
      </c>
      <c r="AF5" s="119">
        <f>ROUND(U5+X5,0)</f>
        <v>27</v>
      </c>
      <c r="AG5" s="6" t="s">
        <v>8</v>
      </c>
    </row>
    <row r="6" spans="1:37" ht="12.75" customHeight="1">
      <c r="A6" s="285"/>
      <c r="B6" s="285"/>
      <c r="C6" s="329"/>
      <c r="D6" s="330"/>
      <c r="E6" s="330"/>
      <c r="F6" s="330"/>
      <c r="G6" s="330"/>
      <c r="H6" s="330"/>
      <c r="I6" s="330"/>
      <c r="J6" s="330"/>
      <c r="K6" s="330"/>
      <c r="L6" s="330"/>
      <c r="M6" s="330"/>
      <c r="N6" s="330"/>
      <c r="O6" s="114"/>
      <c r="P6" s="114"/>
      <c r="Q6" s="114"/>
      <c r="R6" s="114"/>
      <c r="S6" s="114"/>
      <c r="T6" s="114"/>
      <c r="U6" s="114"/>
      <c r="V6" s="114"/>
      <c r="W6" s="114"/>
      <c r="X6" s="114"/>
      <c r="Y6" s="114"/>
      <c r="Z6" s="289" t="s">
        <v>17</v>
      </c>
      <c r="AA6" s="289"/>
      <c r="AB6" s="289"/>
      <c r="AC6" s="289"/>
      <c r="AD6" s="289"/>
      <c r="AE6" s="38" t="s">
        <v>16</v>
      </c>
      <c r="AF6" s="39">
        <f>AF5</f>
        <v>27</v>
      </c>
      <c r="AG6" s="12" t="str">
        <f>AG5</f>
        <v>nos</v>
      </c>
    </row>
    <row r="7" spans="1:37" ht="38.25" customHeight="1">
      <c r="A7" s="283">
        <f>A4+1</f>
        <v>2</v>
      </c>
      <c r="B7" s="283" t="s">
        <v>38</v>
      </c>
      <c r="C7" s="294" t="s">
        <v>39</v>
      </c>
      <c r="D7" s="295"/>
      <c r="E7" s="295"/>
      <c r="F7" s="295"/>
      <c r="G7" s="295"/>
      <c r="H7" s="295"/>
      <c r="I7" s="295"/>
      <c r="J7" s="295"/>
      <c r="K7" s="295"/>
      <c r="L7" s="295"/>
      <c r="M7" s="295"/>
      <c r="N7" s="295"/>
      <c r="O7" s="295"/>
      <c r="P7" s="295"/>
      <c r="Q7" s="295"/>
      <c r="R7" s="295"/>
      <c r="S7" s="295"/>
      <c r="T7" s="295"/>
      <c r="U7" s="295"/>
      <c r="V7" s="295"/>
      <c r="W7" s="295"/>
      <c r="X7" s="295"/>
      <c r="Y7" s="295"/>
      <c r="Z7" s="295"/>
      <c r="AA7" s="295"/>
      <c r="AB7" s="295"/>
      <c r="AC7" s="295"/>
      <c r="AD7" s="295"/>
      <c r="AE7" s="3"/>
      <c r="AF7" s="3"/>
      <c r="AG7" s="4"/>
    </row>
    <row r="8" spans="1:37" ht="13.5" customHeight="1">
      <c r="A8" s="284"/>
      <c r="B8" s="284"/>
      <c r="C8" s="291" t="s">
        <v>18</v>
      </c>
      <c r="D8" s="287"/>
      <c r="E8" s="287"/>
      <c r="F8" s="287"/>
      <c r="G8" s="287"/>
      <c r="H8" s="287"/>
      <c r="I8" s="115" t="s">
        <v>16</v>
      </c>
      <c r="J8" s="288">
        <f>J5</f>
        <v>13.17</v>
      </c>
      <c r="K8" s="288"/>
      <c r="L8" s="290" t="s">
        <v>35</v>
      </c>
      <c r="M8" s="290"/>
      <c r="N8" s="115" t="s">
        <v>16</v>
      </c>
      <c r="O8" s="115" t="s">
        <v>19</v>
      </c>
      <c r="P8" s="7">
        <v>0.5</v>
      </c>
      <c r="Q8" s="5" t="s">
        <v>36</v>
      </c>
      <c r="R8" s="115"/>
      <c r="S8" s="115"/>
      <c r="T8" s="115" t="s">
        <v>16</v>
      </c>
      <c r="U8" s="287">
        <f>ROUND(J8/P8,0)</f>
        <v>26</v>
      </c>
      <c r="V8" s="287"/>
      <c r="W8" s="115" t="s">
        <v>37</v>
      </c>
      <c r="X8" s="115">
        <v>1</v>
      </c>
      <c r="Y8" s="6" t="s">
        <v>8</v>
      </c>
      <c r="Z8" s="115"/>
      <c r="AA8" s="115"/>
      <c r="AB8" s="115"/>
      <c r="AC8" s="115"/>
      <c r="AD8" s="115"/>
      <c r="AE8" s="5" t="s">
        <v>16</v>
      </c>
      <c r="AF8" s="135">
        <f>ROUND(U8+X8,0)</f>
        <v>27</v>
      </c>
      <c r="AG8" s="6" t="s">
        <v>8</v>
      </c>
    </row>
    <row r="9" spans="1:37" ht="13.5" customHeight="1">
      <c r="A9" s="284"/>
      <c r="B9" s="284"/>
      <c r="C9" s="147"/>
      <c r="D9" s="148"/>
      <c r="E9" s="148"/>
      <c r="F9" s="148"/>
      <c r="G9" s="148"/>
      <c r="H9" s="148"/>
      <c r="I9" s="146"/>
      <c r="J9" s="288" t="s">
        <v>186</v>
      </c>
      <c r="K9" s="288"/>
      <c r="L9" s="288"/>
      <c r="M9" s="288"/>
      <c r="N9" s="146" t="s">
        <v>16</v>
      </c>
      <c r="O9" s="287">
        <f>AF67</f>
        <v>14</v>
      </c>
      <c r="P9" s="287"/>
      <c r="Q9" s="5"/>
      <c r="R9" s="146"/>
      <c r="S9" s="146"/>
      <c r="T9" s="146"/>
      <c r="U9" s="148"/>
      <c r="V9" s="148"/>
      <c r="W9" s="146"/>
      <c r="X9" s="146"/>
      <c r="Y9" s="5"/>
      <c r="Z9" s="146"/>
      <c r="AA9" s="146"/>
      <c r="AB9" s="146"/>
      <c r="AC9" s="146"/>
      <c r="AD9" s="146"/>
      <c r="AE9" s="5" t="s">
        <v>16</v>
      </c>
      <c r="AF9" s="149">
        <f>O9</f>
        <v>14</v>
      </c>
      <c r="AG9" s="6"/>
    </row>
    <row r="10" spans="1:37" ht="12.75" customHeight="1">
      <c r="A10" s="285"/>
      <c r="B10" s="285"/>
      <c r="C10" s="329"/>
      <c r="D10" s="330"/>
      <c r="E10" s="330"/>
      <c r="F10" s="330"/>
      <c r="G10" s="330"/>
      <c r="H10" s="330"/>
      <c r="I10" s="330"/>
      <c r="J10" s="330"/>
      <c r="K10" s="330"/>
      <c r="L10" s="330"/>
      <c r="M10" s="330"/>
      <c r="N10" s="330"/>
      <c r="O10" s="114"/>
      <c r="P10" s="114"/>
      <c r="Q10" s="114"/>
      <c r="R10" s="114"/>
      <c r="S10" s="114"/>
      <c r="T10" s="114"/>
      <c r="U10" s="114"/>
      <c r="V10" s="114"/>
      <c r="W10" s="114"/>
      <c r="X10" s="114"/>
      <c r="Y10" s="114"/>
      <c r="Z10" s="289" t="s">
        <v>17</v>
      </c>
      <c r="AA10" s="289"/>
      <c r="AB10" s="289"/>
      <c r="AC10" s="289"/>
      <c r="AD10" s="289"/>
      <c r="AE10" s="38" t="s">
        <v>16</v>
      </c>
      <c r="AF10" s="39">
        <f>ROUND(AF8+AF9,2)</f>
        <v>41</v>
      </c>
      <c r="AG10" s="12" t="s">
        <v>8</v>
      </c>
    </row>
    <row r="11" spans="1:37" ht="42" customHeight="1">
      <c r="A11" s="283">
        <f>A7+1</f>
        <v>3</v>
      </c>
      <c r="B11" s="283" t="s">
        <v>40</v>
      </c>
      <c r="C11" s="294" t="s">
        <v>41</v>
      </c>
      <c r="D11" s="295"/>
      <c r="E11" s="295"/>
      <c r="F11" s="295"/>
      <c r="G11" s="295"/>
      <c r="H11" s="295"/>
      <c r="I11" s="295"/>
      <c r="J11" s="295"/>
      <c r="K11" s="295"/>
      <c r="L11" s="295"/>
      <c r="M11" s="295"/>
      <c r="N11" s="295"/>
      <c r="O11" s="295"/>
      <c r="P11" s="295"/>
      <c r="Q11" s="295"/>
      <c r="R11" s="295"/>
      <c r="S11" s="295"/>
      <c r="T11" s="295"/>
      <c r="U11" s="295"/>
      <c r="V11" s="295"/>
      <c r="W11" s="295"/>
      <c r="X11" s="295"/>
      <c r="Y11" s="295"/>
      <c r="Z11" s="295"/>
      <c r="AA11" s="295"/>
      <c r="AB11" s="295"/>
      <c r="AC11" s="295"/>
      <c r="AD11" s="295"/>
      <c r="AE11" s="3"/>
      <c r="AF11" s="3"/>
      <c r="AG11" s="4"/>
    </row>
    <row r="12" spans="1:37" ht="13.5" customHeight="1">
      <c r="A12" s="284"/>
      <c r="B12" s="284"/>
      <c r="C12" s="291" t="s">
        <v>18</v>
      </c>
      <c r="D12" s="287"/>
      <c r="E12" s="287"/>
      <c r="F12" s="287"/>
      <c r="G12" s="287"/>
      <c r="H12" s="287"/>
      <c r="I12" s="115" t="s">
        <v>16</v>
      </c>
      <c r="J12" s="288">
        <f>J8</f>
        <v>13.17</v>
      </c>
      <c r="K12" s="288"/>
      <c r="L12" s="290" t="s">
        <v>35</v>
      </c>
      <c r="M12" s="290"/>
      <c r="N12" s="115" t="s">
        <v>16</v>
      </c>
      <c r="O12" s="288">
        <f>J12*1000</f>
        <v>13170</v>
      </c>
      <c r="P12" s="288"/>
      <c r="Q12" s="288"/>
      <c r="R12" s="115" t="s">
        <v>22</v>
      </c>
      <c r="S12" s="115"/>
      <c r="T12" s="111"/>
      <c r="U12" s="287"/>
      <c r="V12" s="287"/>
      <c r="W12" s="115"/>
      <c r="X12" s="115"/>
      <c r="Y12" s="115"/>
      <c r="Z12" s="115"/>
      <c r="AA12" s="115"/>
      <c r="AB12" s="115"/>
      <c r="AC12" s="115"/>
      <c r="AD12" s="115"/>
      <c r="AE12" s="5"/>
      <c r="AF12" s="118"/>
      <c r="AG12" s="6"/>
    </row>
    <row r="13" spans="1:37" ht="13.5" customHeight="1">
      <c r="A13" s="284"/>
      <c r="B13" s="284"/>
      <c r="C13" s="14" t="s">
        <v>187</v>
      </c>
      <c r="D13" s="111"/>
      <c r="E13" s="111"/>
      <c r="F13" s="111"/>
      <c r="G13" s="111"/>
      <c r="H13" s="111"/>
      <c r="I13" s="115"/>
      <c r="J13" s="112"/>
      <c r="K13" s="112"/>
      <c r="L13" s="113"/>
      <c r="M13" s="113"/>
      <c r="N13" s="115" t="s">
        <v>16</v>
      </c>
      <c r="O13" s="288">
        <f>O12</f>
        <v>13170</v>
      </c>
      <c r="P13" s="288"/>
      <c r="Q13" s="288"/>
      <c r="R13" s="112" t="s">
        <v>20</v>
      </c>
      <c r="S13" s="331">
        <v>6</v>
      </c>
      <c r="T13" s="331"/>
      <c r="U13" s="115" t="s">
        <v>20</v>
      </c>
      <c r="V13" s="111">
        <v>2</v>
      </c>
      <c r="W13" s="115" t="s">
        <v>22</v>
      </c>
      <c r="X13" s="115"/>
      <c r="Y13" s="115"/>
      <c r="Z13" s="115"/>
      <c r="AA13" s="115"/>
      <c r="AB13" s="115"/>
      <c r="AC13" s="115"/>
      <c r="AD13" s="115"/>
      <c r="AE13" s="5" t="s">
        <v>16</v>
      </c>
      <c r="AF13" s="118">
        <f>O13*S13*V13</f>
        <v>158040</v>
      </c>
      <c r="AG13" s="6" t="s">
        <v>22</v>
      </c>
    </row>
    <row r="14" spans="1:37" ht="12.75" customHeight="1">
      <c r="A14" s="285"/>
      <c r="B14" s="285"/>
      <c r="C14" s="329"/>
      <c r="D14" s="330"/>
      <c r="E14" s="330"/>
      <c r="F14" s="330"/>
      <c r="G14" s="330"/>
      <c r="H14" s="330"/>
      <c r="I14" s="330"/>
      <c r="J14" s="330"/>
      <c r="K14" s="330"/>
      <c r="L14" s="330"/>
      <c r="M14" s="330"/>
      <c r="N14" s="330"/>
      <c r="O14" s="114"/>
      <c r="P14" s="114"/>
      <c r="Q14" s="114"/>
      <c r="R14" s="114"/>
      <c r="S14" s="114"/>
      <c r="T14" s="114"/>
      <c r="U14" s="114"/>
      <c r="V14" s="114"/>
      <c r="W14" s="114"/>
      <c r="X14" s="114"/>
      <c r="Y14" s="114"/>
      <c r="Z14" s="289" t="s">
        <v>17</v>
      </c>
      <c r="AA14" s="289"/>
      <c r="AB14" s="289"/>
      <c r="AC14" s="289"/>
      <c r="AD14" s="289"/>
      <c r="AE14" s="38" t="s">
        <v>16</v>
      </c>
      <c r="AF14" s="11">
        <f>ROUND(AF13,2)</f>
        <v>158040</v>
      </c>
      <c r="AG14" s="12" t="s">
        <v>22</v>
      </c>
    </row>
    <row r="15" spans="1:37" ht="28.5" customHeight="1">
      <c r="A15" s="283">
        <f>A11+1</f>
        <v>4</v>
      </c>
      <c r="B15" s="283" t="s">
        <v>30</v>
      </c>
      <c r="C15" s="328" t="s">
        <v>31</v>
      </c>
      <c r="D15" s="328"/>
      <c r="E15" s="328"/>
      <c r="F15" s="328"/>
      <c r="G15" s="328"/>
      <c r="H15" s="328"/>
      <c r="I15" s="328"/>
      <c r="J15" s="328"/>
      <c r="K15" s="328"/>
      <c r="L15" s="328"/>
      <c r="M15" s="328"/>
      <c r="N15" s="328"/>
      <c r="O15" s="328"/>
      <c r="P15" s="328"/>
      <c r="Q15" s="328"/>
      <c r="R15" s="328"/>
      <c r="S15" s="328"/>
      <c r="T15" s="328"/>
      <c r="U15" s="328"/>
      <c r="V15" s="328"/>
      <c r="W15" s="328"/>
      <c r="X15" s="328"/>
      <c r="Y15" s="328"/>
      <c r="Z15" s="328"/>
      <c r="AA15" s="328"/>
      <c r="AB15" s="328"/>
      <c r="AC15" s="328"/>
      <c r="AD15" s="328"/>
      <c r="AE15" s="5"/>
      <c r="AF15" s="5"/>
      <c r="AG15" s="6"/>
    </row>
    <row r="16" spans="1:37" ht="13.5" customHeight="1">
      <c r="A16" s="284"/>
      <c r="B16" s="284"/>
      <c r="C16" s="291" t="s">
        <v>18</v>
      </c>
      <c r="D16" s="287"/>
      <c r="E16" s="287"/>
      <c r="F16" s="287"/>
      <c r="G16" s="287"/>
      <c r="H16" s="287"/>
      <c r="I16" s="115" t="s">
        <v>16</v>
      </c>
      <c r="J16" s="288">
        <f>J12</f>
        <v>13.17</v>
      </c>
      <c r="K16" s="288"/>
      <c r="L16" s="290" t="s">
        <v>35</v>
      </c>
      <c r="M16" s="290"/>
      <c r="N16" s="115" t="s">
        <v>16</v>
      </c>
      <c r="O16" s="115" t="s">
        <v>19</v>
      </c>
      <c r="P16" s="288">
        <v>50</v>
      </c>
      <c r="Q16" s="288"/>
      <c r="R16" s="5" t="s">
        <v>42</v>
      </c>
      <c r="S16" s="5"/>
      <c r="T16" s="115"/>
      <c r="U16" s="115"/>
      <c r="V16" s="115" t="s">
        <v>16</v>
      </c>
      <c r="W16" s="287">
        <f>ROUND(J16*1000/P16,0)</f>
        <v>263</v>
      </c>
      <c r="X16" s="287"/>
      <c r="Y16" s="115" t="s">
        <v>37</v>
      </c>
      <c r="Z16" s="115">
        <v>1</v>
      </c>
      <c r="AA16" s="5" t="s">
        <v>8</v>
      </c>
      <c r="AB16" s="115"/>
      <c r="AC16" s="115"/>
      <c r="AD16" s="115"/>
      <c r="AE16" s="5" t="s">
        <v>16</v>
      </c>
      <c r="AF16" s="119">
        <f>W16+Z16</f>
        <v>264</v>
      </c>
      <c r="AG16" s="6" t="s">
        <v>8</v>
      </c>
    </row>
    <row r="17" spans="1:33" ht="12.75" customHeight="1">
      <c r="A17" s="285"/>
      <c r="B17" s="285"/>
      <c r="C17" s="114"/>
      <c r="D17" s="114"/>
      <c r="E17" s="114"/>
      <c r="F17" s="114"/>
      <c r="G17" s="114"/>
      <c r="H17" s="114"/>
      <c r="I17" s="114"/>
      <c r="J17" s="114"/>
      <c r="K17" s="114"/>
      <c r="L17" s="114"/>
      <c r="M17" s="114"/>
      <c r="N17" s="114"/>
      <c r="O17" s="114"/>
      <c r="P17" s="114"/>
      <c r="Q17" s="114"/>
      <c r="R17" s="114"/>
      <c r="S17" s="114"/>
      <c r="T17" s="114"/>
      <c r="U17" s="114"/>
      <c r="V17" s="114"/>
      <c r="W17" s="114"/>
      <c r="X17" s="114"/>
      <c r="Y17" s="114"/>
      <c r="Z17" s="289" t="s">
        <v>17</v>
      </c>
      <c r="AA17" s="289"/>
      <c r="AB17" s="289"/>
      <c r="AC17" s="289"/>
      <c r="AD17" s="289"/>
      <c r="AE17" s="38" t="s">
        <v>16</v>
      </c>
      <c r="AF17" s="137">
        <f>ROUND(AF16,0)</f>
        <v>264</v>
      </c>
      <c r="AG17" s="12" t="s">
        <v>8</v>
      </c>
    </row>
    <row r="18" spans="1:33" ht="27.75" customHeight="1">
      <c r="A18" s="283">
        <f>A15+1</f>
        <v>5</v>
      </c>
      <c r="B18" s="283" t="s">
        <v>188</v>
      </c>
      <c r="C18" s="328" t="s">
        <v>189</v>
      </c>
      <c r="D18" s="328"/>
      <c r="E18" s="328"/>
      <c r="F18" s="328"/>
      <c r="G18" s="328"/>
      <c r="H18" s="328"/>
      <c r="I18" s="328"/>
      <c r="J18" s="328"/>
      <c r="K18" s="328"/>
      <c r="L18" s="328"/>
      <c r="M18" s="328"/>
      <c r="N18" s="328"/>
      <c r="O18" s="328"/>
      <c r="P18" s="328"/>
      <c r="Q18" s="328"/>
      <c r="R18" s="328"/>
      <c r="S18" s="328"/>
      <c r="T18" s="328"/>
      <c r="U18" s="328"/>
      <c r="V18" s="328"/>
      <c r="W18" s="328"/>
      <c r="X18" s="328"/>
      <c r="Y18" s="328"/>
      <c r="Z18" s="328"/>
      <c r="AA18" s="328"/>
      <c r="AB18" s="328"/>
      <c r="AC18" s="328"/>
      <c r="AD18" s="328"/>
      <c r="AE18" s="5"/>
      <c r="AF18" s="5"/>
      <c r="AG18" s="6"/>
    </row>
    <row r="19" spans="1:33" ht="13.5" customHeight="1">
      <c r="A19" s="284"/>
      <c r="B19" s="284"/>
      <c r="C19" s="291" t="s">
        <v>18</v>
      </c>
      <c r="D19" s="287"/>
      <c r="E19" s="287"/>
      <c r="F19" s="287"/>
      <c r="G19" s="287"/>
      <c r="H19" s="165" t="s">
        <v>16</v>
      </c>
      <c r="I19" s="292">
        <v>5000</v>
      </c>
      <c r="J19" s="292"/>
      <c r="K19" s="292"/>
      <c r="L19" s="290" t="s">
        <v>104</v>
      </c>
      <c r="M19" s="290"/>
      <c r="N19" s="165" t="s">
        <v>16</v>
      </c>
      <c r="O19" s="165" t="s">
        <v>19</v>
      </c>
      <c r="P19" s="288">
        <v>0.8</v>
      </c>
      <c r="Q19" s="288"/>
      <c r="R19" s="5" t="s">
        <v>42</v>
      </c>
      <c r="S19" s="5"/>
      <c r="T19" s="165"/>
      <c r="U19" s="165"/>
      <c r="V19" s="165" t="s">
        <v>16</v>
      </c>
      <c r="W19" s="287">
        <f>ROUND(I19*1/P19,0)</f>
        <v>6250</v>
      </c>
      <c r="X19" s="287"/>
      <c r="Y19" s="165" t="s">
        <v>20</v>
      </c>
      <c r="Z19" s="165">
        <v>2</v>
      </c>
      <c r="AA19" s="5" t="s">
        <v>8</v>
      </c>
      <c r="AB19" s="165"/>
      <c r="AC19" s="165"/>
      <c r="AD19" s="165"/>
      <c r="AE19" s="5" t="s">
        <v>16</v>
      </c>
      <c r="AF19" s="169">
        <f>W19*Z19</f>
        <v>12500</v>
      </c>
      <c r="AG19" s="6" t="s">
        <v>8</v>
      </c>
    </row>
    <row r="20" spans="1:33" ht="12.75" customHeight="1">
      <c r="A20" s="285"/>
      <c r="B20" s="285"/>
      <c r="C20" s="164"/>
      <c r="D20" s="164"/>
      <c r="E20" s="164"/>
      <c r="F20" s="164"/>
      <c r="G20" s="164"/>
      <c r="H20" s="164"/>
      <c r="I20" s="164"/>
      <c r="J20" s="164"/>
      <c r="K20" s="164"/>
      <c r="L20" s="164"/>
      <c r="M20" s="164"/>
      <c r="N20" s="164"/>
      <c r="O20" s="164"/>
      <c r="P20" s="164"/>
      <c r="Q20" s="164"/>
      <c r="R20" s="164"/>
      <c r="S20" s="164"/>
      <c r="T20" s="164"/>
      <c r="U20" s="164"/>
      <c r="V20" s="164"/>
      <c r="W20" s="164"/>
      <c r="X20" s="164"/>
      <c r="Y20" s="164"/>
      <c r="Z20" s="289" t="s">
        <v>17</v>
      </c>
      <c r="AA20" s="289"/>
      <c r="AB20" s="289"/>
      <c r="AC20" s="289"/>
      <c r="AD20" s="289"/>
      <c r="AE20" s="38" t="s">
        <v>16</v>
      </c>
      <c r="AF20" s="137">
        <f>ROUND(AF19,0)</f>
        <v>12500</v>
      </c>
      <c r="AG20" s="12" t="s">
        <v>8</v>
      </c>
    </row>
    <row r="21" spans="1:33" ht="39" customHeight="1">
      <c r="A21" s="283">
        <f>A18+1</f>
        <v>6</v>
      </c>
      <c r="B21" s="283" t="s">
        <v>105</v>
      </c>
      <c r="C21" s="286" t="s">
        <v>106</v>
      </c>
      <c r="D21" s="286"/>
      <c r="E21" s="286"/>
      <c r="F21" s="286"/>
      <c r="G21" s="286"/>
      <c r="H21" s="286"/>
      <c r="I21" s="286"/>
      <c r="J21" s="286"/>
      <c r="K21" s="286"/>
      <c r="L21" s="286"/>
      <c r="M21" s="286"/>
      <c r="N21" s="286"/>
      <c r="O21" s="286"/>
      <c r="P21" s="286"/>
      <c r="Q21" s="286"/>
      <c r="R21" s="286"/>
      <c r="S21" s="286"/>
      <c r="T21" s="286"/>
      <c r="U21" s="286"/>
      <c r="V21" s="286"/>
      <c r="W21" s="286"/>
      <c r="X21" s="286"/>
      <c r="Y21" s="286"/>
      <c r="Z21" s="286"/>
      <c r="AA21" s="286"/>
      <c r="AB21" s="286"/>
      <c r="AC21" s="286"/>
      <c r="AD21" s="286"/>
      <c r="AE21" s="3"/>
      <c r="AF21" s="3"/>
      <c r="AG21" s="4"/>
    </row>
    <row r="22" spans="1:33" ht="13.5" customHeight="1">
      <c r="A22" s="284"/>
      <c r="B22" s="284"/>
      <c r="C22" s="291" t="s">
        <v>18</v>
      </c>
      <c r="D22" s="287"/>
      <c r="E22" s="287"/>
      <c r="F22" s="287"/>
      <c r="G22" s="287"/>
      <c r="H22" s="165" t="s">
        <v>16</v>
      </c>
      <c r="I22" s="292">
        <f>I19</f>
        <v>5000</v>
      </c>
      <c r="J22" s="292"/>
      <c r="K22" s="292"/>
      <c r="L22" s="287" t="s">
        <v>104</v>
      </c>
      <c r="M22" s="287"/>
      <c r="N22" s="163" t="s">
        <v>20</v>
      </c>
      <c r="O22" s="163">
        <v>1</v>
      </c>
      <c r="P22" s="288" t="s">
        <v>20</v>
      </c>
      <c r="Q22" s="288"/>
      <c r="R22" s="168">
        <v>1</v>
      </c>
      <c r="S22" s="168"/>
      <c r="T22" s="290" t="s">
        <v>107</v>
      </c>
      <c r="U22" s="290"/>
      <c r="V22" s="165" t="s">
        <v>16</v>
      </c>
      <c r="W22" s="288">
        <f>I22*O22*R22</f>
        <v>5000</v>
      </c>
      <c r="X22" s="288"/>
      <c r="Y22" s="288"/>
      <c r="Z22" s="165" t="s">
        <v>11</v>
      </c>
      <c r="AA22" s="5"/>
      <c r="AB22" s="165"/>
      <c r="AC22" s="165"/>
      <c r="AD22" s="165"/>
      <c r="AE22" s="5" t="s">
        <v>16</v>
      </c>
      <c r="AF22" s="167">
        <f>W22</f>
        <v>5000</v>
      </c>
      <c r="AG22" s="6" t="s">
        <v>22</v>
      </c>
    </row>
    <row r="23" spans="1:33" ht="12.75" customHeight="1">
      <c r="A23" s="285"/>
      <c r="B23" s="285"/>
      <c r="C23" s="164"/>
      <c r="D23" s="164"/>
      <c r="E23" s="164"/>
      <c r="F23" s="164"/>
      <c r="G23" s="164"/>
      <c r="H23" s="164"/>
      <c r="I23" s="164"/>
      <c r="J23" s="164"/>
      <c r="K23" s="164"/>
      <c r="L23" s="164"/>
      <c r="M23" s="164"/>
      <c r="N23" s="164"/>
      <c r="O23" s="164"/>
      <c r="P23" s="164"/>
      <c r="Q23" s="164"/>
      <c r="R23" s="164"/>
      <c r="S23" s="164"/>
      <c r="T23" s="164"/>
      <c r="U23" s="164"/>
      <c r="V23" s="164"/>
      <c r="W23" s="164"/>
      <c r="X23" s="164"/>
      <c r="Y23" s="164"/>
      <c r="Z23" s="289" t="s">
        <v>17</v>
      </c>
      <c r="AA23" s="289"/>
      <c r="AB23" s="289"/>
      <c r="AC23" s="289"/>
      <c r="AD23" s="289"/>
      <c r="AE23" s="38" t="s">
        <v>16</v>
      </c>
      <c r="AF23" s="11">
        <f>ROUND(AF22,0)</f>
        <v>5000</v>
      </c>
      <c r="AG23" s="12" t="s">
        <v>22</v>
      </c>
    </row>
    <row r="24" spans="1:33" ht="41.25" customHeight="1">
      <c r="A24" s="283">
        <f>A21+1</f>
        <v>7</v>
      </c>
      <c r="B24" s="283" t="s">
        <v>190</v>
      </c>
      <c r="C24" s="286" t="s">
        <v>191</v>
      </c>
      <c r="D24" s="286"/>
      <c r="E24" s="286"/>
      <c r="F24" s="286"/>
      <c r="G24" s="286"/>
      <c r="H24" s="286"/>
      <c r="I24" s="286"/>
      <c r="J24" s="286"/>
      <c r="K24" s="286"/>
      <c r="L24" s="286"/>
      <c r="M24" s="286"/>
      <c r="N24" s="286"/>
      <c r="O24" s="286"/>
      <c r="P24" s="286"/>
      <c r="Q24" s="286"/>
      <c r="R24" s="286"/>
      <c r="S24" s="286"/>
      <c r="T24" s="286"/>
      <c r="U24" s="286"/>
      <c r="V24" s="286"/>
      <c r="W24" s="286"/>
      <c r="X24" s="286"/>
      <c r="Y24" s="286"/>
      <c r="Z24" s="286"/>
      <c r="AA24" s="286"/>
      <c r="AB24" s="286"/>
      <c r="AC24" s="286"/>
      <c r="AD24" s="286"/>
      <c r="AE24" s="166"/>
      <c r="AF24" s="3"/>
      <c r="AG24" s="4"/>
    </row>
    <row r="25" spans="1:33" ht="13.5" customHeight="1">
      <c r="A25" s="284"/>
      <c r="B25" s="284"/>
      <c r="C25" s="291" t="s">
        <v>18</v>
      </c>
      <c r="D25" s="287"/>
      <c r="E25" s="287"/>
      <c r="F25" s="287"/>
      <c r="G25" s="287"/>
      <c r="H25" s="165" t="s">
        <v>16</v>
      </c>
      <c r="I25" s="292">
        <f>I19</f>
        <v>5000</v>
      </c>
      <c r="J25" s="292"/>
      <c r="K25" s="292"/>
      <c r="L25" s="290" t="s">
        <v>104</v>
      </c>
      <c r="M25" s="290"/>
      <c r="N25" s="165" t="s">
        <v>16</v>
      </c>
      <c r="O25" s="165" t="s">
        <v>19</v>
      </c>
      <c r="P25" s="288">
        <v>0.8</v>
      </c>
      <c r="Q25" s="288"/>
      <c r="R25" s="5" t="s">
        <v>42</v>
      </c>
      <c r="S25" s="5"/>
      <c r="T25" s="165"/>
      <c r="U25" s="165" t="s">
        <v>16</v>
      </c>
      <c r="V25" s="287">
        <f>I25*1/P25</f>
        <v>6250</v>
      </c>
      <c r="W25" s="287"/>
      <c r="X25" s="165" t="s">
        <v>20</v>
      </c>
      <c r="Y25" s="163">
        <v>2</v>
      </c>
      <c r="Z25" s="6" t="s">
        <v>73</v>
      </c>
      <c r="AA25" s="5"/>
      <c r="AB25" s="170">
        <v>0.6</v>
      </c>
      <c r="AC25" s="287" t="s">
        <v>22</v>
      </c>
      <c r="AD25" s="287"/>
      <c r="AE25" s="5" t="s">
        <v>16</v>
      </c>
      <c r="AF25" s="167">
        <f>(V25+Y25)*AB25</f>
        <v>3751.2</v>
      </c>
      <c r="AG25" s="6" t="s">
        <v>22</v>
      </c>
    </row>
    <row r="26" spans="1:33" ht="12.75" customHeight="1">
      <c r="A26" s="285"/>
      <c r="B26" s="285"/>
      <c r="C26" s="164"/>
      <c r="D26" s="164"/>
      <c r="E26" s="164"/>
      <c r="F26" s="164"/>
      <c r="G26" s="164"/>
      <c r="H26" s="164"/>
      <c r="I26" s="164"/>
      <c r="J26" s="164"/>
      <c r="K26" s="164"/>
      <c r="L26" s="164"/>
      <c r="M26" s="164"/>
      <c r="N26" s="164"/>
      <c r="O26" s="164"/>
      <c r="P26" s="164"/>
      <c r="Q26" s="164"/>
      <c r="R26" s="164"/>
      <c r="S26" s="164"/>
      <c r="T26" s="164"/>
      <c r="U26" s="164"/>
      <c r="V26" s="164"/>
      <c r="W26" s="164"/>
      <c r="X26" s="164"/>
      <c r="Y26" s="164"/>
      <c r="Z26" s="289" t="s">
        <v>17</v>
      </c>
      <c r="AA26" s="289"/>
      <c r="AB26" s="289"/>
      <c r="AC26" s="289"/>
      <c r="AD26" s="289"/>
      <c r="AE26" s="38" t="s">
        <v>16</v>
      </c>
      <c r="AF26" s="11">
        <f>ROUND(AF25,2)</f>
        <v>3751.2</v>
      </c>
      <c r="AG26" s="12" t="s">
        <v>22</v>
      </c>
    </row>
    <row r="27" spans="1:33" ht="39.75" customHeight="1">
      <c r="A27" s="185">
        <f>A24+1</f>
        <v>8</v>
      </c>
      <c r="B27" s="162" t="s">
        <v>80</v>
      </c>
      <c r="C27" s="328" t="s">
        <v>81</v>
      </c>
      <c r="D27" s="328"/>
      <c r="E27" s="328"/>
      <c r="F27" s="328"/>
      <c r="G27" s="328"/>
      <c r="H27" s="328"/>
      <c r="I27" s="328"/>
      <c r="J27" s="328"/>
      <c r="K27" s="328"/>
      <c r="L27" s="328"/>
      <c r="M27" s="328"/>
      <c r="N27" s="328"/>
      <c r="O27" s="328"/>
      <c r="P27" s="328"/>
      <c r="Q27" s="328"/>
      <c r="R27" s="328"/>
      <c r="S27" s="328"/>
      <c r="T27" s="328"/>
      <c r="U27" s="328"/>
      <c r="V27" s="328"/>
      <c r="W27" s="328"/>
      <c r="X27" s="328"/>
      <c r="Y27" s="328"/>
      <c r="Z27" s="328"/>
      <c r="AA27" s="328"/>
      <c r="AB27" s="328"/>
      <c r="AC27" s="328"/>
      <c r="AD27" s="328"/>
      <c r="AE27" s="165"/>
      <c r="AF27" s="5"/>
      <c r="AG27" s="6"/>
    </row>
    <row r="28" spans="1:33" ht="13.5" customHeight="1">
      <c r="A28" s="186"/>
      <c r="B28" s="35"/>
      <c r="C28" s="291" t="s">
        <v>18</v>
      </c>
      <c r="D28" s="287"/>
      <c r="E28" s="287"/>
      <c r="F28" s="287"/>
      <c r="G28" s="287"/>
      <c r="H28" s="165" t="s">
        <v>16</v>
      </c>
      <c r="I28" s="292">
        <f>I25</f>
        <v>5000</v>
      </c>
      <c r="J28" s="292"/>
      <c r="K28" s="292"/>
      <c r="L28" s="287" t="s">
        <v>22</v>
      </c>
      <c r="M28" s="287"/>
      <c r="N28" s="165" t="s">
        <v>20</v>
      </c>
      <c r="O28" s="288">
        <v>1.5</v>
      </c>
      <c r="P28" s="288"/>
      <c r="Q28" s="5" t="s">
        <v>20</v>
      </c>
      <c r="R28" s="5">
        <v>2</v>
      </c>
      <c r="S28" s="287" t="s">
        <v>192</v>
      </c>
      <c r="T28" s="287"/>
      <c r="U28" s="165" t="s">
        <v>16</v>
      </c>
      <c r="V28" s="288">
        <f>I28*O28*R28</f>
        <v>15000</v>
      </c>
      <c r="W28" s="288"/>
      <c r="X28" s="288"/>
      <c r="Y28" s="287" t="s">
        <v>21</v>
      </c>
      <c r="Z28" s="287"/>
      <c r="AA28" s="5"/>
      <c r="AB28" s="165"/>
      <c r="AC28" s="287"/>
      <c r="AD28" s="287"/>
      <c r="AE28" s="5" t="s">
        <v>16</v>
      </c>
      <c r="AF28" s="167">
        <f>V28</f>
        <v>15000</v>
      </c>
      <c r="AG28" s="6" t="s">
        <v>21</v>
      </c>
    </row>
    <row r="29" spans="1:33" ht="12.75" customHeight="1">
      <c r="A29" s="187"/>
      <c r="B29" s="48"/>
      <c r="C29" s="164"/>
      <c r="D29" s="164"/>
      <c r="E29" s="164"/>
      <c r="F29" s="164"/>
      <c r="G29" s="164"/>
      <c r="H29" s="164"/>
      <c r="I29" s="164"/>
      <c r="J29" s="164"/>
      <c r="K29" s="164"/>
      <c r="L29" s="164"/>
      <c r="M29" s="164"/>
      <c r="N29" s="164"/>
      <c r="O29" s="164"/>
      <c r="P29" s="164"/>
      <c r="Q29" s="164"/>
      <c r="R29" s="164"/>
      <c r="S29" s="164"/>
      <c r="T29" s="164"/>
      <c r="U29" s="164"/>
      <c r="V29" s="164"/>
      <c r="W29" s="164"/>
      <c r="X29" s="164"/>
      <c r="Y29" s="164"/>
      <c r="Z29" s="289" t="s">
        <v>17</v>
      </c>
      <c r="AA29" s="289"/>
      <c r="AB29" s="289"/>
      <c r="AC29" s="289"/>
      <c r="AD29" s="289"/>
      <c r="AE29" s="38" t="s">
        <v>16</v>
      </c>
      <c r="AF29" s="11">
        <f>ROUND(AF28,2)</f>
        <v>15000</v>
      </c>
      <c r="AG29" s="12" t="s">
        <v>21</v>
      </c>
    </row>
    <row r="30" spans="1:33" ht="165" customHeight="1">
      <c r="A30" s="283">
        <f>A27+1</f>
        <v>9</v>
      </c>
      <c r="B30" s="283" t="s">
        <v>82</v>
      </c>
      <c r="C30" s="294" t="s">
        <v>83</v>
      </c>
      <c r="D30" s="295"/>
      <c r="E30" s="295"/>
      <c r="F30" s="295"/>
      <c r="G30" s="295"/>
      <c r="H30" s="295"/>
      <c r="I30" s="295"/>
      <c r="J30" s="295"/>
      <c r="K30" s="295"/>
      <c r="L30" s="295"/>
      <c r="M30" s="295"/>
      <c r="N30" s="295"/>
      <c r="O30" s="295"/>
      <c r="P30" s="295"/>
      <c r="Q30" s="295"/>
      <c r="R30" s="295"/>
      <c r="S30" s="295"/>
      <c r="T30" s="295"/>
      <c r="U30" s="295"/>
      <c r="V30" s="295"/>
      <c r="W30" s="295"/>
      <c r="X30" s="295"/>
      <c r="Y30" s="295"/>
      <c r="Z30" s="295"/>
      <c r="AA30" s="295"/>
      <c r="AB30" s="295"/>
      <c r="AC30" s="295"/>
      <c r="AD30" s="295"/>
      <c r="AE30" s="5"/>
      <c r="AF30" s="5"/>
      <c r="AG30" s="6"/>
    </row>
    <row r="31" spans="1:33" ht="12.75" customHeight="1">
      <c r="A31" s="284"/>
      <c r="B31" s="284"/>
      <c r="C31" s="313" t="s">
        <v>45</v>
      </c>
      <c r="D31" s="310"/>
      <c r="E31" s="310"/>
      <c r="F31" s="310"/>
      <c r="G31" s="310"/>
      <c r="H31" s="310"/>
      <c r="I31" s="310"/>
      <c r="J31" s="310"/>
      <c r="K31" s="310"/>
      <c r="L31" s="310"/>
      <c r="M31" s="310"/>
      <c r="N31" s="310"/>
      <c r="O31" s="310"/>
      <c r="P31" s="310"/>
      <c r="Q31" s="310"/>
      <c r="R31" s="310"/>
      <c r="S31" s="310"/>
      <c r="T31" s="310"/>
      <c r="U31" s="327">
        <v>202851.03200000001</v>
      </c>
      <c r="V31" s="327"/>
      <c r="W31" s="327"/>
      <c r="X31" s="327"/>
      <c r="Y31" s="327"/>
      <c r="Z31" s="327"/>
      <c r="AA31" s="5" t="s">
        <v>9</v>
      </c>
      <c r="AB31" s="115"/>
      <c r="AC31" s="115"/>
      <c r="AD31" s="115"/>
      <c r="AE31" s="5"/>
      <c r="AF31" s="5"/>
      <c r="AG31" s="6"/>
    </row>
    <row r="32" spans="1:33" ht="12.75" customHeight="1">
      <c r="A32" s="284"/>
      <c r="B32" s="284"/>
      <c r="C32" s="313" t="s">
        <v>172</v>
      </c>
      <c r="D32" s="310"/>
      <c r="E32" s="310"/>
      <c r="F32" s="310"/>
      <c r="G32" s="310"/>
      <c r="H32" s="310"/>
      <c r="I32" s="310"/>
      <c r="J32" s="310"/>
      <c r="K32" s="310"/>
      <c r="L32" s="310"/>
      <c r="M32" s="310"/>
      <c r="N32" s="310"/>
      <c r="O32" s="310"/>
      <c r="P32" s="310"/>
      <c r="Q32" s="310"/>
      <c r="R32" s="310"/>
      <c r="S32" s="310"/>
      <c r="T32" s="310"/>
      <c r="U32" s="318">
        <f>U31*0.25</f>
        <v>50712.758000000002</v>
      </c>
      <c r="V32" s="318"/>
      <c r="W32" s="318"/>
      <c r="X32" s="318"/>
      <c r="Y32" s="318"/>
      <c r="Z32" s="318"/>
      <c r="AA32" s="5" t="s">
        <v>9</v>
      </c>
      <c r="AB32" s="115"/>
      <c r="AC32" s="115"/>
      <c r="AD32" s="115"/>
      <c r="AE32" s="5"/>
      <c r="AF32" s="9"/>
      <c r="AG32" s="6"/>
    </row>
    <row r="33" spans="1:34" ht="12.75" customHeight="1">
      <c r="A33" s="284"/>
      <c r="B33" s="285"/>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289" t="s">
        <v>17</v>
      </c>
      <c r="AA33" s="289"/>
      <c r="AB33" s="289"/>
      <c r="AC33" s="289"/>
      <c r="AD33" s="289"/>
      <c r="AE33" s="10" t="s">
        <v>16</v>
      </c>
      <c r="AF33" s="11">
        <f>ROUND(U32,2)</f>
        <v>50712.76</v>
      </c>
      <c r="AG33" s="12" t="s">
        <v>9</v>
      </c>
      <c r="AH33" s="134">
        <f>AF33</f>
        <v>50712.76</v>
      </c>
    </row>
    <row r="34" spans="1:34" ht="155.25" customHeight="1">
      <c r="A34" s="283">
        <f>A30+1</f>
        <v>10</v>
      </c>
      <c r="B34" s="136" t="s">
        <v>84</v>
      </c>
      <c r="C34" s="294" t="s">
        <v>85</v>
      </c>
      <c r="D34" s="295"/>
      <c r="E34" s="295"/>
      <c r="F34" s="295"/>
      <c r="G34" s="295"/>
      <c r="H34" s="295"/>
      <c r="I34" s="295"/>
      <c r="J34" s="295"/>
      <c r="K34" s="295"/>
      <c r="L34" s="295"/>
      <c r="M34" s="295"/>
      <c r="N34" s="295"/>
      <c r="O34" s="295"/>
      <c r="P34" s="295"/>
      <c r="Q34" s="295"/>
      <c r="R34" s="295"/>
      <c r="S34" s="295"/>
      <c r="T34" s="295"/>
      <c r="U34" s="295"/>
      <c r="V34" s="295"/>
      <c r="W34" s="295"/>
      <c r="X34" s="295"/>
      <c r="Y34" s="295"/>
      <c r="Z34" s="295"/>
      <c r="AA34" s="295"/>
      <c r="AB34" s="295"/>
      <c r="AC34" s="295"/>
      <c r="AD34" s="295"/>
      <c r="AE34" s="5"/>
      <c r="AF34" s="5"/>
      <c r="AG34" s="6"/>
    </row>
    <row r="35" spans="1:34" ht="12.75" customHeight="1">
      <c r="A35" s="284"/>
      <c r="B35" s="35"/>
      <c r="C35" s="313" t="s">
        <v>45</v>
      </c>
      <c r="D35" s="310"/>
      <c r="E35" s="310"/>
      <c r="F35" s="310"/>
      <c r="G35" s="310"/>
      <c r="H35" s="310"/>
      <c r="I35" s="310"/>
      <c r="J35" s="310"/>
      <c r="K35" s="310"/>
      <c r="L35" s="310"/>
      <c r="M35" s="310"/>
      <c r="N35" s="310"/>
      <c r="O35" s="310"/>
      <c r="P35" s="310"/>
      <c r="Q35" s="310"/>
      <c r="R35" s="310"/>
      <c r="S35" s="310"/>
      <c r="T35" s="310"/>
      <c r="U35" s="310"/>
      <c r="V35" s="288">
        <f>U31</f>
        <v>202851.03200000001</v>
      </c>
      <c r="W35" s="288"/>
      <c r="X35" s="288"/>
      <c r="Y35" s="288"/>
      <c r="Z35" s="288"/>
      <c r="AA35" s="288"/>
      <c r="AB35" s="6" t="s">
        <v>9</v>
      </c>
      <c r="AC35" s="115"/>
      <c r="AD35" s="115"/>
      <c r="AE35" s="5"/>
      <c r="AF35" s="5"/>
      <c r="AG35" s="6"/>
    </row>
    <row r="36" spans="1:34" ht="15" customHeight="1">
      <c r="A36" s="284"/>
      <c r="B36" s="35"/>
      <c r="C36" s="313" t="s">
        <v>173</v>
      </c>
      <c r="D36" s="310"/>
      <c r="E36" s="310"/>
      <c r="F36" s="310"/>
      <c r="G36" s="310"/>
      <c r="H36" s="310"/>
      <c r="I36" s="310"/>
      <c r="J36" s="310"/>
      <c r="K36" s="310"/>
      <c r="L36" s="310"/>
      <c r="M36" s="310"/>
      <c r="N36" s="310"/>
      <c r="O36" s="310"/>
      <c r="P36" s="310"/>
      <c r="Q36" s="310"/>
      <c r="R36" s="310"/>
      <c r="S36" s="310"/>
      <c r="T36" s="310"/>
      <c r="U36" s="310"/>
      <c r="V36" s="318">
        <f>V35*0.25</f>
        <v>50712.758000000002</v>
      </c>
      <c r="W36" s="318"/>
      <c r="X36" s="318"/>
      <c r="Y36" s="318"/>
      <c r="Z36" s="318"/>
      <c r="AA36" s="318"/>
      <c r="AB36" s="6" t="s">
        <v>9</v>
      </c>
      <c r="AC36" s="115"/>
      <c r="AD36" s="115"/>
      <c r="AE36" s="5"/>
      <c r="AF36" s="9"/>
      <c r="AG36" s="6"/>
    </row>
    <row r="37" spans="1:34" ht="12.75" customHeight="1">
      <c r="A37" s="284"/>
      <c r="B37" s="48"/>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289" t="s">
        <v>17</v>
      </c>
      <c r="AA37" s="289"/>
      <c r="AB37" s="289"/>
      <c r="AC37" s="289"/>
      <c r="AD37" s="289"/>
      <c r="AE37" s="10" t="s">
        <v>16</v>
      </c>
      <c r="AF37" s="11">
        <f>ROUND(V36,2)</f>
        <v>50712.76</v>
      </c>
      <c r="AG37" s="12" t="s">
        <v>9</v>
      </c>
      <c r="AH37" s="134">
        <f>AF37</f>
        <v>50712.76</v>
      </c>
    </row>
    <row r="38" spans="1:34" s="51" customFormat="1" ht="40.5" customHeight="1">
      <c r="A38" s="319">
        <f>A34+1</f>
        <v>11</v>
      </c>
      <c r="B38" s="322" t="s">
        <v>32</v>
      </c>
      <c r="C38" s="324" t="s">
        <v>170</v>
      </c>
      <c r="D38" s="325"/>
      <c r="E38" s="325"/>
      <c r="F38" s="325"/>
      <c r="G38" s="325"/>
      <c r="H38" s="325"/>
      <c r="I38" s="325"/>
      <c r="J38" s="325"/>
      <c r="K38" s="325"/>
      <c r="L38" s="325"/>
      <c r="M38" s="325"/>
      <c r="N38" s="325"/>
      <c r="O38" s="325"/>
      <c r="P38" s="325"/>
      <c r="Q38" s="325"/>
      <c r="R38" s="325"/>
      <c r="S38" s="325"/>
      <c r="T38" s="325"/>
      <c r="U38" s="325"/>
      <c r="V38" s="325"/>
      <c r="W38" s="325"/>
      <c r="X38" s="325"/>
      <c r="Y38" s="325"/>
      <c r="Z38" s="325"/>
      <c r="AA38" s="325"/>
      <c r="AB38" s="325"/>
      <c r="AC38" s="325"/>
      <c r="AD38" s="325"/>
      <c r="AE38" s="49"/>
      <c r="AF38" s="49"/>
      <c r="AG38" s="50"/>
      <c r="AH38" s="49"/>
    </row>
    <row r="39" spans="1:34" s="51" customFormat="1" ht="14.25" customHeight="1">
      <c r="A39" s="320"/>
      <c r="B39" s="323"/>
      <c r="C39" s="52" t="s">
        <v>103</v>
      </c>
      <c r="D39" s="53"/>
      <c r="E39" s="54"/>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49"/>
      <c r="AF39" s="49"/>
      <c r="AG39" s="50"/>
      <c r="AH39" s="49"/>
    </row>
    <row r="40" spans="1:34" ht="12.75" customHeight="1">
      <c r="A40" s="320"/>
      <c r="B40" s="56"/>
      <c r="C40" s="313" t="s">
        <v>45</v>
      </c>
      <c r="D40" s="310"/>
      <c r="E40" s="310"/>
      <c r="F40" s="310"/>
      <c r="G40" s="310"/>
      <c r="H40" s="310"/>
      <c r="I40" s="310"/>
      <c r="J40" s="310"/>
      <c r="K40" s="310"/>
      <c r="L40" s="310"/>
      <c r="M40" s="310"/>
      <c r="N40" s="310"/>
      <c r="O40" s="310"/>
      <c r="P40" s="310"/>
      <c r="Q40" s="310"/>
      <c r="R40" s="310"/>
      <c r="S40" s="310"/>
      <c r="T40" s="310"/>
      <c r="U40" s="310"/>
      <c r="V40" s="288">
        <f>V35</f>
        <v>202851.03200000001</v>
      </c>
      <c r="W40" s="288"/>
      <c r="X40" s="288"/>
      <c r="Y40" s="288"/>
      <c r="Z40" s="288"/>
      <c r="AA40" s="288"/>
      <c r="AB40" s="6" t="s">
        <v>9</v>
      </c>
      <c r="AC40" s="115"/>
      <c r="AD40" s="115"/>
      <c r="AE40" s="5"/>
      <c r="AF40" s="5"/>
      <c r="AG40" s="6"/>
    </row>
    <row r="41" spans="1:34" ht="15" customHeight="1">
      <c r="A41" s="320"/>
      <c r="B41" s="56"/>
      <c r="C41" s="313" t="s">
        <v>173</v>
      </c>
      <c r="D41" s="310"/>
      <c r="E41" s="310"/>
      <c r="F41" s="310"/>
      <c r="G41" s="310"/>
      <c r="H41" s="310"/>
      <c r="I41" s="310"/>
      <c r="J41" s="310"/>
      <c r="K41" s="310"/>
      <c r="L41" s="310"/>
      <c r="M41" s="310"/>
      <c r="N41" s="310"/>
      <c r="O41" s="310"/>
      <c r="P41" s="310"/>
      <c r="Q41" s="310"/>
      <c r="R41" s="310"/>
      <c r="S41" s="310"/>
      <c r="T41" s="310"/>
      <c r="U41" s="310"/>
      <c r="V41" s="318">
        <f>V40*0.25</f>
        <v>50712.758000000002</v>
      </c>
      <c r="W41" s="318"/>
      <c r="X41" s="318"/>
      <c r="Y41" s="318"/>
      <c r="Z41" s="318"/>
      <c r="AA41" s="318"/>
      <c r="AB41" s="6" t="s">
        <v>9</v>
      </c>
      <c r="AC41" s="115"/>
      <c r="AD41" s="115"/>
      <c r="AE41" s="5"/>
      <c r="AF41" s="9"/>
      <c r="AG41" s="6"/>
    </row>
    <row r="42" spans="1:34" ht="15.75" customHeight="1">
      <c r="A42" s="320"/>
      <c r="B42" s="56"/>
      <c r="C42" s="313" t="s">
        <v>176</v>
      </c>
      <c r="D42" s="310"/>
      <c r="E42" s="310"/>
      <c r="F42" s="310"/>
      <c r="G42" s="310"/>
      <c r="H42" s="310"/>
      <c r="I42" s="310"/>
      <c r="J42" s="310"/>
      <c r="K42" s="310"/>
      <c r="L42" s="310"/>
      <c r="M42" s="310"/>
      <c r="N42" s="310"/>
      <c r="O42" s="310"/>
      <c r="P42" s="310"/>
      <c r="Q42" s="310"/>
      <c r="R42" s="310"/>
      <c r="S42" s="310"/>
      <c r="T42" s="310"/>
      <c r="U42" s="310"/>
      <c r="V42" s="318">
        <f>V41*1</f>
        <v>50712.758000000002</v>
      </c>
      <c r="W42" s="318"/>
      <c r="X42" s="318"/>
      <c r="Y42" s="318"/>
      <c r="Z42" s="318"/>
      <c r="AA42" s="318"/>
      <c r="AB42" s="6" t="s">
        <v>9</v>
      </c>
      <c r="AC42" s="115"/>
      <c r="AD42" s="115"/>
      <c r="AE42" s="5"/>
      <c r="AF42" s="9"/>
      <c r="AG42" s="6"/>
    </row>
    <row r="43" spans="1:34" ht="15.75" customHeight="1">
      <c r="A43" s="320"/>
      <c r="B43" s="56"/>
      <c r="C43" s="116"/>
      <c r="D43" s="117"/>
      <c r="E43" s="117"/>
      <c r="F43" s="117"/>
      <c r="G43" s="117"/>
      <c r="H43" s="117"/>
      <c r="I43" s="117"/>
      <c r="J43" s="117"/>
      <c r="K43" s="117"/>
      <c r="L43" s="117"/>
      <c r="M43" s="117"/>
      <c r="N43" s="117"/>
      <c r="O43" s="117"/>
      <c r="P43" s="117"/>
      <c r="Q43" s="117"/>
      <c r="R43" s="117"/>
      <c r="S43" s="117"/>
      <c r="T43" s="117"/>
      <c r="U43" s="117"/>
      <c r="V43" s="118"/>
      <c r="W43" s="118"/>
      <c r="X43" s="118"/>
      <c r="Y43" s="118"/>
      <c r="Z43" s="118"/>
      <c r="AA43" s="118"/>
      <c r="AB43" s="5"/>
      <c r="AC43" s="115"/>
      <c r="AD43" s="115"/>
      <c r="AE43" s="5"/>
      <c r="AF43" s="9"/>
      <c r="AG43" s="6"/>
    </row>
    <row r="44" spans="1:34" ht="15.75" customHeight="1">
      <c r="A44" s="320"/>
      <c r="B44" s="56"/>
      <c r="C44" s="116"/>
      <c r="D44" s="117"/>
      <c r="E44" s="117"/>
      <c r="F44" s="117"/>
      <c r="G44" s="117"/>
      <c r="H44" s="117"/>
      <c r="I44" s="117"/>
      <c r="J44" s="117"/>
      <c r="K44" s="117"/>
      <c r="L44" s="117"/>
      <c r="M44" s="117"/>
      <c r="N44" s="117"/>
      <c r="O44" s="117"/>
      <c r="P44" s="117"/>
      <c r="Q44" s="117"/>
      <c r="R44" s="117"/>
      <c r="S44" s="117"/>
      <c r="T44" s="117"/>
      <c r="U44" s="117"/>
      <c r="V44" s="118"/>
      <c r="W44" s="118"/>
      <c r="X44" s="118"/>
      <c r="Y44" s="118"/>
      <c r="Z44" s="118"/>
      <c r="AA44" s="118"/>
      <c r="AB44" s="5"/>
      <c r="AC44" s="115"/>
      <c r="AD44" s="115"/>
      <c r="AE44" s="5"/>
      <c r="AF44" s="9"/>
      <c r="AG44" s="6"/>
    </row>
    <row r="45" spans="1:34" ht="15" customHeight="1">
      <c r="A45" s="320"/>
      <c r="B45" s="56"/>
      <c r="C45" s="116"/>
      <c r="D45" s="117"/>
      <c r="E45" s="117"/>
      <c r="F45" s="117"/>
      <c r="G45" s="117"/>
      <c r="H45" s="117"/>
      <c r="I45" s="117"/>
      <c r="J45" s="117"/>
      <c r="K45" s="117"/>
      <c r="L45" s="117"/>
      <c r="M45" s="117"/>
      <c r="N45" s="117"/>
      <c r="O45" s="117"/>
      <c r="P45" s="117"/>
      <c r="Q45" s="117"/>
      <c r="R45" s="117"/>
      <c r="S45" s="117"/>
      <c r="T45" s="117"/>
      <c r="U45" s="117"/>
      <c r="V45" s="118"/>
      <c r="W45" s="118"/>
      <c r="X45" s="118"/>
      <c r="Y45" s="118"/>
      <c r="Z45" s="118"/>
      <c r="AA45" s="118"/>
      <c r="AB45" s="5"/>
      <c r="AC45" s="115"/>
      <c r="AD45" s="115"/>
      <c r="AE45" s="5"/>
      <c r="AF45" s="9"/>
      <c r="AG45" s="6"/>
    </row>
    <row r="46" spans="1:34" ht="15.75" customHeight="1">
      <c r="A46" s="320"/>
      <c r="B46" s="56"/>
      <c r="C46" s="116"/>
      <c r="D46" s="117"/>
      <c r="E46" s="117"/>
      <c r="F46" s="117"/>
      <c r="G46" s="117"/>
      <c r="H46" s="117"/>
      <c r="I46" s="117"/>
      <c r="J46" s="117"/>
      <c r="K46" s="117"/>
      <c r="L46" s="117"/>
      <c r="M46" s="117"/>
      <c r="N46" s="117"/>
      <c r="O46" s="117"/>
      <c r="P46" s="117"/>
      <c r="Q46" s="117"/>
      <c r="R46" s="117"/>
      <c r="S46" s="117"/>
      <c r="T46" s="117"/>
      <c r="U46" s="117"/>
      <c r="V46" s="118"/>
      <c r="W46" s="118"/>
      <c r="X46" s="118"/>
      <c r="Y46" s="118"/>
      <c r="Z46" s="118"/>
      <c r="AA46" s="118"/>
      <c r="AB46" s="5"/>
      <c r="AC46" s="115"/>
      <c r="AD46" s="115"/>
      <c r="AE46" s="5"/>
      <c r="AF46" s="9"/>
      <c r="AG46" s="6"/>
    </row>
    <row r="47" spans="1:34" s="51" customFormat="1" ht="15" customHeight="1">
      <c r="A47" s="321"/>
      <c r="B47" s="57"/>
      <c r="C47" s="58"/>
      <c r="D47" s="59"/>
      <c r="E47" s="60"/>
      <c r="F47" s="61"/>
      <c r="G47" s="61"/>
      <c r="H47" s="61"/>
      <c r="I47" s="61"/>
      <c r="J47" s="61"/>
      <c r="K47" s="61"/>
      <c r="L47" s="61"/>
      <c r="M47" s="61"/>
      <c r="N47" s="61"/>
      <c r="O47" s="61"/>
      <c r="P47" s="61"/>
      <c r="Q47" s="61"/>
      <c r="R47" s="61"/>
      <c r="S47" s="61"/>
      <c r="T47" s="61"/>
      <c r="U47" s="61"/>
      <c r="V47" s="61"/>
      <c r="W47" s="61"/>
      <c r="X47" s="61"/>
      <c r="Y47" s="61"/>
      <c r="Z47" s="326" t="s">
        <v>17</v>
      </c>
      <c r="AA47" s="326"/>
      <c r="AB47" s="326"/>
      <c r="AC47" s="326"/>
      <c r="AD47" s="326"/>
      <c r="AE47" s="62" t="s">
        <v>16</v>
      </c>
      <c r="AF47" s="63">
        <f>ROUND(V42,2)</f>
        <v>50712.76</v>
      </c>
      <c r="AG47" s="13" t="s">
        <v>9</v>
      </c>
      <c r="AH47" s="49"/>
    </row>
    <row r="48" spans="1:34" ht="156.75" customHeight="1">
      <c r="A48" s="283">
        <f>A38+1</f>
        <v>12</v>
      </c>
      <c r="B48" s="315" t="s">
        <v>86</v>
      </c>
      <c r="C48" s="294" t="s">
        <v>87</v>
      </c>
      <c r="D48" s="295"/>
      <c r="E48" s="295"/>
      <c r="F48" s="295"/>
      <c r="G48" s="295"/>
      <c r="H48" s="295"/>
      <c r="I48" s="295"/>
      <c r="J48" s="295"/>
      <c r="K48" s="295"/>
      <c r="L48" s="295"/>
      <c r="M48" s="295"/>
      <c r="N48" s="295"/>
      <c r="O48" s="295"/>
      <c r="P48" s="295"/>
      <c r="Q48" s="295"/>
      <c r="R48" s="295"/>
      <c r="S48" s="295"/>
      <c r="T48" s="295"/>
      <c r="U48" s="295"/>
      <c r="V48" s="295"/>
      <c r="W48" s="295"/>
      <c r="X48" s="295"/>
      <c r="Y48" s="295"/>
      <c r="Z48" s="295"/>
      <c r="AA48" s="295"/>
      <c r="AB48" s="295"/>
      <c r="AC48" s="295"/>
      <c r="AD48" s="295"/>
      <c r="AE48" s="3"/>
      <c r="AF48" s="3"/>
      <c r="AG48" s="4"/>
    </row>
    <row r="49" spans="1:51" ht="17.25" customHeight="1">
      <c r="A49" s="284"/>
      <c r="B49" s="316"/>
      <c r="C49" s="313" t="s">
        <v>45</v>
      </c>
      <c r="D49" s="310"/>
      <c r="E49" s="310"/>
      <c r="F49" s="310"/>
      <c r="G49" s="310"/>
      <c r="H49" s="310"/>
      <c r="I49" s="310"/>
      <c r="J49" s="310"/>
      <c r="K49" s="310"/>
      <c r="L49" s="310"/>
      <c r="M49" s="310"/>
      <c r="N49" s="310"/>
      <c r="O49" s="310"/>
      <c r="P49" s="310"/>
      <c r="Q49" s="310"/>
      <c r="R49" s="310"/>
      <c r="S49" s="310"/>
      <c r="T49" s="310"/>
      <c r="U49" s="310"/>
      <c r="V49" s="288">
        <f>V40</f>
        <v>202851.03200000001</v>
      </c>
      <c r="W49" s="288"/>
      <c r="X49" s="288"/>
      <c r="Y49" s="288"/>
      <c r="Z49" s="288"/>
      <c r="AA49" s="288"/>
      <c r="AB49" s="6" t="s">
        <v>9</v>
      </c>
      <c r="AC49" s="115"/>
      <c r="AD49" s="115"/>
      <c r="AE49" s="5"/>
      <c r="AF49" s="5"/>
      <c r="AG49" s="6"/>
    </row>
    <row r="50" spans="1:51" ht="27" customHeight="1">
      <c r="A50" s="284"/>
      <c r="B50" s="316"/>
      <c r="C50" s="313" t="s">
        <v>174</v>
      </c>
      <c r="D50" s="310"/>
      <c r="E50" s="310"/>
      <c r="F50" s="310"/>
      <c r="G50" s="310"/>
      <c r="H50" s="310"/>
      <c r="I50" s="310"/>
      <c r="J50" s="310"/>
      <c r="K50" s="310"/>
      <c r="L50" s="310"/>
      <c r="M50" s="310"/>
      <c r="N50" s="310"/>
      <c r="O50" s="310"/>
      <c r="P50" s="310"/>
      <c r="Q50" s="310"/>
      <c r="R50" s="310"/>
      <c r="S50" s="310"/>
      <c r="T50" s="310"/>
      <c r="U50" s="310"/>
      <c r="V50" s="318">
        <f>V49*0.5</f>
        <v>101425.516</v>
      </c>
      <c r="W50" s="318"/>
      <c r="X50" s="318"/>
      <c r="Y50" s="318"/>
      <c r="Z50" s="318"/>
      <c r="AA50" s="318"/>
      <c r="AB50" s="6" t="s">
        <v>9</v>
      </c>
      <c r="AC50" s="115"/>
      <c r="AD50" s="115"/>
      <c r="AE50" s="5"/>
      <c r="AF50" s="9"/>
      <c r="AG50" s="6"/>
    </row>
    <row r="51" spans="1:51" ht="12.75" customHeight="1">
      <c r="A51" s="284"/>
      <c r="B51" s="317"/>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289" t="s">
        <v>17</v>
      </c>
      <c r="AA51" s="289"/>
      <c r="AB51" s="289"/>
      <c r="AC51" s="289"/>
      <c r="AD51" s="289"/>
      <c r="AE51" s="10" t="s">
        <v>16</v>
      </c>
      <c r="AF51" s="11">
        <f>ROUND(V50,2)</f>
        <v>101425.52</v>
      </c>
      <c r="AG51" s="12" t="s">
        <v>9</v>
      </c>
      <c r="AH51" s="134">
        <f>AF51</f>
        <v>101425.52</v>
      </c>
      <c r="AI51" s="138">
        <f>AH51+AH37+AH33-U31</f>
        <v>8.0000000016298145E-3</v>
      </c>
    </row>
    <row r="52" spans="1:51" s="68" customFormat="1" ht="40.5" customHeight="1">
      <c r="A52" s="64">
        <f>A48+1</f>
        <v>13</v>
      </c>
      <c r="B52" s="65" t="s">
        <v>43</v>
      </c>
      <c r="C52" s="294" t="s">
        <v>44</v>
      </c>
      <c r="D52" s="295"/>
      <c r="E52" s="295"/>
      <c r="F52" s="295"/>
      <c r="G52" s="295"/>
      <c r="H52" s="295"/>
      <c r="I52" s="295"/>
      <c r="J52" s="295"/>
      <c r="K52" s="295"/>
      <c r="L52" s="295"/>
      <c r="M52" s="295"/>
      <c r="N52" s="295"/>
      <c r="O52" s="295"/>
      <c r="P52" s="295"/>
      <c r="Q52" s="295"/>
      <c r="R52" s="295"/>
      <c r="S52" s="295"/>
      <c r="T52" s="295"/>
      <c r="U52" s="295"/>
      <c r="V52" s="295"/>
      <c r="W52" s="295"/>
      <c r="X52" s="295"/>
      <c r="Y52" s="295"/>
      <c r="Z52" s="295"/>
      <c r="AA52" s="295"/>
      <c r="AB52" s="295"/>
      <c r="AC52" s="295"/>
      <c r="AD52" s="295"/>
      <c r="AE52" s="66"/>
      <c r="AF52" s="66"/>
      <c r="AG52" s="67"/>
      <c r="AH52" s="66"/>
      <c r="AI52" s="66"/>
      <c r="AJ52" s="66"/>
      <c r="AK52" s="66"/>
      <c r="AL52" s="66"/>
      <c r="AM52" s="66"/>
      <c r="AN52" s="66"/>
      <c r="AO52" s="66"/>
      <c r="AP52" s="66"/>
      <c r="AQ52" s="66"/>
      <c r="AR52" s="67"/>
      <c r="AU52" s="51"/>
      <c r="AV52" s="69"/>
      <c r="AW52" s="51"/>
    </row>
    <row r="53" spans="1:51" ht="12.75" customHeight="1">
      <c r="A53" s="70"/>
      <c r="B53" s="56"/>
      <c r="C53" s="313" t="s">
        <v>45</v>
      </c>
      <c r="D53" s="310"/>
      <c r="E53" s="310"/>
      <c r="F53" s="310"/>
      <c r="G53" s="310"/>
      <c r="H53" s="310"/>
      <c r="I53" s="310"/>
      <c r="J53" s="310"/>
      <c r="K53" s="310"/>
      <c r="L53" s="310"/>
      <c r="M53" s="310"/>
      <c r="N53" s="310"/>
      <c r="O53" s="310"/>
      <c r="P53" s="310"/>
      <c r="Q53" s="310"/>
      <c r="R53" s="310"/>
      <c r="S53" s="310"/>
      <c r="T53" s="310"/>
      <c r="U53" s="310"/>
      <c r="V53" s="288">
        <f>V49</f>
        <v>202851.03200000001</v>
      </c>
      <c r="W53" s="288"/>
      <c r="X53" s="288"/>
      <c r="Y53" s="288"/>
      <c r="Z53" s="288"/>
      <c r="AA53" s="288"/>
      <c r="AB53" s="6" t="s">
        <v>9</v>
      </c>
      <c r="AC53" s="115"/>
      <c r="AD53" s="115"/>
      <c r="AE53" s="5"/>
      <c r="AF53" s="5"/>
      <c r="AG53" s="6"/>
    </row>
    <row r="54" spans="1:51" ht="15" customHeight="1">
      <c r="A54" s="70"/>
      <c r="B54" s="56"/>
      <c r="C54" s="313" t="s">
        <v>175</v>
      </c>
      <c r="D54" s="310"/>
      <c r="E54" s="310"/>
      <c r="F54" s="310"/>
      <c r="G54" s="310"/>
      <c r="H54" s="310"/>
      <c r="I54" s="310"/>
      <c r="J54" s="310"/>
      <c r="K54" s="310"/>
      <c r="L54" s="310"/>
      <c r="M54" s="310"/>
      <c r="N54" s="310"/>
      <c r="O54" s="310"/>
      <c r="P54" s="310"/>
      <c r="Q54" s="310"/>
      <c r="R54" s="310"/>
      <c r="S54" s="310"/>
      <c r="T54" s="310"/>
      <c r="U54" s="310"/>
      <c r="V54" s="314">
        <f>V53*0.75</f>
        <v>152138.274</v>
      </c>
      <c r="W54" s="314"/>
      <c r="X54" s="314"/>
      <c r="Y54" s="314"/>
      <c r="Z54" s="314"/>
      <c r="AA54" s="314"/>
      <c r="AB54" s="6" t="s">
        <v>9</v>
      </c>
      <c r="AC54" s="115"/>
      <c r="AD54" s="115"/>
      <c r="AE54" s="5"/>
      <c r="AF54" s="9"/>
      <c r="AG54" s="6"/>
    </row>
    <row r="55" spans="1:51" ht="13.5" customHeight="1">
      <c r="A55" s="70"/>
      <c r="B55" s="56"/>
      <c r="C55" s="313" t="s">
        <v>46</v>
      </c>
      <c r="D55" s="310"/>
      <c r="E55" s="310"/>
      <c r="F55" s="310"/>
      <c r="G55" s="310"/>
      <c r="H55" s="310"/>
      <c r="I55" s="310"/>
      <c r="J55" s="310"/>
      <c r="K55" s="310"/>
      <c r="L55" s="310"/>
      <c r="M55" s="310"/>
      <c r="N55" s="310"/>
      <c r="O55" s="310"/>
      <c r="P55" s="310"/>
      <c r="Q55" s="310"/>
      <c r="R55" s="310"/>
      <c r="S55" s="310"/>
      <c r="T55" s="310"/>
      <c r="U55" s="310"/>
      <c r="V55" s="314">
        <f>V54</f>
        <v>152138.274</v>
      </c>
      <c r="W55" s="314"/>
      <c r="X55" s="314"/>
      <c r="Y55" s="314"/>
      <c r="Z55" s="314"/>
      <c r="AA55" s="314"/>
      <c r="AB55" s="6" t="s">
        <v>9</v>
      </c>
      <c r="AC55" s="115"/>
      <c r="AD55" s="115"/>
      <c r="AE55" s="5"/>
      <c r="AF55" s="9"/>
      <c r="AG55" s="6"/>
    </row>
    <row r="56" spans="1:51" ht="12.75" customHeight="1">
      <c r="A56" s="80"/>
      <c r="B56" s="57"/>
      <c r="C56" s="114"/>
      <c r="D56" s="114"/>
      <c r="E56" s="114"/>
      <c r="F56" s="114"/>
      <c r="G56" s="114"/>
      <c r="H56" s="114"/>
      <c r="I56" s="114"/>
      <c r="J56" s="114"/>
      <c r="K56" s="114"/>
      <c r="L56" s="114"/>
      <c r="M56" s="114"/>
      <c r="N56" s="114"/>
      <c r="O56" s="114"/>
      <c r="P56" s="114"/>
      <c r="Q56" s="114"/>
      <c r="R56" s="114"/>
      <c r="S56" s="114"/>
      <c r="T56" s="114"/>
      <c r="U56" s="114"/>
      <c r="V56" s="114"/>
      <c r="W56" s="114"/>
      <c r="X56" s="114"/>
      <c r="Y56" s="114"/>
      <c r="Z56" s="289" t="s">
        <v>17</v>
      </c>
      <c r="AA56" s="289"/>
      <c r="AB56" s="289"/>
      <c r="AC56" s="289"/>
      <c r="AD56" s="289"/>
      <c r="AE56" s="10" t="s">
        <v>16</v>
      </c>
      <c r="AF56" s="11">
        <f>ROUND(V55,2)</f>
        <v>152138.26999999999</v>
      </c>
      <c r="AG56" s="12" t="s">
        <v>9</v>
      </c>
    </row>
    <row r="57" spans="1:51" s="68" customFormat="1" ht="55.5" customHeight="1">
      <c r="A57" s="64">
        <f>A52+1</f>
        <v>14</v>
      </c>
      <c r="B57" s="71" t="s">
        <v>28</v>
      </c>
      <c r="C57" s="294" t="s">
        <v>29</v>
      </c>
      <c r="D57" s="295"/>
      <c r="E57" s="295"/>
      <c r="F57" s="295"/>
      <c r="G57" s="295"/>
      <c r="H57" s="295"/>
      <c r="I57" s="295"/>
      <c r="J57" s="295"/>
      <c r="K57" s="295"/>
      <c r="L57" s="295"/>
      <c r="M57" s="295"/>
      <c r="N57" s="295"/>
      <c r="O57" s="295"/>
      <c r="P57" s="295"/>
      <c r="Q57" s="295"/>
      <c r="R57" s="295"/>
      <c r="S57" s="295"/>
      <c r="T57" s="295"/>
      <c r="U57" s="295"/>
      <c r="V57" s="295"/>
      <c r="W57" s="295"/>
      <c r="X57" s="295"/>
      <c r="Y57" s="295"/>
      <c r="Z57" s="295"/>
      <c r="AA57" s="295"/>
      <c r="AB57" s="295"/>
      <c r="AC57" s="295"/>
      <c r="AD57" s="295"/>
      <c r="AE57" s="126"/>
      <c r="AF57" s="126"/>
      <c r="AG57" s="127"/>
      <c r="AH57" s="126"/>
      <c r="AI57" s="126"/>
      <c r="AJ57" s="126"/>
      <c r="AK57" s="126"/>
      <c r="AL57" s="126"/>
      <c r="AM57" s="126"/>
      <c r="AN57" s="126"/>
      <c r="AO57" s="126"/>
      <c r="AP57" s="126"/>
      <c r="AQ57" s="126"/>
      <c r="AR57" s="126"/>
      <c r="AU57" s="49"/>
      <c r="AV57" s="72"/>
      <c r="AW57" s="49"/>
      <c r="AX57" s="73"/>
      <c r="AY57" s="73"/>
    </row>
    <row r="58" spans="1:51" s="68" customFormat="1" ht="13.5" customHeight="1">
      <c r="A58" s="70"/>
      <c r="B58" s="74"/>
      <c r="C58" s="47" t="s">
        <v>52</v>
      </c>
      <c r="D58" s="108"/>
      <c r="E58" s="108"/>
      <c r="F58" s="108"/>
      <c r="G58" s="108"/>
      <c r="H58" s="108"/>
      <c r="I58" s="73"/>
      <c r="J58" s="73"/>
      <c r="K58" s="73"/>
      <c r="L58" s="73"/>
      <c r="M58" s="73"/>
      <c r="N58" s="73"/>
      <c r="O58" s="73"/>
      <c r="P58" s="108" t="s">
        <v>16</v>
      </c>
      <c r="Q58" s="288">
        <f>O12</f>
        <v>13170</v>
      </c>
      <c r="R58" s="287"/>
      <c r="S58" s="287"/>
      <c r="T58" s="287"/>
      <c r="U58" s="287"/>
      <c r="V58" s="287"/>
      <c r="W58" s="108"/>
      <c r="X58" s="108"/>
      <c r="Y58" s="108"/>
      <c r="Z58" s="108"/>
      <c r="AA58" s="108"/>
      <c r="AB58" s="108"/>
      <c r="AC58" s="108"/>
      <c r="AD58" s="108"/>
      <c r="AE58" s="108"/>
      <c r="AF58" s="108"/>
      <c r="AG58" s="125"/>
      <c r="AH58" s="45"/>
      <c r="AI58" s="45"/>
      <c r="AJ58" s="45"/>
      <c r="AK58" s="45"/>
      <c r="AL58" s="45"/>
      <c r="AM58" s="45"/>
      <c r="AN58" s="45"/>
      <c r="AO58" s="45"/>
      <c r="AP58" s="45"/>
      <c r="AQ58" s="45"/>
      <c r="AR58" s="45"/>
      <c r="AU58" s="49"/>
      <c r="AV58" s="72"/>
      <c r="AW58" s="49"/>
      <c r="AX58" s="73"/>
      <c r="AY58" s="73"/>
    </row>
    <row r="59" spans="1:51" s="68" customFormat="1" ht="13.5" customHeight="1">
      <c r="A59" s="70"/>
      <c r="B59" s="74"/>
      <c r="C59" s="47" t="s">
        <v>53</v>
      </c>
      <c r="D59" s="108"/>
      <c r="E59" s="108"/>
      <c r="F59" s="108"/>
      <c r="G59" s="108"/>
      <c r="H59" s="108"/>
      <c r="I59" s="73"/>
      <c r="J59" s="73"/>
      <c r="K59" s="73"/>
      <c r="L59" s="73"/>
      <c r="M59" s="73"/>
      <c r="N59" s="73"/>
      <c r="O59" s="73"/>
      <c r="P59" s="108" t="s">
        <v>16</v>
      </c>
      <c r="Q59" s="288">
        <v>25</v>
      </c>
      <c r="R59" s="287"/>
      <c r="S59" s="287"/>
      <c r="T59" s="287"/>
      <c r="U59" s="111"/>
      <c r="V59" s="111"/>
      <c r="W59" s="108"/>
      <c r="X59" s="108"/>
      <c r="Y59" s="108"/>
      <c r="Z59" s="108"/>
      <c r="AA59" s="108"/>
      <c r="AB59" s="108"/>
      <c r="AC59" s="108"/>
      <c r="AD59" s="108"/>
      <c r="AE59" s="108"/>
      <c r="AF59" s="108"/>
      <c r="AG59" s="125"/>
      <c r="AH59" s="45"/>
      <c r="AI59" s="45"/>
      <c r="AJ59" s="45"/>
      <c r="AK59" s="45"/>
      <c r="AL59" s="45"/>
      <c r="AM59" s="45"/>
      <c r="AN59" s="45"/>
      <c r="AO59" s="45"/>
      <c r="AP59" s="45"/>
      <c r="AQ59" s="45"/>
      <c r="AR59" s="45"/>
      <c r="AU59" s="49"/>
      <c r="AV59" s="72"/>
      <c r="AW59" s="49"/>
      <c r="AX59" s="73"/>
      <c r="AY59" s="73"/>
    </row>
    <row r="60" spans="1:51" s="68" customFormat="1" ht="14.25" customHeight="1">
      <c r="A60" s="70"/>
      <c r="B60" s="74"/>
      <c r="C60" s="47" t="s">
        <v>54</v>
      </c>
      <c r="D60" s="108"/>
      <c r="E60" s="108"/>
      <c r="F60" s="108"/>
      <c r="G60" s="108"/>
      <c r="H60" s="108"/>
      <c r="I60" s="73"/>
      <c r="J60" s="73"/>
      <c r="K60" s="73"/>
      <c r="L60" s="73"/>
      <c r="M60" s="73"/>
      <c r="N60" s="73"/>
      <c r="O60" s="73"/>
      <c r="P60" s="108" t="s">
        <v>16</v>
      </c>
      <c r="Q60" s="288">
        <f>Q58</f>
        <v>13170</v>
      </c>
      <c r="R60" s="288"/>
      <c r="S60" s="288"/>
      <c r="T60" s="288"/>
      <c r="U60" s="111" t="s">
        <v>20</v>
      </c>
      <c r="V60" s="288">
        <f>4.3+7.1*2</f>
        <v>18.5</v>
      </c>
      <c r="W60" s="288"/>
      <c r="X60" s="288"/>
      <c r="Y60" s="108" t="s">
        <v>16</v>
      </c>
      <c r="Z60" s="288">
        <f>Q60*V60</f>
        <v>243645</v>
      </c>
      <c r="AA60" s="288"/>
      <c r="AB60" s="288"/>
      <c r="AC60" s="287" t="s">
        <v>21</v>
      </c>
      <c r="AD60" s="287"/>
      <c r="AE60" s="287"/>
      <c r="AF60" s="108"/>
      <c r="AG60" s="125"/>
      <c r="AH60" s="45"/>
      <c r="AI60" s="45"/>
      <c r="AJ60" s="45"/>
      <c r="AK60" s="45"/>
      <c r="AL60" s="45"/>
      <c r="AM60" s="45"/>
      <c r="AN60" s="45"/>
      <c r="AO60" s="45"/>
      <c r="AP60" s="45"/>
      <c r="AQ60" s="45"/>
      <c r="AR60" s="45"/>
      <c r="AU60" s="49"/>
      <c r="AV60" s="72"/>
      <c r="AW60" s="49"/>
      <c r="AX60" s="73"/>
      <c r="AY60" s="73"/>
    </row>
    <row r="61" spans="1:51" s="68" customFormat="1" ht="14.25" customHeight="1">
      <c r="A61" s="70"/>
      <c r="B61" s="74"/>
      <c r="C61" s="47" t="s">
        <v>88</v>
      </c>
      <c r="D61" s="108"/>
      <c r="E61" s="108"/>
      <c r="F61" s="108"/>
      <c r="G61" s="108"/>
      <c r="H61" s="108"/>
      <c r="I61" s="73"/>
      <c r="J61" s="73"/>
      <c r="K61" s="73"/>
      <c r="L61" s="73"/>
      <c r="M61" s="73"/>
      <c r="N61" s="73"/>
      <c r="O61" s="73"/>
      <c r="P61" s="108" t="s">
        <v>16</v>
      </c>
      <c r="Q61" s="288">
        <v>80</v>
      </c>
      <c r="R61" s="288"/>
      <c r="S61" s="288"/>
      <c r="T61" s="288"/>
      <c r="U61" s="111" t="s">
        <v>20</v>
      </c>
      <c r="V61" s="288">
        <v>18</v>
      </c>
      <c r="W61" s="288"/>
      <c r="X61" s="288"/>
      <c r="Y61" s="108" t="s">
        <v>16</v>
      </c>
      <c r="Z61" s="288">
        <f>Q61*V61</f>
        <v>1440</v>
      </c>
      <c r="AA61" s="288"/>
      <c r="AB61" s="288"/>
      <c r="AC61" s="287" t="s">
        <v>21</v>
      </c>
      <c r="AD61" s="287"/>
      <c r="AE61" s="287"/>
      <c r="AF61" s="108"/>
      <c r="AG61" s="125"/>
      <c r="AH61" s="45"/>
      <c r="AI61" s="45"/>
      <c r="AJ61" s="45"/>
      <c r="AK61" s="45"/>
      <c r="AL61" s="45"/>
      <c r="AM61" s="45"/>
      <c r="AN61" s="45"/>
      <c r="AO61" s="45"/>
      <c r="AP61" s="45"/>
      <c r="AQ61" s="45"/>
      <c r="AR61" s="45"/>
      <c r="AU61" s="49"/>
      <c r="AV61" s="72"/>
      <c r="AW61" s="49"/>
      <c r="AX61" s="73"/>
      <c r="AY61" s="73"/>
    </row>
    <row r="62" spans="1:51" s="68" customFormat="1" ht="14.25" customHeight="1">
      <c r="A62" s="70"/>
      <c r="B62" s="74"/>
      <c r="C62" s="47" t="s">
        <v>89</v>
      </c>
      <c r="D62" s="108"/>
      <c r="E62" s="108"/>
      <c r="F62" s="108"/>
      <c r="G62" s="108"/>
      <c r="H62" s="108"/>
      <c r="I62" s="73"/>
      <c r="J62" s="73"/>
      <c r="K62" s="73"/>
      <c r="L62" s="73"/>
      <c r="M62" s="73"/>
      <c r="N62" s="73"/>
      <c r="O62" s="73"/>
      <c r="P62" s="108" t="s">
        <v>16</v>
      </c>
      <c r="Q62" s="288">
        <f>Q59</f>
        <v>25</v>
      </c>
      <c r="R62" s="288"/>
      <c r="S62" s="288"/>
      <c r="T62" s="288"/>
      <c r="U62" s="111" t="s">
        <v>20</v>
      </c>
      <c r="V62" s="288">
        <f>V60</f>
        <v>18.5</v>
      </c>
      <c r="W62" s="288"/>
      <c r="X62" s="288"/>
      <c r="Y62" s="108" t="s">
        <v>16</v>
      </c>
      <c r="Z62" s="288">
        <f>-Q62*V62</f>
        <v>-462.5</v>
      </c>
      <c r="AA62" s="288"/>
      <c r="AB62" s="288"/>
      <c r="AC62" s="287" t="s">
        <v>21</v>
      </c>
      <c r="AD62" s="287"/>
      <c r="AE62" s="287"/>
      <c r="AF62" s="108"/>
      <c r="AG62" s="125"/>
      <c r="AH62" s="45"/>
      <c r="AI62" s="45"/>
      <c r="AJ62" s="45"/>
      <c r="AK62" s="45"/>
      <c r="AL62" s="45"/>
      <c r="AM62" s="45"/>
      <c r="AN62" s="45"/>
      <c r="AO62" s="45"/>
      <c r="AP62" s="45"/>
      <c r="AQ62" s="45"/>
      <c r="AR62" s="45"/>
      <c r="AU62" s="49"/>
      <c r="AV62" s="72"/>
      <c r="AW62" s="49"/>
      <c r="AX62" s="73"/>
      <c r="AY62" s="73"/>
    </row>
    <row r="63" spans="1:51" s="68" customFormat="1" ht="14.25" customHeight="1">
      <c r="A63" s="70"/>
      <c r="B63" s="75"/>
      <c r="C63" s="47" t="s">
        <v>90</v>
      </c>
      <c r="D63" s="108"/>
      <c r="E63" s="108"/>
      <c r="F63" s="108"/>
      <c r="G63" s="108"/>
      <c r="H63" s="108"/>
      <c r="I63" s="73"/>
      <c r="J63" s="73"/>
      <c r="K63" s="73"/>
      <c r="L63" s="73"/>
      <c r="M63" s="73"/>
      <c r="N63" s="73"/>
      <c r="O63" s="73"/>
      <c r="P63" s="108" t="s">
        <v>16</v>
      </c>
      <c r="Q63" s="288">
        <f>H97</f>
        <v>650</v>
      </c>
      <c r="R63" s="288"/>
      <c r="S63" s="288"/>
      <c r="T63" s="288"/>
      <c r="U63" s="111" t="s">
        <v>20</v>
      </c>
      <c r="V63" s="288">
        <v>3</v>
      </c>
      <c r="W63" s="288"/>
      <c r="X63" s="288"/>
      <c r="Y63" s="108" t="s">
        <v>16</v>
      </c>
      <c r="Z63" s="288">
        <f>-Q63*V63</f>
        <v>-1950</v>
      </c>
      <c r="AA63" s="288"/>
      <c r="AB63" s="288"/>
      <c r="AC63" s="6" t="s">
        <v>21</v>
      </c>
      <c r="AD63" s="5"/>
      <c r="AE63" s="34"/>
      <c r="AF63" s="108"/>
      <c r="AG63" s="125"/>
      <c r="AH63" s="45"/>
      <c r="AI63" s="45"/>
      <c r="AJ63" s="45"/>
      <c r="AK63" s="45"/>
      <c r="AL63" s="45"/>
      <c r="AM63" s="45"/>
      <c r="AN63" s="45"/>
      <c r="AO63" s="45"/>
      <c r="AP63" s="45"/>
      <c r="AQ63" s="45"/>
      <c r="AR63" s="45"/>
      <c r="AU63" s="49"/>
      <c r="AV63" s="72"/>
      <c r="AW63" s="49"/>
      <c r="AX63" s="73"/>
      <c r="AY63" s="73"/>
    </row>
    <row r="64" spans="1:51" s="68" customFormat="1" ht="12.75" customHeight="1">
      <c r="A64" s="70"/>
      <c r="B64" s="74"/>
      <c r="C64" s="47"/>
      <c r="D64" s="108"/>
      <c r="E64" s="108"/>
      <c r="F64" s="108"/>
      <c r="G64" s="108"/>
      <c r="H64" s="108"/>
      <c r="I64" s="73"/>
      <c r="J64" s="73"/>
      <c r="K64" s="73"/>
      <c r="L64" s="73"/>
      <c r="M64" s="73"/>
      <c r="N64" s="73"/>
      <c r="O64" s="73"/>
      <c r="P64" s="108"/>
      <c r="Q64" s="112"/>
      <c r="R64" s="112"/>
      <c r="S64" s="112"/>
      <c r="T64" s="112"/>
      <c r="U64" s="310" t="s">
        <v>17</v>
      </c>
      <c r="V64" s="310"/>
      <c r="W64" s="310"/>
      <c r="X64" s="310"/>
      <c r="Y64" s="108" t="s">
        <v>16</v>
      </c>
      <c r="Z64" s="288">
        <f>SUM(Z60:AB63)</f>
        <v>242672.5</v>
      </c>
      <c r="AA64" s="288"/>
      <c r="AB64" s="288"/>
      <c r="AC64" s="287" t="s">
        <v>21</v>
      </c>
      <c r="AD64" s="287"/>
      <c r="AE64" s="287"/>
      <c r="AF64" s="108"/>
      <c r="AG64" s="125"/>
      <c r="AH64" s="45"/>
      <c r="AI64" s="45"/>
      <c r="AJ64" s="45"/>
      <c r="AK64" s="45"/>
      <c r="AL64" s="45"/>
      <c r="AM64" s="45"/>
      <c r="AN64" s="45"/>
      <c r="AO64" s="45"/>
      <c r="AP64" s="45"/>
      <c r="AQ64" s="45"/>
      <c r="AR64" s="45"/>
      <c r="AU64" s="49"/>
      <c r="AV64" s="72"/>
      <c r="AW64" s="49"/>
      <c r="AX64" s="73"/>
      <c r="AY64" s="73"/>
    </row>
    <row r="65" spans="1:44" ht="12.75" customHeight="1">
      <c r="A65" s="70"/>
      <c r="B65" s="56"/>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310" t="s">
        <v>17</v>
      </c>
      <c r="AA65" s="310"/>
      <c r="AB65" s="310"/>
      <c r="AC65" s="310"/>
      <c r="AD65" s="310"/>
      <c r="AE65" s="10" t="s">
        <v>16</v>
      </c>
      <c r="AF65" s="11">
        <f>ROUND(Z64,2)</f>
        <v>242672.5</v>
      </c>
      <c r="AG65" s="12" t="s">
        <v>21</v>
      </c>
    </row>
    <row r="66" spans="1:44" s="19" customFormat="1" ht="39.75" customHeight="1">
      <c r="A66" s="18">
        <f>A57+1</f>
        <v>15</v>
      </c>
      <c r="B66" s="18" t="s">
        <v>145</v>
      </c>
      <c r="C66" s="294" t="s">
        <v>177</v>
      </c>
      <c r="D66" s="295"/>
      <c r="E66" s="295"/>
      <c r="F66" s="295"/>
      <c r="G66" s="295"/>
      <c r="H66" s="295"/>
      <c r="I66" s="295"/>
      <c r="J66" s="295"/>
      <c r="K66" s="295"/>
      <c r="L66" s="295"/>
      <c r="M66" s="295"/>
      <c r="N66" s="295"/>
      <c r="O66" s="295"/>
      <c r="P66" s="295"/>
      <c r="Q66" s="295"/>
      <c r="R66" s="295"/>
      <c r="S66" s="295"/>
      <c r="T66" s="295"/>
      <c r="U66" s="295"/>
      <c r="V66" s="295"/>
      <c r="W66" s="295"/>
      <c r="X66" s="295"/>
      <c r="Y66" s="295"/>
      <c r="Z66" s="295"/>
      <c r="AA66" s="295"/>
      <c r="AB66" s="295"/>
      <c r="AC66" s="295"/>
      <c r="AD66" s="295"/>
      <c r="AE66" s="76"/>
      <c r="AF66" s="76"/>
      <c r="AG66" s="77"/>
      <c r="AH66" s="76"/>
      <c r="AI66" s="76"/>
      <c r="AJ66" s="76"/>
      <c r="AK66" s="76"/>
      <c r="AL66" s="76"/>
      <c r="AM66" s="76"/>
      <c r="AN66" s="76"/>
      <c r="AO66" s="76"/>
      <c r="AP66" s="76"/>
      <c r="AQ66" s="76"/>
      <c r="AR66" s="77"/>
    </row>
    <row r="67" spans="1:44" ht="13.5" customHeight="1">
      <c r="A67" s="20"/>
      <c r="B67" s="20"/>
      <c r="C67" s="291" t="s">
        <v>18</v>
      </c>
      <c r="D67" s="287"/>
      <c r="E67" s="287"/>
      <c r="F67" s="287"/>
      <c r="G67" s="287"/>
      <c r="H67" s="287"/>
      <c r="I67" s="142" t="s">
        <v>16</v>
      </c>
      <c r="J67" s="288">
        <f>J12</f>
        <v>13.17</v>
      </c>
      <c r="K67" s="288"/>
      <c r="L67" s="290" t="s">
        <v>35</v>
      </c>
      <c r="M67" s="290"/>
      <c r="N67" s="142" t="s">
        <v>16</v>
      </c>
      <c r="O67" s="142" t="s">
        <v>19</v>
      </c>
      <c r="P67" s="7">
        <v>1</v>
      </c>
      <c r="Q67" s="5" t="s">
        <v>36</v>
      </c>
      <c r="R67" s="142"/>
      <c r="S67" s="142"/>
      <c r="T67" s="142" t="s">
        <v>16</v>
      </c>
      <c r="U67" s="287">
        <f>ROUND(J67/P67,0)</f>
        <v>13</v>
      </c>
      <c r="V67" s="287"/>
      <c r="W67" s="142" t="s">
        <v>37</v>
      </c>
      <c r="X67" s="142">
        <v>1</v>
      </c>
      <c r="Y67" s="6" t="s">
        <v>8</v>
      </c>
      <c r="Z67" s="142"/>
      <c r="AA67" s="142"/>
      <c r="AB67" s="142"/>
      <c r="AC67" s="142"/>
      <c r="AD67" s="142"/>
      <c r="AE67" s="5" t="s">
        <v>16</v>
      </c>
      <c r="AF67" s="143">
        <f>ROUND(U67+X67,0)</f>
        <v>14</v>
      </c>
      <c r="AG67" s="6" t="s">
        <v>8</v>
      </c>
    </row>
    <row r="68" spans="1:44" s="19" customFormat="1" ht="13.5" customHeight="1">
      <c r="A68" s="20"/>
      <c r="B68" s="21"/>
      <c r="C68" s="78"/>
      <c r="D68" s="47"/>
      <c r="E68" s="47"/>
      <c r="F68" s="47"/>
      <c r="G68" s="47"/>
      <c r="H68" s="311" t="s">
        <v>178</v>
      </c>
      <c r="I68" s="311"/>
      <c r="J68" s="311"/>
      <c r="K68" s="311"/>
      <c r="L68" s="311" t="s">
        <v>16</v>
      </c>
      <c r="M68" s="312">
        <v>22</v>
      </c>
      <c r="N68" s="312"/>
      <c r="O68" s="311" t="s">
        <v>20</v>
      </c>
      <c r="P68" s="337">
        <v>0.25</v>
      </c>
      <c r="Q68" s="337" t="s">
        <v>16</v>
      </c>
      <c r="R68" s="337">
        <f>P68*(M68/M69)</f>
        <v>0.7857142857142857</v>
      </c>
      <c r="S68" s="337"/>
      <c r="T68" s="337"/>
      <c r="U68" s="311" t="s">
        <v>22</v>
      </c>
      <c r="V68" s="150"/>
      <c r="W68" s="150"/>
      <c r="X68" s="47"/>
      <c r="Y68" s="150"/>
      <c r="Z68" s="150"/>
      <c r="AA68" s="150"/>
      <c r="AB68" s="27"/>
      <c r="AC68" s="27"/>
      <c r="AD68" s="47"/>
      <c r="AE68" s="47"/>
      <c r="AF68" s="47"/>
      <c r="AG68" s="79"/>
      <c r="AH68" s="47"/>
      <c r="AI68" s="47"/>
      <c r="AJ68" s="47"/>
      <c r="AK68" s="47"/>
      <c r="AL68" s="47"/>
      <c r="AM68" s="47"/>
      <c r="AN68" s="47"/>
      <c r="AO68" s="47"/>
      <c r="AP68" s="47"/>
      <c r="AQ68" s="47"/>
      <c r="AR68" s="79"/>
    </row>
    <row r="69" spans="1:44" s="19" customFormat="1" ht="13.5" customHeight="1">
      <c r="A69" s="20"/>
      <c r="B69" s="21"/>
      <c r="C69" s="47"/>
      <c r="D69" s="47"/>
      <c r="E69" s="47"/>
      <c r="F69" s="47"/>
      <c r="G69" s="47"/>
      <c r="H69" s="311"/>
      <c r="I69" s="311"/>
      <c r="J69" s="311"/>
      <c r="K69" s="311"/>
      <c r="L69" s="311"/>
      <c r="M69" s="338">
        <v>7</v>
      </c>
      <c r="N69" s="338"/>
      <c r="O69" s="311"/>
      <c r="P69" s="337"/>
      <c r="Q69" s="337"/>
      <c r="R69" s="337"/>
      <c r="S69" s="337"/>
      <c r="T69" s="337"/>
      <c r="U69" s="311"/>
      <c r="V69" s="144"/>
      <c r="W69" s="144"/>
      <c r="X69" s="47"/>
      <c r="Y69" s="150"/>
      <c r="Z69" s="150"/>
      <c r="AA69" s="150"/>
      <c r="AB69" s="27"/>
      <c r="AC69" s="27"/>
      <c r="AD69" s="47"/>
      <c r="AE69" s="47"/>
      <c r="AF69" s="47"/>
      <c r="AG69" s="79"/>
      <c r="AH69" s="47"/>
      <c r="AI69" s="47"/>
      <c r="AJ69" s="47"/>
      <c r="AK69" s="47"/>
      <c r="AL69" s="47"/>
      <c r="AM69" s="47"/>
      <c r="AN69" s="47"/>
      <c r="AO69" s="47"/>
      <c r="AP69" s="47"/>
      <c r="AQ69" s="47"/>
      <c r="AR69" s="47"/>
    </row>
    <row r="70" spans="1:44" s="19" customFormat="1" ht="13.5" customHeight="1">
      <c r="A70" s="20"/>
      <c r="B70" s="21"/>
      <c r="C70" s="47"/>
      <c r="D70" s="47"/>
      <c r="E70" s="47"/>
      <c r="F70" s="47"/>
      <c r="G70" s="47"/>
      <c r="H70" s="23"/>
      <c r="I70" s="151" t="s">
        <v>179</v>
      </c>
      <c r="J70" s="151"/>
      <c r="K70" s="151"/>
      <c r="L70" s="151"/>
      <c r="M70" s="152"/>
      <c r="N70" s="153" t="s">
        <v>16</v>
      </c>
      <c r="O70" s="339">
        <f>AF67</f>
        <v>14</v>
      </c>
      <c r="P70" s="339"/>
      <c r="Q70" s="153" t="s">
        <v>20</v>
      </c>
      <c r="R70" s="340">
        <f>R68</f>
        <v>0.7857142857142857</v>
      </c>
      <c r="S70" s="340"/>
      <c r="T70" s="153" t="s">
        <v>20</v>
      </c>
      <c r="U70" s="154">
        <v>1.55</v>
      </c>
      <c r="V70" s="144" t="s">
        <v>16</v>
      </c>
      <c r="W70" s="297">
        <f>O70*R70*U70</f>
        <v>17.05</v>
      </c>
      <c r="X70" s="297"/>
      <c r="Y70" s="297"/>
      <c r="Z70" s="150" t="s">
        <v>21</v>
      </c>
      <c r="AA70" s="150"/>
      <c r="AB70" s="27"/>
      <c r="AC70" s="27"/>
      <c r="AD70" s="47"/>
      <c r="AE70" s="47"/>
      <c r="AF70" s="47"/>
      <c r="AG70" s="79"/>
      <c r="AH70" s="47"/>
      <c r="AI70" s="47"/>
      <c r="AJ70" s="47"/>
      <c r="AK70" s="47"/>
      <c r="AL70" s="47"/>
      <c r="AM70" s="47"/>
      <c r="AN70" s="47"/>
      <c r="AO70" s="47"/>
      <c r="AP70" s="47"/>
      <c r="AQ70" s="47"/>
      <c r="AR70" s="47"/>
    </row>
    <row r="71" spans="1:44" s="19" customFormat="1" ht="4.5" customHeight="1">
      <c r="A71" s="20"/>
      <c r="B71" s="21"/>
      <c r="C71" s="47"/>
      <c r="D71" s="47"/>
      <c r="E71" s="47"/>
      <c r="F71" s="47"/>
      <c r="G71" s="47"/>
      <c r="H71" s="151"/>
      <c r="I71" s="151"/>
      <c r="J71" s="151"/>
      <c r="K71" s="151"/>
      <c r="L71" s="151"/>
      <c r="M71" s="152"/>
      <c r="N71" s="152"/>
      <c r="O71" s="151"/>
      <c r="P71" s="155"/>
      <c r="Q71" s="155"/>
      <c r="R71" s="155"/>
      <c r="S71" s="155"/>
      <c r="T71" s="155"/>
      <c r="U71" s="151"/>
      <c r="V71" s="144"/>
      <c r="W71" s="144"/>
      <c r="X71" s="47"/>
      <c r="Y71" s="150"/>
      <c r="Z71" s="150"/>
      <c r="AA71" s="150"/>
      <c r="AB71" s="27"/>
      <c r="AC71" s="27"/>
      <c r="AD71" s="47"/>
      <c r="AE71" s="47"/>
      <c r="AF71" s="47"/>
      <c r="AG71" s="79"/>
      <c r="AH71" s="47"/>
      <c r="AI71" s="47"/>
      <c r="AJ71" s="47"/>
      <c r="AK71" s="47"/>
      <c r="AL71" s="47"/>
      <c r="AM71" s="47"/>
      <c r="AN71" s="47"/>
      <c r="AO71" s="47"/>
      <c r="AP71" s="47"/>
      <c r="AQ71" s="47"/>
      <c r="AR71" s="47"/>
    </row>
    <row r="72" spans="1:44" ht="14.25" customHeight="1">
      <c r="A72" s="80"/>
      <c r="B72" s="57"/>
      <c r="C72" s="141"/>
      <c r="D72" s="141"/>
      <c r="E72" s="141"/>
      <c r="F72" s="141"/>
      <c r="G72" s="141"/>
      <c r="H72" s="141"/>
      <c r="I72" s="153"/>
      <c r="J72" s="153"/>
      <c r="K72" s="5"/>
      <c r="L72" s="5"/>
      <c r="M72" s="5"/>
      <c r="N72" s="5"/>
      <c r="O72" s="5"/>
      <c r="P72" s="5"/>
      <c r="Q72" s="5"/>
      <c r="R72" s="5"/>
      <c r="S72" s="141"/>
      <c r="T72" s="141"/>
      <c r="U72" s="141"/>
      <c r="V72" s="141"/>
      <c r="W72" s="141"/>
      <c r="X72" s="141"/>
      <c r="Y72" s="141"/>
      <c r="Z72" s="289" t="s">
        <v>17</v>
      </c>
      <c r="AA72" s="289"/>
      <c r="AB72" s="289"/>
      <c r="AC72" s="289"/>
      <c r="AD72" s="289"/>
      <c r="AE72" s="10" t="s">
        <v>16</v>
      </c>
      <c r="AF72" s="11">
        <f>ROUND(W70,2)</f>
        <v>17.05</v>
      </c>
      <c r="AG72" s="12" t="s">
        <v>21</v>
      </c>
    </row>
    <row r="73" spans="1:44" s="19" customFormat="1" ht="39.75" customHeight="1">
      <c r="A73" s="18">
        <f>A66+1</f>
        <v>16</v>
      </c>
      <c r="B73" s="18" t="s">
        <v>150</v>
      </c>
      <c r="C73" s="294" t="s">
        <v>180</v>
      </c>
      <c r="D73" s="295"/>
      <c r="E73" s="295"/>
      <c r="F73" s="295"/>
      <c r="G73" s="295"/>
      <c r="H73" s="295"/>
      <c r="I73" s="295"/>
      <c r="J73" s="295"/>
      <c r="K73" s="295"/>
      <c r="L73" s="295"/>
      <c r="M73" s="295"/>
      <c r="N73" s="295"/>
      <c r="O73" s="295"/>
      <c r="P73" s="295"/>
      <c r="Q73" s="295"/>
      <c r="R73" s="295"/>
      <c r="S73" s="295"/>
      <c r="T73" s="295"/>
      <c r="U73" s="295"/>
      <c r="V73" s="295"/>
      <c r="W73" s="295"/>
      <c r="X73" s="295"/>
      <c r="Y73" s="295"/>
      <c r="Z73" s="295"/>
      <c r="AA73" s="295"/>
      <c r="AB73" s="295"/>
      <c r="AC73" s="295"/>
      <c r="AD73" s="295"/>
      <c r="AE73" s="76"/>
      <c r="AF73" s="76"/>
      <c r="AG73" s="77"/>
      <c r="AH73" s="76"/>
      <c r="AI73" s="76"/>
      <c r="AJ73" s="76"/>
      <c r="AK73" s="76"/>
      <c r="AL73" s="76"/>
      <c r="AM73" s="76"/>
      <c r="AN73" s="76"/>
      <c r="AO73" s="76"/>
      <c r="AP73" s="76"/>
      <c r="AQ73" s="76"/>
      <c r="AR73" s="77"/>
    </row>
    <row r="74" spans="1:44" s="19" customFormat="1" ht="14.25" customHeight="1">
      <c r="A74" s="20"/>
      <c r="B74" s="20"/>
      <c r="C74" s="139"/>
      <c r="D74" s="140"/>
      <c r="E74" s="140"/>
      <c r="F74" s="153" t="s">
        <v>181</v>
      </c>
      <c r="G74" s="153"/>
      <c r="H74" s="153"/>
      <c r="I74" s="153"/>
      <c r="J74" s="153"/>
      <c r="K74" s="153"/>
      <c r="L74" s="153"/>
      <c r="M74" s="23"/>
      <c r="N74" s="23"/>
      <c r="O74" s="23"/>
      <c r="P74" s="23"/>
      <c r="Q74" s="23"/>
      <c r="R74" s="23"/>
      <c r="S74" s="23"/>
      <c r="T74" s="47" t="s">
        <v>182</v>
      </c>
      <c r="U74" s="140"/>
      <c r="V74" s="140"/>
      <c r="W74" s="140"/>
      <c r="X74" s="140"/>
      <c r="Y74" s="140"/>
      <c r="Z74" s="140"/>
      <c r="AA74" s="140"/>
      <c r="AB74" s="140"/>
      <c r="AC74" s="140"/>
      <c r="AD74" s="140"/>
      <c r="AE74" s="47"/>
      <c r="AF74" s="47"/>
      <c r="AG74" s="79"/>
      <c r="AH74" s="47"/>
      <c r="AI74" s="47"/>
      <c r="AJ74" s="47"/>
      <c r="AK74" s="47"/>
      <c r="AL74" s="47"/>
      <c r="AM74" s="47"/>
      <c r="AN74" s="47"/>
      <c r="AO74" s="47"/>
      <c r="AP74" s="47"/>
      <c r="AQ74" s="47"/>
      <c r="AR74" s="79"/>
    </row>
    <row r="75" spans="1:44" s="19" customFormat="1" ht="13.5" customHeight="1">
      <c r="A75" s="20"/>
      <c r="B75" s="20"/>
      <c r="C75" s="139"/>
      <c r="D75" s="140"/>
      <c r="E75" s="140"/>
      <c r="F75" s="153" t="s">
        <v>16</v>
      </c>
      <c r="G75" s="339">
        <f>AF67</f>
        <v>14</v>
      </c>
      <c r="H75" s="339"/>
      <c r="I75" s="153" t="s">
        <v>20</v>
      </c>
      <c r="J75" s="23"/>
      <c r="K75" s="312">
        <v>6</v>
      </c>
      <c r="L75" s="312"/>
      <c r="M75" s="152" t="s">
        <v>20</v>
      </c>
      <c r="N75" s="340">
        <f>U70</f>
        <v>1.55</v>
      </c>
      <c r="O75" s="340"/>
      <c r="P75" s="23"/>
      <c r="Q75" s="23"/>
      <c r="R75" s="23" t="s">
        <v>16</v>
      </c>
      <c r="S75" s="341">
        <f>AF67</f>
        <v>14</v>
      </c>
      <c r="T75" s="341"/>
      <c r="U75" s="47" t="s">
        <v>20</v>
      </c>
      <c r="V75" s="47">
        <v>8</v>
      </c>
      <c r="W75" s="47" t="s">
        <v>20</v>
      </c>
      <c r="X75" s="341">
        <v>0.68799999999999994</v>
      </c>
      <c r="Y75" s="341"/>
      <c r="Z75" s="140"/>
      <c r="AA75" s="140"/>
      <c r="AB75" s="140"/>
      <c r="AC75" s="140"/>
      <c r="AD75" s="140"/>
      <c r="AE75" s="47"/>
      <c r="AF75" s="47"/>
      <c r="AG75" s="79"/>
      <c r="AH75" s="47"/>
      <c r="AI75" s="47"/>
      <c r="AJ75" s="47"/>
      <c r="AK75" s="47"/>
      <c r="AL75" s="47"/>
      <c r="AM75" s="47"/>
      <c r="AN75" s="47"/>
      <c r="AO75" s="47"/>
      <c r="AP75" s="47"/>
      <c r="AQ75" s="47"/>
      <c r="AR75" s="79"/>
    </row>
    <row r="76" spans="1:44" s="19" customFormat="1" ht="13.5" customHeight="1">
      <c r="A76" s="20"/>
      <c r="B76" s="21"/>
      <c r="C76" s="78"/>
      <c r="D76" s="47"/>
      <c r="E76" s="47"/>
      <c r="F76" s="153" t="s">
        <v>16</v>
      </c>
      <c r="G76" s="340">
        <f>G75*K75*N75</f>
        <v>130.20000000000002</v>
      </c>
      <c r="H76" s="340"/>
      <c r="I76" s="340"/>
      <c r="J76" s="340"/>
      <c r="K76" s="340"/>
      <c r="L76" s="153" t="s">
        <v>22</v>
      </c>
      <c r="M76" s="153"/>
      <c r="N76" s="153"/>
      <c r="O76" s="44"/>
      <c r="P76" s="23"/>
      <c r="Q76" s="23"/>
      <c r="R76" s="23" t="s">
        <v>16</v>
      </c>
      <c r="S76" s="341">
        <f>S75*V75*X75</f>
        <v>77.055999999999997</v>
      </c>
      <c r="T76" s="341"/>
      <c r="U76" s="47"/>
      <c r="V76" s="47" t="s">
        <v>22</v>
      </c>
      <c r="W76" s="47"/>
      <c r="X76" s="47"/>
      <c r="Y76" s="47"/>
      <c r="Z76" s="47"/>
      <c r="AA76" s="47"/>
      <c r="AB76" s="47"/>
      <c r="AC76" s="47"/>
      <c r="AD76" s="47"/>
      <c r="AE76" s="47"/>
      <c r="AF76" s="47"/>
      <c r="AG76" s="79"/>
      <c r="AI76" s="47"/>
      <c r="AJ76" s="47"/>
      <c r="AK76" s="47"/>
      <c r="AL76" s="47"/>
      <c r="AM76" s="47"/>
      <c r="AN76" s="47"/>
      <c r="AO76" s="47"/>
      <c r="AP76" s="47"/>
      <c r="AQ76" s="47"/>
      <c r="AR76" s="79"/>
    </row>
    <row r="77" spans="1:44" s="19" customFormat="1" ht="13.5" customHeight="1">
      <c r="A77" s="20"/>
      <c r="B77" s="21"/>
      <c r="C77" s="22"/>
      <c r="D77" s="23"/>
      <c r="E77" s="23"/>
      <c r="F77" s="153" t="s">
        <v>16</v>
      </c>
      <c r="G77" s="342">
        <f>G76</f>
        <v>130.20000000000002</v>
      </c>
      <c r="H77" s="342"/>
      <c r="I77" s="342"/>
      <c r="J77" s="342"/>
      <c r="K77" s="342"/>
      <c r="L77" s="156" t="s">
        <v>20</v>
      </c>
      <c r="M77" s="157">
        <v>0.62</v>
      </c>
      <c r="N77" s="158"/>
      <c r="O77" s="150"/>
      <c r="P77" s="23"/>
      <c r="Q77" s="23"/>
      <c r="R77" s="23" t="s">
        <v>16</v>
      </c>
      <c r="S77" s="343">
        <f>S76</f>
        <v>77.055999999999997</v>
      </c>
      <c r="T77" s="343"/>
      <c r="U77" s="159" t="s">
        <v>20</v>
      </c>
      <c r="V77" s="343">
        <v>0.22</v>
      </c>
      <c r="W77" s="343"/>
      <c r="X77" s="5"/>
      <c r="Y77" s="44"/>
      <c r="Z77" s="44"/>
      <c r="AA77" s="23"/>
      <c r="AB77" s="23"/>
      <c r="AC77" s="23"/>
      <c r="AD77" s="44"/>
      <c r="AE77" s="42"/>
      <c r="AF77" s="145"/>
      <c r="AG77" s="128"/>
      <c r="AH77" s="24"/>
      <c r="AI77" s="24"/>
      <c r="AJ77" s="24"/>
      <c r="AK77" s="24"/>
      <c r="AL77" s="24"/>
      <c r="AM77" s="24"/>
      <c r="AN77" s="24"/>
      <c r="AO77" s="24"/>
      <c r="AP77" s="24"/>
      <c r="AQ77" s="23"/>
      <c r="AR77" s="25"/>
    </row>
    <row r="78" spans="1:44" s="19" customFormat="1" ht="13.5" customHeight="1">
      <c r="A78" s="20"/>
      <c r="B78" s="21"/>
      <c r="C78" s="78"/>
      <c r="D78" s="47"/>
      <c r="E78" s="47"/>
      <c r="F78" s="160" t="s">
        <v>16</v>
      </c>
      <c r="G78" s="340">
        <f>G77*M77</f>
        <v>80.724000000000004</v>
      </c>
      <c r="H78" s="340"/>
      <c r="I78" s="340"/>
      <c r="J78" s="340"/>
      <c r="K78" s="340"/>
      <c r="L78" s="153" t="s">
        <v>108</v>
      </c>
      <c r="M78" s="153"/>
      <c r="N78" s="153"/>
      <c r="O78" s="144"/>
      <c r="P78" s="23"/>
      <c r="Q78" s="23"/>
      <c r="R78" s="23" t="s">
        <v>16</v>
      </c>
      <c r="S78" s="341">
        <f>S77*V77</f>
        <v>16.95232</v>
      </c>
      <c r="T78" s="341"/>
      <c r="U78" s="47" t="s">
        <v>108</v>
      </c>
      <c r="V78" s="23"/>
      <c r="W78" s="47"/>
      <c r="X78" s="47"/>
      <c r="Y78" s="150"/>
      <c r="Z78" s="150"/>
      <c r="AA78" s="150"/>
      <c r="AB78" s="27"/>
      <c r="AC78" s="27"/>
      <c r="AD78" s="47"/>
      <c r="AE78" s="47"/>
      <c r="AF78" s="47"/>
      <c r="AG78" s="79"/>
      <c r="AH78" s="47"/>
      <c r="AI78" s="47" t="s">
        <v>16</v>
      </c>
      <c r="AJ78" s="47">
        <v>18.841000000000001</v>
      </c>
      <c r="AK78" s="47" t="s">
        <v>20</v>
      </c>
      <c r="AL78" s="47">
        <v>8</v>
      </c>
      <c r="AM78" s="47" t="s">
        <v>20</v>
      </c>
      <c r="AN78" s="47">
        <v>0.68799999999999994</v>
      </c>
      <c r="AO78" s="47"/>
      <c r="AP78" s="47"/>
      <c r="AQ78" s="47"/>
      <c r="AR78" s="79"/>
    </row>
    <row r="79" spans="1:44" ht="14.25" customHeight="1">
      <c r="A79" s="80"/>
      <c r="B79" s="57"/>
      <c r="C79" s="141"/>
      <c r="D79" s="141"/>
      <c r="E79" s="141"/>
      <c r="F79" s="141"/>
      <c r="G79" s="141"/>
      <c r="H79" s="141"/>
      <c r="I79" s="141"/>
      <c r="J79" s="141"/>
      <c r="K79" s="141"/>
      <c r="L79" s="141"/>
      <c r="M79" s="141"/>
      <c r="N79" s="141"/>
      <c r="O79" s="141"/>
      <c r="P79" s="141"/>
      <c r="Q79" s="141"/>
      <c r="R79" s="141"/>
      <c r="S79" s="141"/>
      <c r="T79" s="141"/>
      <c r="U79" s="141"/>
      <c r="V79" s="141"/>
      <c r="W79" s="141"/>
      <c r="X79" s="141"/>
      <c r="Y79" s="141"/>
      <c r="Z79" s="289" t="s">
        <v>17</v>
      </c>
      <c r="AA79" s="289"/>
      <c r="AB79" s="289"/>
      <c r="AC79" s="289"/>
      <c r="AD79" s="289"/>
      <c r="AE79" s="10" t="s">
        <v>16</v>
      </c>
      <c r="AF79" s="11">
        <f>ROUND(G78+S78,2)</f>
        <v>97.68</v>
      </c>
      <c r="AG79" s="12" t="s">
        <v>183</v>
      </c>
      <c r="AI79" s="2" t="s">
        <v>16</v>
      </c>
      <c r="AJ79" s="2">
        <v>103.700864</v>
      </c>
      <c r="AK79" s="2" t="s">
        <v>20</v>
      </c>
      <c r="AL79" s="2">
        <v>0.22</v>
      </c>
    </row>
    <row r="80" spans="1:44" s="19" customFormat="1" ht="64.5" customHeight="1">
      <c r="A80" s="18">
        <f>A73+1</f>
        <v>17</v>
      </c>
      <c r="B80" s="18" t="s">
        <v>151</v>
      </c>
      <c r="C80" s="294" t="s">
        <v>310</v>
      </c>
      <c r="D80" s="295"/>
      <c r="E80" s="295"/>
      <c r="F80" s="295"/>
      <c r="G80" s="295"/>
      <c r="H80" s="295"/>
      <c r="I80" s="295"/>
      <c r="J80" s="295"/>
      <c r="K80" s="295"/>
      <c r="L80" s="295"/>
      <c r="M80" s="295"/>
      <c r="N80" s="295"/>
      <c r="O80" s="295"/>
      <c r="P80" s="295"/>
      <c r="Q80" s="295"/>
      <c r="R80" s="295"/>
      <c r="S80" s="295"/>
      <c r="T80" s="295"/>
      <c r="U80" s="295"/>
      <c r="V80" s="295"/>
      <c r="W80" s="295"/>
      <c r="X80" s="295"/>
      <c r="Y80" s="295"/>
      <c r="Z80" s="295"/>
      <c r="AA80" s="295"/>
      <c r="AB80" s="295"/>
      <c r="AC80" s="295"/>
      <c r="AD80" s="295"/>
      <c r="AE80" s="76"/>
      <c r="AF80" s="76"/>
      <c r="AG80" s="77"/>
      <c r="AH80" s="76"/>
      <c r="AI80" s="76"/>
      <c r="AJ80" s="76"/>
      <c r="AK80" s="76"/>
      <c r="AL80" s="76"/>
      <c r="AM80" s="76"/>
      <c r="AN80" s="76"/>
      <c r="AO80" s="76"/>
      <c r="AP80" s="76"/>
      <c r="AQ80" s="76"/>
      <c r="AR80" s="77"/>
    </row>
    <row r="81" spans="1:44" s="19" customFormat="1" ht="14.25" customHeight="1">
      <c r="A81" s="20"/>
      <c r="B81" s="20"/>
      <c r="C81" s="172"/>
      <c r="D81" s="347">
        <v>14</v>
      </c>
      <c r="E81" s="347"/>
      <c r="F81" s="347"/>
      <c r="G81" s="180" t="s">
        <v>311</v>
      </c>
      <c r="H81" s="181">
        <v>8</v>
      </c>
      <c r="I81" s="180" t="s">
        <v>311</v>
      </c>
      <c r="J81" s="348">
        <v>0.68799999999999994</v>
      </c>
      <c r="K81" s="348"/>
      <c r="L81" s="23"/>
      <c r="M81" s="182" t="s">
        <v>16</v>
      </c>
      <c r="N81" s="349">
        <f>D81*H81*J81</f>
        <v>77.055999999999997</v>
      </c>
      <c r="O81" s="349"/>
      <c r="P81" s="183" t="s">
        <v>311</v>
      </c>
      <c r="Q81" s="350">
        <v>0.22</v>
      </c>
      <c r="R81" s="350"/>
      <c r="S81" s="184" t="s">
        <v>16</v>
      </c>
      <c r="T81" s="287">
        <f>ROUND(N81*Q81,2)</f>
        <v>16.95</v>
      </c>
      <c r="U81" s="287"/>
      <c r="V81" s="287"/>
      <c r="W81" s="173"/>
      <c r="X81" s="173"/>
      <c r="Y81" s="173"/>
      <c r="Z81" s="173"/>
      <c r="AA81" s="173"/>
      <c r="AB81" s="173"/>
      <c r="AC81" s="173"/>
      <c r="AD81" s="173"/>
      <c r="AE81" s="47"/>
      <c r="AF81" s="47"/>
      <c r="AG81" s="79"/>
      <c r="AH81" s="47"/>
      <c r="AI81" s="47"/>
      <c r="AJ81" s="47"/>
      <c r="AK81" s="47"/>
      <c r="AL81" s="47"/>
      <c r="AM81" s="47"/>
      <c r="AN81" s="47"/>
      <c r="AO81" s="47"/>
      <c r="AP81" s="47"/>
      <c r="AQ81" s="47"/>
      <c r="AR81" s="79"/>
    </row>
    <row r="82" spans="1:44" s="19" customFormat="1" ht="13.5" customHeight="1">
      <c r="A82" s="20"/>
      <c r="B82" s="21"/>
      <c r="C82" s="78"/>
      <c r="D82" s="47"/>
      <c r="E82" s="47"/>
      <c r="F82" s="160"/>
      <c r="G82" s="340"/>
      <c r="H82" s="340"/>
      <c r="I82" s="340"/>
      <c r="J82" s="340"/>
      <c r="K82" s="340"/>
      <c r="L82" s="153"/>
      <c r="M82" s="153"/>
      <c r="N82" s="153"/>
      <c r="O82" s="171"/>
      <c r="P82" s="23"/>
      <c r="Q82" s="23"/>
      <c r="R82" s="23"/>
      <c r="S82" s="341"/>
      <c r="T82" s="341"/>
      <c r="U82" s="47"/>
      <c r="V82" s="23"/>
      <c r="W82" s="47"/>
      <c r="X82" s="47"/>
      <c r="Y82" s="150"/>
      <c r="Z82" s="150"/>
      <c r="AA82" s="150"/>
      <c r="AB82" s="27"/>
      <c r="AC82" s="27"/>
      <c r="AD82" s="47"/>
      <c r="AE82" s="47"/>
      <c r="AF82" s="47"/>
      <c r="AG82" s="79"/>
      <c r="AH82" s="47"/>
      <c r="AI82" s="47" t="s">
        <v>16</v>
      </c>
      <c r="AJ82" s="47">
        <v>18.841000000000001</v>
      </c>
      <c r="AK82" s="47" t="s">
        <v>20</v>
      </c>
      <c r="AL82" s="47">
        <v>8</v>
      </c>
      <c r="AM82" s="47" t="s">
        <v>20</v>
      </c>
      <c r="AN82" s="47">
        <v>0.68799999999999994</v>
      </c>
      <c r="AO82" s="47"/>
      <c r="AP82" s="47"/>
      <c r="AQ82" s="47"/>
      <c r="AR82" s="79"/>
    </row>
    <row r="83" spans="1:44" ht="14.25" customHeight="1">
      <c r="A83" s="80"/>
      <c r="B83" s="57"/>
      <c r="C83" s="174"/>
      <c r="D83" s="174"/>
      <c r="E83" s="174"/>
      <c r="F83" s="174"/>
      <c r="G83" s="174"/>
      <c r="H83" s="174"/>
      <c r="I83" s="174"/>
      <c r="J83" s="174"/>
      <c r="K83" s="174"/>
      <c r="L83" s="174"/>
      <c r="M83" s="174"/>
      <c r="N83" s="174"/>
      <c r="O83" s="174"/>
      <c r="P83" s="174"/>
      <c r="Q83" s="174"/>
      <c r="R83" s="174"/>
      <c r="S83" s="174"/>
      <c r="T83" s="174"/>
      <c r="U83" s="174"/>
      <c r="V83" s="174"/>
      <c r="W83" s="174"/>
      <c r="X83" s="174"/>
      <c r="Y83" s="174"/>
      <c r="Z83" s="289" t="s">
        <v>17</v>
      </c>
      <c r="AA83" s="289"/>
      <c r="AB83" s="289"/>
      <c r="AC83" s="289"/>
      <c r="AD83" s="289"/>
      <c r="AE83" s="10" t="s">
        <v>16</v>
      </c>
      <c r="AF83" s="11">
        <f>T81</f>
        <v>16.95</v>
      </c>
      <c r="AG83" s="12" t="s">
        <v>183</v>
      </c>
      <c r="AI83" s="2" t="s">
        <v>16</v>
      </c>
      <c r="AJ83" s="2">
        <v>103.700864</v>
      </c>
      <c r="AK83" s="2" t="s">
        <v>20</v>
      </c>
      <c r="AL83" s="2">
        <v>0.22</v>
      </c>
    </row>
    <row r="84" spans="1:44" s="19" customFormat="1" ht="39.75" customHeight="1">
      <c r="A84" s="18">
        <f>A80+1</f>
        <v>18</v>
      </c>
      <c r="B84" s="18" t="s">
        <v>156</v>
      </c>
      <c r="C84" s="294" t="s">
        <v>184</v>
      </c>
      <c r="D84" s="295"/>
      <c r="E84" s="295"/>
      <c r="F84" s="295"/>
      <c r="G84" s="295"/>
      <c r="H84" s="295"/>
      <c r="I84" s="295"/>
      <c r="J84" s="295"/>
      <c r="K84" s="295"/>
      <c r="L84" s="295"/>
      <c r="M84" s="295"/>
      <c r="N84" s="295"/>
      <c r="O84" s="295"/>
      <c r="P84" s="295"/>
      <c r="Q84" s="295"/>
      <c r="R84" s="295"/>
      <c r="S84" s="295"/>
      <c r="T84" s="295"/>
      <c r="U84" s="295"/>
      <c r="V84" s="295"/>
      <c r="W84" s="295"/>
      <c r="X84" s="295"/>
      <c r="Y84" s="295"/>
      <c r="Z84" s="295"/>
      <c r="AA84" s="295"/>
      <c r="AB84" s="295"/>
      <c r="AC84" s="295"/>
      <c r="AD84" s="295"/>
      <c r="AE84" s="76"/>
      <c r="AF84" s="76"/>
      <c r="AG84" s="77"/>
      <c r="AH84" s="76"/>
      <c r="AI84" s="76" t="s">
        <v>16</v>
      </c>
      <c r="AJ84" s="76">
        <v>22.814190079999999</v>
      </c>
      <c r="AK84" s="76"/>
      <c r="AL84" s="76" t="s">
        <v>108</v>
      </c>
      <c r="AM84" s="76"/>
      <c r="AN84" s="76"/>
      <c r="AO84" s="76"/>
      <c r="AP84" s="76"/>
      <c r="AQ84" s="76"/>
      <c r="AR84" s="77"/>
    </row>
    <row r="85" spans="1:44" s="19" customFormat="1" ht="15" customHeight="1">
      <c r="A85" s="20"/>
      <c r="B85" s="20"/>
      <c r="C85" s="139"/>
      <c r="D85" s="140"/>
      <c r="E85" s="140"/>
      <c r="F85" s="140"/>
      <c r="G85" s="140"/>
      <c r="H85" s="140"/>
      <c r="I85" s="140"/>
      <c r="J85" s="153" t="s">
        <v>185</v>
      </c>
      <c r="K85" s="153"/>
      <c r="L85" s="153"/>
      <c r="M85" s="153"/>
      <c r="N85" s="153"/>
      <c r="O85" s="153"/>
      <c r="P85" s="153"/>
      <c r="Q85" s="153"/>
      <c r="R85" s="140"/>
      <c r="S85" s="140"/>
      <c r="T85" s="140"/>
      <c r="U85" s="140"/>
      <c r="V85" s="140"/>
      <c r="W85" s="140"/>
      <c r="X85" s="140"/>
      <c r="Y85" s="140"/>
      <c r="Z85" s="140"/>
      <c r="AA85" s="140"/>
      <c r="AB85" s="140"/>
      <c r="AC85" s="140"/>
      <c r="AD85" s="140"/>
      <c r="AE85" s="47"/>
      <c r="AF85" s="47"/>
      <c r="AG85" s="79"/>
      <c r="AH85" s="47"/>
      <c r="AI85" s="47"/>
      <c r="AJ85" s="47"/>
      <c r="AK85" s="47"/>
      <c r="AL85" s="47"/>
      <c r="AM85" s="47"/>
      <c r="AN85" s="47"/>
      <c r="AO85" s="47"/>
      <c r="AP85" s="47"/>
      <c r="AQ85" s="47"/>
      <c r="AR85" s="79"/>
    </row>
    <row r="86" spans="1:44" s="19" customFormat="1" ht="15" customHeight="1">
      <c r="A86" s="20"/>
      <c r="B86" s="20"/>
      <c r="C86" s="139"/>
      <c r="D86" s="140"/>
      <c r="E86" s="140"/>
      <c r="F86" s="140"/>
      <c r="G86" s="140"/>
      <c r="H86" s="140"/>
      <c r="I86" s="140"/>
      <c r="J86" s="311" t="s">
        <v>16</v>
      </c>
      <c r="K86" s="344">
        <f>AF67</f>
        <v>14</v>
      </c>
      <c r="L86" s="344"/>
      <c r="M86" s="153" t="s">
        <v>66</v>
      </c>
      <c r="N86" s="345">
        <v>22</v>
      </c>
      <c r="O86" s="345"/>
      <c r="P86" s="311" t="s">
        <v>66</v>
      </c>
      <c r="Q86" s="337">
        <v>0.25</v>
      </c>
      <c r="R86" s="337"/>
      <c r="S86" s="311" t="s">
        <v>66</v>
      </c>
      <c r="T86" s="346">
        <v>1.55</v>
      </c>
      <c r="U86" s="346"/>
      <c r="V86" s="337"/>
      <c r="W86" s="140"/>
      <c r="X86" s="140"/>
      <c r="Y86" s="140"/>
      <c r="Z86" s="140"/>
      <c r="AA86" s="140"/>
      <c r="AB86" s="140"/>
      <c r="AC86" s="140"/>
      <c r="AD86" s="140"/>
      <c r="AE86" s="47"/>
      <c r="AF86" s="47"/>
      <c r="AG86" s="79"/>
      <c r="AH86" s="47"/>
      <c r="AI86" s="47"/>
      <c r="AJ86" s="47"/>
      <c r="AK86" s="47"/>
      <c r="AL86" s="47"/>
      <c r="AM86" s="47"/>
      <c r="AN86" s="47"/>
      <c r="AO86" s="47"/>
      <c r="AP86" s="47"/>
      <c r="AQ86" s="47"/>
      <c r="AR86" s="79"/>
    </row>
    <row r="87" spans="1:44" s="19" customFormat="1" ht="13.5" customHeight="1">
      <c r="A87" s="20"/>
      <c r="B87" s="21"/>
      <c r="C87" s="78"/>
      <c r="D87" s="47"/>
      <c r="E87" s="47"/>
      <c r="F87" s="47"/>
      <c r="G87" s="47"/>
      <c r="H87" s="150"/>
      <c r="I87" s="150"/>
      <c r="J87" s="311"/>
      <c r="K87" s="344"/>
      <c r="L87" s="344"/>
      <c r="M87" s="153"/>
      <c r="N87" s="153">
        <v>7</v>
      </c>
      <c r="O87" s="153"/>
      <c r="P87" s="311"/>
      <c r="Q87" s="337"/>
      <c r="R87" s="337"/>
      <c r="S87" s="311"/>
      <c r="T87" s="346"/>
      <c r="U87" s="346"/>
      <c r="V87" s="337"/>
      <c r="W87" s="150"/>
      <c r="X87" s="47"/>
      <c r="Y87" s="47"/>
      <c r="Z87" s="47"/>
      <c r="AA87" s="47"/>
      <c r="AB87" s="47"/>
      <c r="AC87" s="47"/>
      <c r="AD87" s="47"/>
      <c r="AE87" s="47"/>
      <c r="AF87" s="47"/>
      <c r="AG87" s="79"/>
      <c r="AH87" s="47"/>
      <c r="AI87" s="47"/>
      <c r="AJ87" s="47"/>
      <c r="AK87" s="47"/>
      <c r="AL87" s="47"/>
      <c r="AM87" s="47"/>
      <c r="AN87" s="47"/>
      <c r="AO87" s="47"/>
      <c r="AP87" s="47"/>
      <c r="AQ87" s="47"/>
      <c r="AR87" s="79"/>
    </row>
    <row r="88" spans="1:44" s="19" customFormat="1" ht="13.5" customHeight="1">
      <c r="A88" s="20"/>
      <c r="B88" s="21"/>
      <c r="C88" s="22"/>
      <c r="D88" s="23"/>
      <c r="E88" s="23"/>
      <c r="F88" s="23"/>
      <c r="G88" s="23"/>
      <c r="H88" s="23"/>
      <c r="I88" s="23"/>
      <c r="J88" s="153"/>
      <c r="K88" s="153" t="s">
        <v>16</v>
      </c>
      <c r="L88" s="340">
        <f>K86*(N86/N87)*Q86*T86</f>
        <v>17.05</v>
      </c>
      <c r="M88" s="340"/>
      <c r="N88" s="153" t="s">
        <v>9</v>
      </c>
      <c r="O88" s="153"/>
      <c r="P88" s="153"/>
      <c r="Q88" s="153"/>
      <c r="R88" s="27"/>
      <c r="S88" s="161"/>
      <c r="T88" s="27"/>
      <c r="U88" s="27"/>
      <c r="V88" s="44"/>
      <c r="W88" s="44"/>
      <c r="X88" s="44"/>
      <c r="Y88" s="44"/>
      <c r="Z88" s="44"/>
      <c r="AA88" s="23"/>
      <c r="AB88" s="23"/>
      <c r="AC88" s="23"/>
      <c r="AD88" s="44"/>
      <c r="AE88" s="42"/>
      <c r="AF88" s="145"/>
      <c r="AG88" s="128"/>
      <c r="AH88" s="24"/>
      <c r="AI88" s="24"/>
      <c r="AJ88" s="24"/>
      <c r="AK88" s="24"/>
      <c r="AL88" s="24"/>
      <c r="AM88" s="24"/>
      <c r="AN88" s="24"/>
      <c r="AO88" s="24"/>
      <c r="AP88" s="24"/>
      <c r="AQ88" s="23"/>
      <c r="AR88" s="25"/>
    </row>
    <row r="89" spans="1:44" ht="14.25" customHeight="1">
      <c r="A89" s="80"/>
      <c r="B89" s="57"/>
      <c r="C89" s="141"/>
      <c r="D89" s="141"/>
      <c r="E89" s="141"/>
      <c r="F89" s="141"/>
      <c r="G89" s="141"/>
      <c r="H89" s="141"/>
      <c r="I89" s="141"/>
      <c r="J89" s="141"/>
      <c r="K89" s="141"/>
      <c r="L89" s="141"/>
      <c r="M89" s="141"/>
      <c r="N89" s="141"/>
      <c r="O89" s="141"/>
      <c r="P89" s="141"/>
      <c r="Q89" s="141"/>
      <c r="R89" s="141"/>
      <c r="S89" s="141"/>
      <c r="T89" s="141"/>
      <c r="U89" s="141"/>
      <c r="V89" s="141"/>
      <c r="W89" s="141"/>
      <c r="X89" s="141"/>
      <c r="Y89" s="141"/>
      <c r="Z89" s="289" t="s">
        <v>17</v>
      </c>
      <c r="AA89" s="289"/>
      <c r="AB89" s="289"/>
      <c r="AC89" s="289"/>
      <c r="AD89" s="289"/>
      <c r="AE89" s="10" t="s">
        <v>16</v>
      </c>
      <c r="AF89" s="11">
        <f>ROUND(L88,2)</f>
        <v>17.05</v>
      </c>
      <c r="AG89" s="12" t="s">
        <v>9</v>
      </c>
    </row>
    <row r="90" spans="1:44" s="8" customFormat="1" ht="79.5" customHeight="1">
      <c r="A90" s="17">
        <f>A84+1</f>
        <v>19</v>
      </c>
      <c r="B90" s="17" t="s">
        <v>100</v>
      </c>
      <c r="C90" s="335" t="s">
        <v>77</v>
      </c>
      <c r="D90" s="336"/>
      <c r="E90" s="336"/>
      <c r="F90" s="336"/>
      <c r="G90" s="336"/>
      <c r="H90" s="336"/>
      <c r="I90" s="336"/>
      <c r="J90" s="336"/>
      <c r="K90" s="336"/>
      <c r="L90" s="336"/>
      <c r="M90" s="336"/>
      <c r="N90" s="336"/>
      <c r="O90" s="336"/>
      <c r="P90" s="336"/>
      <c r="Q90" s="336"/>
      <c r="R90" s="336"/>
      <c r="S90" s="336"/>
      <c r="T90" s="336"/>
      <c r="U90" s="336"/>
      <c r="V90" s="336"/>
      <c r="W90" s="336"/>
      <c r="X90" s="336"/>
      <c r="Y90" s="336"/>
      <c r="Z90" s="336"/>
      <c r="AA90" s="336"/>
      <c r="AB90" s="336"/>
      <c r="AC90" s="336"/>
      <c r="AD90" s="336"/>
      <c r="AE90" s="38" t="s">
        <v>16</v>
      </c>
      <c r="AF90" s="39">
        <v>1</v>
      </c>
      <c r="AG90" s="12" t="s">
        <v>72</v>
      </c>
    </row>
    <row r="91" spans="1:44" s="8" customFormat="1" ht="51.75" customHeight="1">
      <c r="A91" s="17">
        <f t="shared" ref="A91:A95" si="0">A90+1</f>
        <v>20</v>
      </c>
      <c r="B91" s="17" t="s">
        <v>100</v>
      </c>
      <c r="C91" s="335" t="s">
        <v>74</v>
      </c>
      <c r="D91" s="336"/>
      <c r="E91" s="336"/>
      <c r="F91" s="336"/>
      <c r="G91" s="336"/>
      <c r="H91" s="336"/>
      <c r="I91" s="336"/>
      <c r="J91" s="336"/>
      <c r="K91" s="336"/>
      <c r="L91" s="336"/>
      <c r="M91" s="336"/>
      <c r="N91" s="336"/>
      <c r="O91" s="336"/>
      <c r="P91" s="336"/>
      <c r="Q91" s="336"/>
      <c r="R91" s="336"/>
      <c r="S91" s="336"/>
      <c r="T91" s="336"/>
      <c r="U91" s="336"/>
      <c r="V91" s="336"/>
      <c r="W91" s="336"/>
      <c r="X91" s="336"/>
      <c r="Y91" s="336"/>
      <c r="Z91" s="336"/>
      <c r="AA91" s="336"/>
      <c r="AB91" s="336"/>
      <c r="AC91" s="336"/>
      <c r="AD91" s="336"/>
      <c r="AE91" s="38" t="s">
        <v>16</v>
      </c>
      <c r="AF91" s="39">
        <v>60</v>
      </c>
      <c r="AG91" s="12" t="s">
        <v>101</v>
      </c>
    </row>
    <row r="92" spans="1:44" s="8" customFormat="1" ht="27.75" customHeight="1">
      <c r="A92" s="17">
        <f t="shared" si="0"/>
        <v>21</v>
      </c>
      <c r="B92" s="17" t="s">
        <v>100</v>
      </c>
      <c r="C92" s="335" t="s">
        <v>75</v>
      </c>
      <c r="D92" s="336"/>
      <c r="E92" s="336"/>
      <c r="F92" s="336"/>
      <c r="G92" s="336"/>
      <c r="H92" s="336"/>
      <c r="I92" s="336"/>
      <c r="J92" s="336"/>
      <c r="K92" s="336"/>
      <c r="L92" s="336"/>
      <c r="M92" s="336"/>
      <c r="N92" s="336"/>
      <c r="O92" s="336"/>
      <c r="P92" s="336"/>
      <c r="Q92" s="336"/>
      <c r="R92" s="336"/>
      <c r="S92" s="336"/>
      <c r="T92" s="336"/>
      <c r="U92" s="336"/>
      <c r="V92" s="336"/>
      <c r="W92" s="336"/>
      <c r="X92" s="336"/>
      <c r="Y92" s="336"/>
      <c r="Z92" s="336"/>
      <c r="AA92" s="336"/>
      <c r="AB92" s="336"/>
      <c r="AC92" s="336"/>
      <c r="AD92" s="336"/>
      <c r="AE92" s="38" t="s">
        <v>16</v>
      </c>
      <c r="AF92" s="39">
        <v>1</v>
      </c>
      <c r="AG92" s="12" t="s">
        <v>72</v>
      </c>
    </row>
    <row r="93" spans="1:44" s="8" customFormat="1" ht="40.5" customHeight="1">
      <c r="A93" s="17">
        <f t="shared" si="0"/>
        <v>22</v>
      </c>
      <c r="B93" s="17" t="s">
        <v>100</v>
      </c>
      <c r="C93" s="335" t="s">
        <v>76</v>
      </c>
      <c r="D93" s="336"/>
      <c r="E93" s="336"/>
      <c r="F93" s="336"/>
      <c r="G93" s="336"/>
      <c r="H93" s="336"/>
      <c r="I93" s="336"/>
      <c r="J93" s="336"/>
      <c r="K93" s="336"/>
      <c r="L93" s="336"/>
      <c r="M93" s="336"/>
      <c r="N93" s="336"/>
      <c r="O93" s="336"/>
      <c r="P93" s="336"/>
      <c r="Q93" s="336"/>
      <c r="R93" s="336"/>
      <c r="S93" s="336"/>
      <c r="T93" s="336"/>
      <c r="U93" s="336"/>
      <c r="V93" s="336"/>
      <c r="W93" s="336"/>
      <c r="X93" s="336"/>
      <c r="Y93" s="336"/>
      <c r="Z93" s="336"/>
      <c r="AA93" s="336"/>
      <c r="AB93" s="336"/>
      <c r="AC93" s="336"/>
      <c r="AD93" s="336"/>
      <c r="AE93" s="38" t="s">
        <v>16</v>
      </c>
      <c r="AF93" s="39">
        <v>1</v>
      </c>
      <c r="AG93" s="12" t="s">
        <v>72</v>
      </c>
    </row>
    <row r="94" spans="1:44" s="8" customFormat="1" ht="81" customHeight="1">
      <c r="A94" s="17">
        <f t="shared" si="0"/>
        <v>23</v>
      </c>
      <c r="B94" s="17" t="s">
        <v>100</v>
      </c>
      <c r="C94" s="335" t="s">
        <v>78</v>
      </c>
      <c r="D94" s="336"/>
      <c r="E94" s="336"/>
      <c r="F94" s="336"/>
      <c r="G94" s="336"/>
      <c r="H94" s="336"/>
      <c r="I94" s="336"/>
      <c r="J94" s="336"/>
      <c r="K94" s="336"/>
      <c r="L94" s="336"/>
      <c r="M94" s="336"/>
      <c r="N94" s="336"/>
      <c r="O94" s="336"/>
      <c r="P94" s="336"/>
      <c r="Q94" s="336"/>
      <c r="R94" s="336"/>
      <c r="S94" s="336"/>
      <c r="T94" s="336"/>
      <c r="U94" s="336"/>
      <c r="V94" s="336"/>
      <c r="W94" s="336"/>
      <c r="X94" s="336"/>
      <c r="Y94" s="336"/>
      <c r="Z94" s="336"/>
      <c r="AA94" s="336"/>
      <c r="AB94" s="336"/>
      <c r="AC94" s="336"/>
      <c r="AD94" s="336"/>
      <c r="AE94" s="38" t="s">
        <v>16</v>
      </c>
      <c r="AF94" s="39">
        <v>1</v>
      </c>
      <c r="AG94" s="12" t="s">
        <v>72</v>
      </c>
    </row>
    <row r="95" spans="1:44" s="8" customFormat="1" ht="42" customHeight="1">
      <c r="A95" s="17">
        <f t="shared" si="0"/>
        <v>24</v>
      </c>
      <c r="B95" s="17" t="s">
        <v>100</v>
      </c>
      <c r="C95" s="351" t="s">
        <v>79</v>
      </c>
      <c r="D95" s="352"/>
      <c r="E95" s="352"/>
      <c r="F95" s="352"/>
      <c r="G95" s="352"/>
      <c r="H95" s="352"/>
      <c r="I95" s="352"/>
      <c r="J95" s="352"/>
      <c r="K95" s="352"/>
      <c r="L95" s="352"/>
      <c r="M95" s="352"/>
      <c r="N95" s="352"/>
      <c r="O95" s="352"/>
      <c r="P95" s="352"/>
      <c r="Q95" s="352"/>
      <c r="R95" s="352"/>
      <c r="S95" s="352"/>
      <c r="T95" s="352"/>
      <c r="U95" s="352"/>
      <c r="V95" s="352"/>
      <c r="W95" s="352"/>
      <c r="X95" s="352"/>
      <c r="Y95" s="352"/>
      <c r="Z95" s="352"/>
      <c r="AA95" s="352"/>
      <c r="AB95" s="352"/>
      <c r="AC95" s="352"/>
      <c r="AD95" s="352"/>
      <c r="AE95" s="5" t="s">
        <v>16</v>
      </c>
      <c r="AF95" s="119">
        <v>1</v>
      </c>
      <c r="AG95" s="6" t="s">
        <v>72</v>
      </c>
    </row>
    <row r="96" spans="1:44" s="19" customFormat="1" ht="39.75" customHeight="1">
      <c r="A96" s="18">
        <f>A95+1</f>
        <v>25</v>
      </c>
      <c r="B96" s="18" t="s">
        <v>56</v>
      </c>
      <c r="C96" s="294" t="s">
        <v>55</v>
      </c>
      <c r="D96" s="295"/>
      <c r="E96" s="295"/>
      <c r="F96" s="295"/>
      <c r="G96" s="295"/>
      <c r="H96" s="295"/>
      <c r="I96" s="295"/>
      <c r="J96" s="295"/>
      <c r="K96" s="295"/>
      <c r="L96" s="295"/>
      <c r="M96" s="295"/>
      <c r="N96" s="295"/>
      <c r="O96" s="295"/>
      <c r="P96" s="295"/>
      <c r="Q96" s="295"/>
      <c r="R96" s="295"/>
      <c r="S96" s="295"/>
      <c r="T96" s="295"/>
      <c r="U96" s="295"/>
      <c r="V96" s="295"/>
      <c r="W96" s="295"/>
      <c r="X96" s="295"/>
      <c r="Y96" s="295"/>
      <c r="Z96" s="295"/>
      <c r="AA96" s="295"/>
      <c r="AB96" s="295"/>
      <c r="AC96" s="295"/>
      <c r="AD96" s="295"/>
      <c r="AE96" s="76"/>
      <c r="AF96" s="76"/>
      <c r="AG96" s="77"/>
      <c r="AH96" s="76"/>
      <c r="AI96" s="76"/>
      <c r="AJ96" s="76"/>
      <c r="AK96" s="76"/>
      <c r="AL96" s="76"/>
      <c r="AM96" s="76"/>
      <c r="AN96" s="76"/>
      <c r="AO96" s="76"/>
      <c r="AP96" s="76"/>
      <c r="AQ96" s="76"/>
      <c r="AR96" s="77"/>
    </row>
    <row r="97" spans="1:44" s="19" customFormat="1" ht="13.5" customHeight="1">
      <c r="A97" s="20"/>
      <c r="B97" s="21"/>
      <c r="C97" s="78"/>
      <c r="D97" s="47" t="s">
        <v>57</v>
      </c>
      <c r="E97" s="47"/>
      <c r="F97" s="47"/>
      <c r="G97" s="47"/>
      <c r="H97" s="297">
        <v>650</v>
      </c>
      <c r="I97" s="297"/>
      <c r="J97" s="297"/>
      <c r="K97" s="47"/>
      <c r="L97" s="47"/>
      <c r="M97" s="47" t="s">
        <v>58</v>
      </c>
      <c r="N97" s="47"/>
      <c r="O97" s="47" t="s">
        <v>16</v>
      </c>
      <c r="P97" s="297">
        <v>3</v>
      </c>
      <c r="Q97" s="297"/>
      <c r="R97" s="47"/>
      <c r="S97" s="47"/>
      <c r="T97" s="47" t="s">
        <v>59</v>
      </c>
      <c r="U97" s="47" t="s">
        <v>16</v>
      </c>
      <c r="V97" s="297">
        <v>0.45</v>
      </c>
      <c r="W97" s="297"/>
      <c r="X97" s="47"/>
      <c r="Y97" s="47"/>
      <c r="Z97" s="47"/>
      <c r="AA97" s="47"/>
      <c r="AB97" s="47"/>
      <c r="AC97" s="47"/>
      <c r="AD97" s="47"/>
      <c r="AE97" s="47"/>
      <c r="AF97" s="47"/>
      <c r="AG97" s="79"/>
      <c r="AH97" s="47"/>
      <c r="AI97" s="47"/>
      <c r="AJ97" s="47"/>
      <c r="AK97" s="47"/>
      <c r="AL97" s="47"/>
      <c r="AM97" s="47"/>
      <c r="AN97" s="47"/>
      <c r="AO97" s="47"/>
      <c r="AP97" s="47"/>
      <c r="AQ97" s="47"/>
      <c r="AR97" s="79"/>
    </row>
    <row r="98" spans="1:44" s="19" customFormat="1" ht="13.5" customHeight="1">
      <c r="A98" s="20"/>
      <c r="B98" s="21"/>
      <c r="C98" s="22"/>
      <c r="D98" s="23"/>
      <c r="E98" s="23"/>
      <c r="F98" s="23"/>
      <c r="G98" s="23"/>
      <c r="H98" s="23"/>
      <c r="I98" s="23"/>
      <c r="J98" s="23"/>
      <c r="K98" s="26"/>
      <c r="L98" s="27"/>
      <c r="M98" s="308" t="s">
        <v>60</v>
      </c>
      <c r="N98" s="308"/>
      <c r="O98" s="308"/>
      <c r="P98" s="308"/>
      <c r="Q98" s="299">
        <f>H97*P97*V97</f>
        <v>877.5</v>
      </c>
      <c r="R98" s="299"/>
      <c r="S98" s="299"/>
      <c r="T98" s="300" t="s">
        <v>9</v>
      </c>
      <c r="U98" s="300"/>
      <c r="V98" s="44"/>
      <c r="W98" s="44"/>
      <c r="X98" s="44"/>
      <c r="Y98" s="44"/>
      <c r="Z98" s="44"/>
      <c r="AA98" s="23"/>
      <c r="AB98" s="23"/>
      <c r="AC98" s="23"/>
      <c r="AD98" s="44"/>
      <c r="AE98" s="42"/>
      <c r="AF98" s="123"/>
      <c r="AG98" s="128"/>
      <c r="AH98" s="24"/>
      <c r="AI98" s="24"/>
      <c r="AJ98" s="24"/>
      <c r="AK98" s="24"/>
      <c r="AL98" s="24"/>
      <c r="AM98" s="24"/>
      <c r="AN98" s="24"/>
      <c r="AO98" s="24"/>
      <c r="AP98" s="24"/>
      <c r="AQ98" s="23"/>
      <c r="AR98" s="25"/>
    </row>
    <row r="99" spans="1:44" s="19" customFormat="1" ht="13.5" customHeight="1">
      <c r="A99" s="20"/>
      <c r="B99" s="21"/>
      <c r="C99" s="78"/>
      <c r="D99" s="47" t="s">
        <v>91</v>
      </c>
      <c r="E99" s="47"/>
      <c r="F99" s="47"/>
      <c r="G99" s="47"/>
      <c r="H99" s="120"/>
      <c r="I99" s="120"/>
      <c r="J99" s="47" t="s">
        <v>16</v>
      </c>
      <c r="K99" s="47"/>
      <c r="L99" s="47"/>
      <c r="M99" s="47">
        <v>2</v>
      </c>
      <c r="N99" s="47"/>
      <c r="O99" s="23" t="s">
        <v>20</v>
      </c>
      <c r="P99" s="297">
        <f>H97</f>
        <v>650</v>
      </c>
      <c r="Q99" s="297"/>
      <c r="R99" s="47" t="s">
        <v>20</v>
      </c>
      <c r="S99" s="341">
        <v>0.3</v>
      </c>
      <c r="T99" s="341"/>
      <c r="U99" s="47" t="s">
        <v>20</v>
      </c>
      <c r="V99" s="297">
        <v>0.2</v>
      </c>
      <c r="W99" s="297"/>
      <c r="X99" s="47" t="s">
        <v>16</v>
      </c>
      <c r="Y99" s="297">
        <f>P99*S99*V99*M99</f>
        <v>78</v>
      </c>
      <c r="Z99" s="297"/>
      <c r="AA99" s="297"/>
      <c r="AB99" s="300" t="s">
        <v>9</v>
      </c>
      <c r="AC99" s="300"/>
      <c r="AD99" s="47"/>
      <c r="AE99" s="47"/>
      <c r="AF99" s="47"/>
      <c r="AG99" s="79"/>
      <c r="AH99" s="47"/>
      <c r="AI99" s="47"/>
      <c r="AJ99" s="47"/>
      <c r="AK99" s="47"/>
      <c r="AL99" s="47"/>
      <c r="AM99" s="47"/>
      <c r="AN99" s="47"/>
      <c r="AO99" s="47"/>
      <c r="AP99" s="47"/>
      <c r="AQ99" s="47"/>
      <c r="AR99" s="79"/>
    </row>
    <row r="100" spans="1:44" s="19" customFormat="1" ht="13.5" customHeight="1">
      <c r="A100" s="20"/>
      <c r="B100" s="21"/>
      <c r="C100" s="47"/>
      <c r="D100" s="47"/>
      <c r="E100" s="47"/>
      <c r="F100" s="47"/>
      <c r="G100" s="47"/>
      <c r="H100" s="120"/>
      <c r="I100" s="120"/>
      <c r="J100" s="47"/>
      <c r="K100" s="47"/>
      <c r="L100" s="47"/>
      <c r="M100" s="47"/>
      <c r="N100" s="47"/>
      <c r="O100" s="23"/>
      <c r="P100" s="120"/>
      <c r="Q100" s="120"/>
      <c r="R100" s="47"/>
      <c r="S100" s="121"/>
      <c r="T100" s="121"/>
      <c r="U100" s="47"/>
      <c r="V100" s="120"/>
      <c r="W100" s="120"/>
      <c r="X100" s="47" t="s">
        <v>16</v>
      </c>
      <c r="Y100" s="297">
        <f>Y99+Q98</f>
        <v>955.5</v>
      </c>
      <c r="Z100" s="297"/>
      <c r="AA100" s="297"/>
      <c r="AB100" s="300" t="s">
        <v>9</v>
      </c>
      <c r="AC100" s="300"/>
      <c r="AD100" s="47"/>
      <c r="AE100" s="47"/>
      <c r="AF100" s="47"/>
      <c r="AG100" s="79"/>
      <c r="AH100" s="47"/>
      <c r="AI100" s="47"/>
      <c r="AJ100" s="47"/>
      <c r="AK100" s="47"/>
      <c r="AL100" s="47"/>
      <c r="AM100" s="47"/>
      <c r="AN100" s="47"/>
      <c r="AO100" s="47"/>
      <c r="AP100" s="47"/>
      <c r="AQ100" s="47"/>
      <c r="AR100" s="47"/>
    </row>
    <row r="101" spans="1:44" ht="14.25" customHeight="1">
      <c r="A101" s="80"/>
      <c r="B101" s="57"/>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289" t="s">
        <v>17</v>
      </c>
      <c r="AA101" s="289"/>
      <c r="AB101" s="289"/>
      <c r="AC101" s="289"/>
      <c r="AD101" s="289"/>
      <c r="AE101" s="10" t="s">
        <v>16</v>
      </c>
      <c r="AF101" s="11">
        <f>ROUND(Y100,2)</f>
        <v>955.5</v>
      </c>
      <c r="AG101" s="12" t="s">
        <v>9</v>
      </c>
    </row>
    <row r="102" spans="1:44" s="19" customFormat="1" ht="52.5" customHeight="1">
      <c r="A102" s="18">
        <f>A96+1</f>
        <v>26</v>
      </c>
      <c r="B102" s="109" t="s">
        <v>102</v>
      </c>
      <c r="C102" s="294" t="s">
        <v>92</v>
      </c>
      <c r="D102" s="295"/>
      <c r="E102" s="295"/>
      <c r="F102" s="295"/>
      <c r="G102" s="295"/>
      <c r="H102" s="295"/>
      <c r="I102" s="295"/>
      <c r="J102" s="295"/>
      <c r="K102" s="295"/>
      <c r="L102" s="295"/>
      <c r="M102" s="295"/>
      <c r="N102" s="295"/>
      <c r="O102" s="295"/>
      <c r="P102" s="295"/>
      <c r="Q102" s="295"/>
      <c r="R102" s="295"/>
      <c r="S102" s="295"/>
      <c r="T102" s="295"/>
      <c r="U102" s="295"/>
      <c r="V102" s="295"/>
      <c r="W102" s="295"/>
      <c r="X102" s="295"/>
      <c r="Y102" s="295"/>
      <c r="Z102" s="295"/>
      <c r="AA102" s="295"/>
      <c r="AB102" s="295"/>
      <c r="AC102" s="295"/>
      <c r="AD102" s="295"/>
      <c r="AE102" s="81"/>
      <c r="AF102" s="81"/>
      <c r="AG102" s="82"/>
      <c r="AH102" s="81"/>
      <c r="AI102" s="81"/>
      <c r="AJ102" s="81"/>
      <c r="AK102" s="81"/>
      <c r="AL102" s="81"/>
      <c r="AM102" s="81"/>
      <c r="AN102" s="81"/>
      <c r="AO102" s="81"/>
      <c r="AP102" s="81"/>
      <c r="AQ102" s="81"/>
      <c r="AR102" s="82"/>
    </row>
    <row r="103" spans="1:44" s="19" customFormat="1" ht="13.5" customHeight="1">
      <c r="A103" s="20"/>
      <c r="B103" s="21"/>
      <c r="C103" s="83"/>
      <c r="D103" s="84" t="s">
        <v>57</v>
      </c>
      <c r="E103" s="84"/>
      <c r="F103" s="84"/>
      <c r="G103" s="84"/>
      <c r="H103" s="307">
        <v>550</v>
      </c>
      <c r="I103" s="307"/>
      <c r="J103" s="307"/>
      <c r="K103" s="84"/>
      <c r="L103" s="84"/>
      <c r="M103" s="84" t="s">
        <v>58</v>
      </c>
      <c r="N103" s="84"/>
      <c r="O103" s="84" t="s">
        <v>16</v>
      </c>
      <c r="P103" s="307">
        <v>2.8</v>
      </c>
      <c r="Q103" s="307"/>
      <c r="R103" s="84"/>
      <c r="S103" s="84"/>
      <c r="T103" s="84"/>
      <c r="U103" s="84"/>
      <c r="V103" s="307"/>
      <c r="W103" s="307"/>
      <c r="X103" s="84"/>
      <c r="Y103" s="84"/>
      <c r="Z103" s="84"/>
      <c r="AA103" s="84"/>
      <c r="AB103" s="84"/>
      <c r="AC103" s="84"/>
      <c r="AD103" s="84"/>
      <c r="AE103" s="84"/>
      <c r="AF103" s="84"/>
      <c r="AG103" s="85"/>
      <c r="AH103" s="84"/>
      <c r="AI103" s="84"/>
      <c r="AJ103" s="84"/>
      <c r="AK103" s="84"/>
      <c r="AL103" s="84"/>
      <c r="AM103" s="84"/>
      <c r="AN103" s="84"/>
      <c r="AO103" s="84"/>
      <c r="AP103" s="84"/>
      <c r="AQ103" s="84"/>
      <c r="AR103" s="85"/>
    </row>
    <row r="104" spans="1:44" s="19" customFormat="1" ht="13.5" customHeight="1">
      <c r="A104" s="20"/>
      <c r="B104" s="21"/>
      <c r="C104" s="22"/>
      <c r="D104" s="23"/>
      <c r="E104" s="23"/>
      <c r="F104" s="23"/>
      <c r="G104" s="23"/>
      <c r="H104" s="23"/>
      <c r="I104" s="23"/>
      <c r="J104" s="23"/>
      <c r="K104" s="26"/>
      <c r="L104" s="27"/>
      <c r="M104" s="308" t="s">
        <v>60</v>
      </c>
      <c r="N104" s="308"/>
      <c r="O104" s="308"/>
      <c r="P104" s="308"/>
      <c r="Q104" s="299">
        <f>H103*P103</f>
        <v>1540</v>
      </c>
      <c r="R104" s="299"/>
      <c r="S104" s="299"/>
      <c r="T104" s="300" t="s">
        <v>21</v>
      </c>
      <c r="U104" s="300"/>
      <c r="V104" s="44"/>
      <c r="W104" s="44"/>
      <c r="X104" s="44"/>
      <c r="Y104" s="44"/>
      <c r="Z104" s="44"/>
      <c r="AA104" s="23"/>
      <c r="AB104" s="23"/>
      <c r="AC104" s="23"/>
      <c r="AD104" s="44"/>
      <c r="AE104" s="42"/>
      <c r="AF104" s="123"/>
      <c r="AG104" s="128"/>
      <c r="AH104" s="24"/>
      <c r="AI104" s="24"/>
      <c r="AJ104" s="24"/>
      <c r="AK104" s="24"/>
      <c r="AL104" s="24"/>
      <c r="AM104" s="24"/>
      <c r="AN104" s="24"/>
      <c r="AO104" s="24"/>
      <c r="AP104" s="24"/>
      <c r="AQ104" s="23"/>
      <c r="AR104" s="25"/>
    </row>
    <row r="105" spans="1:44" ht="14.25" customHeight="1">
      <c r="A105" s="80"/>
      <c r="B105" s="86"/>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289" t="s">
        <v>17</v>
      </c>
      <c r="AA105" s="289"/>
      <c r="AB105" s="289"/>
      <c r="AC105" s="289"/>
      <c r="AD105" s="289"/>
      <c r="AE105" s="10" t="s">
        <v>16</v>
      </c>
      <c r="AF105" s="11">
        <f>ROUND(Q104,2)</f>
        <v>1540</v>
      </c>
      <c r="AG105" s="129" t="s">
        <v>21</v>
      </c>
      <c r="AH105" s="87"/>
    </row>
    <row r="106" spans="1:44" s="19" customFormat="1" ht="67.5" customHeight="1">
      <c r="A106" s="18">
        <f>A102+1</f>
        <v>27</v>
      </c>
      <c r="B106" s="18" t="s">
        <v>62</v>
      </c>
      <c r="C106" s="294" t="s">
        <v>61</v>
      </c>
      <c r="D106" s="295"/>
      <c r="E106" s="295"/>
      <c r="F106" s="295"/>
      <c r="G106" s="295"/>
      <c r="H106" s="295"/>
      <c r="I106" s="295"/>
      <c r="J106" s="295"/>
      <c r="K106" s="295"/>
      <c r="L106" s="295"/>
      <c r="M106" s="295"/>
      <c r="N106" s="295"/>
      <c r="O106" s="295"/>
      <c r="P106" s="295"/>
      <c r="Q106" s="295"/>
      <c r="R106" s="295"/>
      <c r="S106" s="295"/>
      <c r="T106" s="295"/>
      <c r="U106" s="295"/>
      <c r="V106" s="295"/>
      <c r="W106" s="295"/>
      <c r="X106" s="295"/>
      <c r="Y106" s="295"/>
      <c r="Z106" s="295"/>
      <c r="AA106" s="295"/>
      <c r="AB106" s="295"/>
      <c r="AC106" s="295"/>
      <c r="AD106" s="295"/>
      <c r="AE106" s="76"/>
      <c r="AF106" s="76"/>
      <c r="AG106" s="77"/>
      <c r="AH106" s="76"/>
      <c r="AI106" s="76"/>
      <c r="AJ106" s="76"/>
      <c r="AK106" s="76"/>
      <c r="AL106" s="76"/>
      <c r="AM106" s="76"/>
      <c r="AN106" s="76"/>
      <c r="AO106" s="76"/>
      <c r="AP106" s="76"/>
      <c r="AQ106" s="76"/>
      <c r="AR106" s="77"/>
    </row>
    <row r="107" spans="1:44" s="19" customFormat="1" ht="13.5" customHeight="1">
      <c r="A107" s="20"/>
      <c r="B107" s="21"/>
      <c r="C107" s="78"/>
      <c r="D107" s="47" t="s">
        <v>57</v>
      </c>
      <c r="E107" s="47"/>
      <c r="F107" s="47"/>
      <c r="G107" s="47"/>
      <c r="H107" s="297">
        <f>H103</f>
        <v>550</v>
      </c>
      <c r="I107" s="297"/>
      <c r="J107" s="297"/>
      <c r="K107" s="47"/>
      <c r="L107" s="47"/>
      <c r="M107" s="47" t="s">
        <v>58</v>
      </c>
      <c r="N107" s="47"/>
      <c r="O107" s="47" t="s">
        <v>16</v>
      </c>
      <c r="P107" s="297">
        <f>P103</f>
        <v>2.8</v>
      </c>
      <c r="Q107" s="297"/>
      <c r="R107" s="47"/>
      <c r="S107" s="47"/>
      <c r="T107" s="47" t="s">
        <v>59</v>
      </c>
      <c r="U107" s="47" t="s">
        <v>16</v>
      </c>
      <c r="V107" s="297">
        <v>0.15</v>
      </c>
      <c r="W107" s="297"/>
      <c r="X107" s="47"/>
      <c r="Y107" s="47"/>
      <c r="Z107" s="47"/>
      <c r="AA107" s="47"/>
      <c r="AB107" s="47"/>
      <c r="AC107" s="47"/>
      <c r="AD107" s="47"/>
      <c r="AE107" s="47"/>
      <c r="AF107" s="47"/>
      <c r="AG107" s="79"/>
      <c r="AH107" s="47"/>
      <c r="AI107" s="47"/>
      <c r="AJ107" s="47"/>
      <c r="AK107" s="47"/>
      <c r="AL107" s="47"/>
      <c r="AM107" s="47"/>
      <c r="AN107" s="47"/>
      <c r="AO107" s="47"/>
      <c r="AP107" s="47"/>
      <c r="AQ107" s="47"/>
      <c r="AR107" s="79"/>
    </row>
    <row r="108" spans="1:44" s="19" customFormat="1" ht="13.5" customHeight="1">
      <c r="A108" s="20"/>
      <c r="B108" s="21"/>
      <c r="C108" s="22"/>
      <c r="D108" s="23"/>
      <c r="E108" s="23"/>
      <c r="F108" s="23"/>
      <c r="G108" s="23"/>
      <c r="H108" s="23"/>
      <c r="I108" s="23"/>
      <c r="J108" s="23"/>
      <c r="K108" s="26"/>
      <c r="L108" s="27"/>
      <c r="M108" s="308" t="s">
        <v>60</v>
      </c>
      <c r="N108" s="308"/>
      <c r="O108" s="308"/>
      <c r="P108" s="308"/>
      <c r="Q108" s="299">
        <f>H107*P107*V107</f>
        <v>231</v>
      </c>
      <c r="R108" s="299"/>
      <c r="S108" s="299"/>
      <c r="T108" s="300" t="s">
        <v>9</v>
      </c>
      <c r="U108" s="300"/>
      <c r="V108" s="44"/>
      <c r="W108" s="44"/>
      <c r="X108" s="44"/>
      <c r="Y108" s="44"/>
      <c r="Z108" s="44"/>
      <c r="AA108" s="23"/>
      <c r="AB108" s="23"/>
      <c r="AC108" s="23"/>
      <c r="AD108" s="44"/>
      <c r="AE108" s="42"/>
      <c r="AF108" s="123"/>
      <c r="AG108" s="128"/>
      <c r="AH108" s="24"/>
      <c r="AI108" s="24"/>
      <c r="AJ108" s="24"/>
      <c r="AK108" s="24"/>
      <c r="AL108" s="24"/>
      <c r="AM108" s="24"/>
      <c r="AN108" s="24"/>
      <c r="AO108" s="24"/>
      <c r="AP108" s="24"/>
      <c r="AQ108" s="23"/>
      <c r="AR108" s="25"/>
    </row>
    <row r="109" spans="1:44" ht="14.25" customHeight="1">
      <c r="A109" s="80"/>
      <c r="B109" s="57"/>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289" t="s">
        <v>17</v>
      </c>
      <c r="AA109" s="289"/>
      <c r="AB109" s="289"/>
      <c r="AC109" s="289"/>
      <c r="AD109" s="289"/>
      <c r="AE109" s="10" t="s">
        <v>16</v>
      </c>
      <c r="AF109" s="11">
        <f>ROUND(Q108,2)</f>
        <v>231</v>
      </c>
      <c r="AG109" s="12" t="s">
        <v>9</v>
      </c>
    </row>
    <row r="110" spans="1:44" s="19" customFormat="1" ht="78.75" customHeight="1">
      <c r="A110" s="89">
        <f>A106+1</f>
        <v>28</v>
      </c>
      <c r="B110" s="109" t="s">
        <v>100</v>
      </c>
      <c r="C110" s="295" t="s">
        <v>64</v>
      </c>
      <c r="D110" s="295"/>
      <c r="E110" s="295"/>
      <c r="F110" s="295"/>
      <c r="G110" s="295"/>
      <c r="H110" s="295"/>
      <c r="I110" s="295"/>
      <c r="J110" s="295"/>
      <c r="K110" s="295"/>
      <c r="L110" s="295"/>
      <c r="M110" s="295"/>
      <c r="N110" s="295"/>
      <c r="O110" s="295"/>
      <c r="P110" s="295"/>
      <c r="Q110" s="295"/>
      <c r="R110" s="295"/>
      <c r="S110" s="295"/>
      <c r="T110" s="295"/>
      <c r="U110" s="295"/>
      <c r="V110" s="295"/>
      <c r="W110" s="295"/>
      <c r="X110" s="295"/>
      <c r="Y110" s="295"/>
      <c r="Z110" s="295"/>
      <c r="AA110" s="295"/>
      <c r="AB110" s="295"/>
      <c r="AC110" s="295"/>
      <c r="AD110" s="295"/>
      <c r="AE110" s="295"/>
      <c r="AF110" s="295"/>
      <c r="AG110" s="306"/>
      <c r="AH110" s="28"/>
      <c r="AI110" s="28"/>
      <c r="AJ110" s="28"/>
      <c r="AK110" s="28"/>
      <c r="AL110" s="28"/>
      <c r="AM110" s="28"/>
    </row>
    <row r="111" spans="1:44" s="29" customFormat="1" ht="20.25" customHeight="1">
      <c r="A111" s="130"/>
      <c r="B111" s="88"/>
      <c r="C111" s="304" t="s">
        <v>63</v>
      </c>
      <c r="D111" s="304"/>
      <c r="E111" s="304"/>
      <c r="F111" s="304"/>
      <c r="G111" s="304"/>
      <c r="H111" s="304"/>
      <c r="I111" s="304"/>
      <c r="J111" s="304"/>
      <c r="K111" s="304"/>
      <c r="L111" s="304"/>
      <c r="M111" s="304"/>
      <c r="N111" s="304"/>
      <c r="O111" s="304"/>
      <c r="P111" s="304"/>
      <c r="Q111" s="304"/>
      <c r="R111" s="304"/>
      <c r="S111" s="304"/>
      <c r="T111" s="304"/>
      <c r="U111" s="304"/>
      <c r="V111" s="304"/>
      <c r="W111" s="304"/>
      <c r="X111" s="304"/>
      <c r="Y111" s="304"/>
      <c r="Z111" s="304"/>
      <c r="AA111" s="304"/>
      <c r="AB111" s="304"/>
      <c r="AC111" s="304"/>
      <c r="AD111" s="304"/>
      <c r="AE111" s="304"/>
      <c r="AF111" s="304"/>
      <c r="AG111" s="305"/>
    </row>
    <row r="112" spans="1:44" s="19" customFormat="1" ht="13.5" customHeight="1">
      <c r="A112" s="30"/>
      <c r="B112" s="21"/>
      <c r="C112" s="47"/>
      <c r="D112" s="47" t="s">
        <v>57</v>
      </c>
      <c r="E112" s="47"/>
      <c r="F112" s="47"/>
      <c r="G112" s="47"/>
      <c r="H112" s="297">
        <f>H107</f>
        <v>550</v>
      </c>
      <c r="I112" s="297"/>
      <c r="J112" s="297"/>
      <c r="K112" s="47"/>
      <c r="L112" s="47"/>
      <c r="M112" s="47" t="s">
        <v>58</v>
      </c>
      <c r="N112" s="47"/>
      <c r="O112" s="47" t="s">
        <v>16</v>
      </c>
      <c r="P112" s="297">
        <v>2.8</v>
      </c>
      <c r="Q112" s="297"/>
      <c r="R112" s="47"/>
      <c r="S112" s="47"/>
      <c r="T112" s="47" t="s">
        <v>47</v>
      </c>
      <c r="U112" s="23"/>
      <c r="V112" s="47" t="s">
        <v>16</v>
      </c>
      <c r="W112" s="297">
        <f>H112*P112</f>
        <v>1540</v>
      </c>
      <c r="X112" s="297"/>
      <c r="Y112" s="297"/>
      <c r="Z112" s="47" t="s">
        <v>21</v>
      </c>
      <c r="AA112" s="47"/>
      <c r="AB112" s="47"/>
      <c r="AC112" s="47"/>
      <c r="AD112" s="47"/>
      <c r="AE112" s="47"/>
      <c r="AF112" s="47"/>
      <c r="AG112" s="79"/>
      <c r="AH112" s="47"/>
      <c r="AI112" s="47"/>
      <c r="AJ112" s="47"/>
      <c r="AK112" s="47"/>
      <c r="AL112" s="47"/>
      <c r="AM112" s="47"/>
      <c r="AN112" s="47"/>
      <c r="AO112" s="47"/>
      <c r="AP112" s="47"/>
      <c r="AQ112" s="47"/>
      <c r="AR112" s="79"/>
    </row>
    <row r="113" spans="1:44" s="28" customFormat="1" ht="14.25" customHeight="1">
      <c r="A113" s="30"/>
      <c r="B113" s="31"/>
      <c r="C113" s="24"/>
      <c r="D113" s="24"/>
      <c r="E113" s="24"/>
      <c r="F113" s="24" t="s">
        <v>65</v>
      </c>
      <c r="G113" s="24"/>
      <c r="H113" s="24"/>
      <c r="I113" s="24"/>
      <c r="J113" s="24"/>
      <c r="K113" s="24"/>
      <c r="L113" s="24"/>
      <c r="M113" s="24"/>
      <c r="N113" s="24"/>
      <c r="O113" s="123"/>
      <c r="P113" s="123"/>
      <c r="Q113" s="309"/>
      <c r="R113" s="309"/>
      <c r="S113" s="123"/>
      <c r="T113" s="309"/>
      <c r="U113" s="303"/>
      <c r="V113" s="47" t="s">
        <v>16</v>
      </c>
      <c r="W113" s="302">
        <f>ROUND(W112/0.09,0)</f>
        <v>17111</v>
      </c>
      <c r="X113" s="302"/>
      <c r="Y113" s="302"/>
      <c r="Z113" s="47" t="s">
        <v>8</v>
      </c>
      <c r="AA113" s="24"/>
      <c r="AB113" s="303"/>
      <c r="AC113" s="303"/>
      <c r="AD113" s="24"/>
      <c r="AE113" s="24"/>
      <c r="AF113" s="24"/>
      <c r="AG113" s="131"/>
    </row>
    <row r="114" spans="1:44" s="28" customFormat="1" ht="14.25" customHeight="1">
      <c r="A114" s="30"/>
      <c r="B114" s="31"/>
      <c r="C114" s="24"/>
      <c r="D114" s="24"/>
      <c r="E114" s="24"/>
      <c r="F114" s="24"/>
      <c r="G114" s="24"/>
      <c r="H114" s="24"/>
      <c r="I114" s="24"/>
      <c r="J114" s="24"/>
      <c r="K114" s="24"/>
      <c r="L114" s="24"/>
      <c r="M114" s="24"/>
      <c r="N114" s="24"/>
      <c r="O114" s="123"/>
      <c r="P114" s="123"/>
      <c r="Q114" s="122"/>
      <c r="R114" s="122"/>
      <c r="S114" s="123"/>
      <c r="T114" s="122"/>
      <c r="U114" s="123"/>
      <c r="V114" s="47"/>
      <c r="W114" s="124"/>
      <c r="X114" s="124"/>
      <c r="Y114" s="124"/>
      <c r="Z114" s="293" t="s">
        <v>17</v>
      </c>
      <c r="AA114" s="293"/>
      <c r="AB114" s="293"/>
      <c r="AC114" s="293"/>
      <c r="AD114" s="293"/>
      <c r="AE114" s="10" t="s">
        <v>16</v>
      </c>
      <c r="AF114" s="32">
        <f>W113</f>
        <v>17111</v>
      </c>
      <c r="AG114" s="12" t="s">
        <v>8</v>
      </c>
    </row>
    <row r="115" spans="1:44" s="29" customFormat="1" ht="25.5" customHeight="1">
      <c r="A115" s="130"/>
      <c r="B115" s="110" t="s">
        <v>100</v>
      </c>
      <c r="C115" s="304" t="s">
        <v>93</v>
      </c>
      <c r="D115" s="304"/>
      <c r="E115" s="304"/>
      <c r="F115" s="304"/>
      <c r="G115" s="304"/>
      <c r="H115" s="304"/>
      <c r="I115" s="304"/>
      <c r="J115" s="304"/>
      <c r="K115" s="304"/>
      <c r="L115" s="304"/>
      <c r="M115" s="304"/>
      <c r="N115" s="304"/>
      <c r="O115" s="304"/>
      <c r="P115" s="304"/>
      <c r="Q115" s="304"/>
      <c r="R115" s="304"/>
      <c r="S115" s="304"/>
      <c r="T115" s="304"/>
      <c r="U115" s="304"/>
      <c r="V115" s="304"/>
      <c r="W115" s="304"/>
      <c r="X115" s="304"/>
      <c r="Y115" s="304"/>
      <c r="Z115" s="304"/>
      <c r="AA115" s="304"/>
      <c r="AB115" s="304"/>
      <c r="AC115" s="304"/>
      <c r="AD115" s="304"/>
      <c r="AE115" s="304"/>
      <c r="AF115" s="304"/>
      <c r="AG115" s="305"/>
    </row>
    <row r="116" spans="1:44" s="19" customFormat="1" ht="13.5" customHeight="1">
      <c r="A116" s="30"/>
      <c r="B116" s="21"/>
      <c r="C116" s="47"/>
      <c r="D116" s="47" t="s">
        <v>57</v>
      </c>
      <c r="E116" s="47"/>
      <c r="F116" s="47"/>
      <c r="G116" s="47"/>
      <c r="H116" s="297">
        <f>H112</f>
        <v>550</v>
      </c>
      <c r="I116" s="297"/>
      <c r="J116" s="297"/>
      <c r="K116" s="47"/>
      <c r="L116" s="47"/>
      <c r="M116" s="47"/>
      <c r="N116" s="47"/>
      <c r="O116" s="47"/>
      <c r="P116" s="297"/>
      <c r="Q116" s="297"/>
      <c r="R116" s="47"/>
      <c r="S116" s="47"/>
      <c r="T116" s="47"/>
      <c r="U116" s="23"/>
      <c r="V116" s="47"/>
      <c r="W116" s="297"/>
      <c r="X116" s="297"/>
      <c r="Y116" s="297"/>
      <c r="Z116" s="47"/>
      <c r="AA116" s="47"/>
      <c r="AB116" s="47"/>
      <c r="AC116" s="47"/>
      <c r="AD116" s="47"/>
      <c r="AE116" s="47"/>
      <c r="AF116" s="47"/>
      <c r="AG116" s="79"/>
      <c r="AH116" s="47"/>
      <c r="AI116" s="47"/>
      <c r="AJ116" s="47"/>
      <c r="AK116" s="47"/>
      <c r="AL116" s="47"/>
      <c r="AM116" s="47"/>
      <c r="AN116" s="47"/>
      <c r="AO116" s="47"/>
      <c r="AP116" s="47"/>
      <c r="AQ116" s="47"/>
      <c r="AR116" s="79"/>
    </row>
    <row r="117" spans="1:44" s="28" customFormat="1" ht="14.25" customHeight="1">
      <c r="A117" s="30"/>
      <c r="B117" s="31"/>
      <c r="C117" s="24"/>
      <c r="D117" s="24"/>
      <c r="E117" s="24"/>
      <c r="F117" s="24" t="s">
        <v>94</v>
      </c>
      <c r="G117" s="24"/>
      <c r="H117" s="24"/>
      <c r="I117" s="24"/>
      <c r="J117" s="24"/>
      <c r="K117" s="24"/>
      <c r="L117" s="24"/>
      <c r="M117" s="24"/>
      <c r="N117" s="24"/>
      <c r="O117" s="123"/>
      <c r="P117" s="123">
        <v>2</v>
      </c>
      <c r="Q117" s="33"/>
      <c r="R117" s="33" t="s">
        <v>66</v>
      </c>
      <c r="S117" s="301">
        <f>H112</f>
        <v>550</v>
      </c>
      <c r="T117" s="301"/>
      <c r="U117" s="301"/>
      <c r="V117" s="47" t="s">
        <v>16</v>
      </c>
      <c r="W117" s="302">
        <f>P117*S117</f>
        <v>1100</v>
      </c>
      <c r="X117" s="302"/>
      <c r="Y117" s="302"/>
      <c r="Z117" s="47" t="s">
        <v>8</v>
      </c>
      <c r="AA117" s="24"/>
      <c r="AB117" s="303"/>
      <c r="AC117" s="303"/>
      <c r="AD117" s="24"/>
      <c r="AE117" s="24"/>
      <c r="AF117" s="24"/>
      <c r="AG117" s="131"/>
    </row>
    <row r="118" spans="1:44" s="28" customFormat="1" ht="14.25" customHeight="1">
      <c r="A118" s="30"/>
      <c r="B118" s="31"/>
      <c r="C118" s="24"/>
      <c r="D118" s="24"/>
      <c r="E118" s="24"/>
      <c r="F118" s="24"/>
      <c r="G118" s="24"/>
      <c r="H118" s="24"/>
      <c r="I118" s="24"/>
      <c r="J118" s="24"/>
      <c r="K118" s="24"/>
      <c r="L118" s="24"/>
      <c r="M118" s="24"/>
      <c r="N118" s="24"/>
      <c r="O118" s="123"/>
      <c r="P118" s="123"/>
      <c r="Q118" s="122"/>
      <c r="R118" s="122"/>
      <c r="S118" s="123"/>
      <c r="T118" s="122"/>
      <c r="U118" s="123"/>
      <c r="V118" s="47"/>
      <c r="W118" s="124"/>
      <c r="X118" s="124"/>
      <c r="Y118" s="124"/>
      <c r="Z118" s="47"/>
      <c r="AA118" s="24"/>
      <c r="AB118" s="123"/>
      <c r="AC118" s="123"/>
      <c r="AD118" s="24"/>
      <c r="AE118" s="24"/>
      <c r="AF118" s="24"/>
      <c r="AG118" s="131"/>
    </row>
    <row r="119" spans="1:44" ht="12.75" customHeight="1">
      <c r="A119" s="132"/>
      <c r="B119" s="57"/>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293" t="s">
        <v>17</v>
      </c>
      <c r="AA119" s="293"/>
      <c r="AB119" s="293"/>
      <c r="AC119" s="293"/>
      <c r="AD119" s="293"/>
      <c r="AE119" s="10" t="s">
        <v>16</v>
      </c>
      <c r="AF119" s="32">
        <f>W117</f>
        <v>1100</v>
      </c>
      <c r="AG119" s="12" t="s">
        <v>8</v>
      </c>
    </row>
    <row r="120" spans="1:44" s="19" customFormat="1" ht="40.5" customHeight="1">
      <c r="A120" s="18">
        <f>A110+1</f>
        <v>29</v>
      </c>
      <c r="B120" s="18" t="s">
        <v>67</v>
      </c>
      <c r="C120" s="294" t="s">
        <v>68</v>
      </c>
      <c r="D120" s="295"/>
      <c r="E120" s="295"/>
      <c r="F120" s="295"/>
      <c r="G120" s="295"/>
      <c r="H120" s="295"/>
      <c r="I120" s="295"/>
      <c r="J120" s="295"/>
      <c r="K120" s="295"/>
      <c r="L120" s="295"/>
      <c r="M120" s="295"/>
      <c r="N120" s="295"/>
      <c r="O120" s="295"/>
      <c r="P120" s="295"/>
      <c r="Q120" s="295"/>
      <c r="R120" s="295"/>
      <c r="S120" s="295"/>
      <c r="T120" s="295"/>
      <c r="U120" s="295"/>
      <c r="V120" s="295"/>
      <c r="W120" s="295"/>
      <c r="X120" s="295"/>
      <c r="Y120" s="295"/>
      <c r="Z120" s="295"/>
      <c r="AA120" s="295"/>
      <c r="AB120" s="295"/>
      <c r="AC120" s="295"/>
      <c r="AD120" s="295"/>
      <c r="AE120" s="76"/>
      <c r="AF120" s="76"/>
      <c r="AG120" s="77"/>
      <c r="AH120" s="76"/>
      <c r="AI120" s="76"/>
      <c r="AJ120" s="76"/>
      <c r="AK120" s="76"/>
      <c r="AL120" s="76"/>
      <c r="AM120" s="76"/>
      <c r="AN120" s="76"/>
      <c r="AO120" s="76"/>
      <c r="AP120" s="76"/>
      <c r="AQ120" s="76"/>
      <c r="AR120" s="77"/>
    </row>
    <row r="121" spans="1:44" s="19" customFormat="1" ht="13.5" customHeight="1">
      <c r="A121" s="20"/>
      <c r="B121" s="21"/>
      <c r="C121" s="78"/>
      <c r="D121" s="47" t="s">
        <v>57</v>
      </c>
      <c r="E121" s="47"/>
      <c r="F121" s="47"/>
      <c r="G121" s="47"/>
      <c r="H121" s="297">
        <f>H116</f>
        <v>550</v>
      </c>
      <c r="I121" s="297"/>
      <c r="J121" s="297"/>
      <c r="K121" s="47"/>
      <c r="L121" s="47"/>
      <c r="M121" s="47" t="s">
        <v>58</v>
      </c>
      <c r="N121" s="47"/>
      <c r="O121" s="47" t="s">
        <v>16</v>
      </c>
      <c r="P121" s="297">
        <v>2.8</v>
      </c>
      <c r="Q121" s="297"/>
      <c r="R121" s="47"/>
      <c r="S121" s="47"/>
      <c r="T121" s="47"/>
      <c r="U121" s="47"/>
      <c r="V121" s="297"/>
      <c r="W121" s="297"/>
      <c r="X121" s="47"/>
      <c r="Y121" s="47"/>
      <c r="Z121" s="47"/>
      <c r="AA121" s="47"/>
      <c r="AB121" s="47"/>
      <c r="AC121" s="47"/>
      <c r="AD121" s="47"/>
      <c r="AE121" s="47"/>
      <c r="AF121" s="47"/>
      <c r="AG121" s="79"/>
      <c r="AH121" s="47"/>
      <c r="AI121" s="47"/>
      <c r="AJ121" s="47"/>
      <c r="AK121" s="47"/>
      <c r="AL121" s="47"/>
      <c r="AM121" s="47"/>
      <c r="AN121" s="47"/>
      <c r="AO121" s="47"/>
      <c r="AP121" s="47"/>
      <c r="AQ121" s="47"/>
      <c r="AR121" s="79"/>
    </row>
    <row r="122" spans="1:44" s="19" customFormat="1" ht="13.5" customHeight="1">
      <c r="A122" s="20"/>
      <c r="B122" s="21"/>
      <c r="C122" s="22"/>
      <c r="D122" s="23"/>
      <c r="E122" s="23"/>
      <c r="F122" s="23"/>
      <c r="G122" s="23"/>
      <c r="H122" s="23"/>
      <c r="I122" s="23"/>
      <c r="J122" s="23"/>
      <c r="K122" s="26"/>
      <c r="L122" s="27"/>
      <c r="M122" s="298" t="s">
        <v>69</v>
      </c>
      <c r="N122" s="298"/>
      <c r="O122" s="298"/>
      <c r="P122" s="298"/>
      <c r="Q122" s="299">
        <f>H121*P121</f>
        <v>1540</v>
      </c>
      <c r="R122" s="299"/>
      <c r="S122" s="299"/>
      <c r="T122" s="300" t="s">
        <v>21</v>
      </c>
      <c r="U122" s="300"/>
      <c r="V122" s="44"/>
      <c r="W122" s="44"/>
      <c r="X122" s="44"/>
      <c r="Y122" s="44"/>
      <c r="Z122" s="44"/>
      <c r="AA122" s="23"/>
      <c r="AB122" s="23"/>
      <c r="AC122" s="23"/>
      <c r="AD122" s="44"/>
      <c r="AE122" s="42"/>
      <c r="AF122" s="123"/>
      <c r="AG122" s="128"/>
      <c r="AH122" s="24"/>
      <c r="AI122" s="24"/>
      <c r="AJ122" s="24"/>
      <c r="AK122" s="24"/>
      <c r="AL122" s="24"/>
      <c r="AM122" s="24"/>
      <c r="AN122" s="24"/>
      <c r="AO122" s="24"/>
      <c r="AP122" s="24"/>
      <c r="AQ122" s="23"/>
      <c r="AR122" s="25"/>
    </row>
    <row r="123" spans="1:44" ht="14.25" customHeight="1">
      <c r="A123" s="80"/>
      <c r="B123" s="57"/>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293" t="s">
        <v>17</v>
      </c>
      <c r="AA123" s="293"/>
      <c r="AB123" s="293"/>
      <c r="AC123" s="293"/>
      <c r="AD123" s="293"/>
      <c r="AE123" s="10" t="s">
        <v>16</v>
      </c>
      <c r="AF123" s="11">
        <f>Q122</f>
        <v>1540</v>
      </c>
      <c r="AG123" s="12" t="s">
        <v>21</v>
      </c>
    </row>
    <row r="124" spans="1:44" s="19" customFormat="1" ht="41.25" customHeight="1">
      <c r="A124" s="89">
        <f>A120+1</f>
        <v>30</v>
      </c>
      <c r="B124" s="109" t="s">
        <v>95</v>
      </c>
      <c r="C124" s="294" t="s">
        <v>96</v>
      </c>
      <c r="D124" s="295"/>
      <c r="E124" s="295"/>
      <c r="F124" s="295"/>
      <c r="G124" s="295"/>
      <c r="H124" s="295"/>
      <c r="I124" s="295"/>
      <c r="J124" s="295"/>
      <c r="K124" s="295"/>
      <c r="L124" s="295"/>
      <c r="M124" s="295"/>
      <c r="N124" s="295"/>
      <c r="O124" s="295"/>
      <c r="P124" s="295"/>
      <c r="Q124" s="295"/>
      <c r="R124" s="295"/>
      <c r="S124" s="295"/>
      <c r="T124" s="295"/>
      <c r="U124" s="295"/>
      <c r="V124" s="295"/>
      <c r="W124" s="295"/>
      <c r="X124" s="295"/>
      <c r="Y124" s="295"/>
      <c r="Z124" s="295"/>
      <c r="AA124" s="295"/>
      <c r="AB124" s="295"/>
      <c r="AC124" s="295"/>
      <c r="AD124" s="295"/>
      <c r="AE124" s="76"/>
      <c r="AF124" s="76"/>
      <c r="AG124" s="77"/>
      <c r="AH124" s="76"/>
      <c r="AI124" s="76"/>
      <c r="AJ124" s="76"/>
      <c r="AK124" s="76"/>
      <c r="AL124" s="76"/>
      <c r="AM124" s="76"/>
      <c r="AN124" s="76"/>
      <c r="AO124" s="76"/>
      <c r="AP124" s="76"/>
      <c r="AQ124" s="76"/>
      <c r="AR124" s="77"/>
    </row>
    <row r="125" spans="1:44" ht="13.5" customHeight="1">
      <c r="A125" s="188"/>
      <c r="B125" s="90"/>
      <c r="C125" s="291" t="s">
        <v>97</v>
      </c>
      <c r="D125" s="287"/>
      <c r="E125" s="287"/>
      <c r="F125" s="287"/>
      <c r="G125" s="287"/>
      <c r="H125" s="287"/>
      <c r="I125" s="287"/>
      <c r="J125" s="113"/>
      <c r="K125" s="113"/>
      <c r="L125" s="113"/>
      <c r="M125" s="113"/>
      <c r="N125" s="113"/>
      <c r="O125" s="113"/>
      <c r="P125" s="113"/>
      <c r="Q125" s="113"/>
      <c r="R125" s="113"/>
      <c r="S125" s="113"/>
      <c r="T125" s="113"/>
      <c r="U125" s="115"/>
      <c r="V125" s="115"/>
      <c r="W125" s="115"/>
      <c r="X125" s="115"/>
      <c r="Y125" s="115"/>
      <c r="Z125" s="115"/>
      <c r="AA125" s="115"/>
      <c r="AB125" s="115"/>
      <c r="AC125" s="115"/>
      <c r="AD125" s="115"/>
      <c r="AE125" s="5"/>
      <c r="AF125" s="9"/>
      <c r="AG125" s="6"/>
    </row>
    <row r="126" spans="1:44" ht="13.5" customHeight="1">
      <c r="A126" s="188"/>
      <c r="B126" s="35"/>
      <c r="C126" s="287" t="s">
        <v>71</v>
      </c>
      <c r="D126" s="287"/>
      <c r="E126" s="287"/>
      <c r="F126" s="287"/>
      <c r="G126" s="287"/>
      <c r="H126" s="5" t="s">
        <v>16</v>
      </c>
      <c r="I126" s="296">
        <f>AF114</f>
        <v>17111</v>
      </c>
      <c r="J126" s="296"/>
      <c r="K126" s="296"/>
      <c r="L126" s="296"/>
      <c r="M126" s="36" t="s">
        <v>8</v>
      </c>
      <c r="N126" s="36" t="s">
        <v>37</v>
      </c>
      <c r="O126" s="296">
        <f>AF119</f>
        <v>1100</v>
      </c>
      <c r="P126" s="296"/>
      <c r="Q126" s="287" t="s">
        <v>60</v>
      </c>
      <c r="R126" s="287"/>
      <c r="S126" s="287"/>
      <c r="T126" s="287"/>
      <c r="U126" s="288">
        <f>I126*0.3*0.3*0.3+O126*1*0.65*0.125</f>
        <v>551.37199999999996</v>
      </c>
      <c r="V126" s="288"/>
      <c r="W126" s="5" t="s">
        <v>9</v>
      </c>
      <c r="X126" s="108"/>
      <c r="Y126" s="108"/>
      <c r="Z126" s="108"/>
      <c r="AA126" s="108"/>
      <c r="AB126" s="108"/>
      <c r="AC126" s="108"/>
      <c r="AD126" s="108"/>
      <c r="AE126" s="5"/>
      <c r="AF126" s="5"/>
      <c r="AG126" s="6"/>
    </row>
    <row r="127" spans="1:44" ht="13.5" customHeight="1">
      <c r="A127" s="188"/>
      <c r="B127" s="110"/>
      <c r="C127" s="115"/>
      <c r="D127" s="115"/>
      <c r="E127" s="115"/>
      <c r="F127" s="115"/>
      <c r="G127" s="115"/>
      <c r="H127" s="115"/>
      <c r="I127" s="115"/>
      <c r="J127" s="115"/>
      <c r="K127" s="115"/>
      <c r="L127" s="115"/>
      <c r="M127" s="115"/>
      <c r="N127" s="115"/>
      <c r="O127" s="115"/>
      <c r="P127" s="115"/>
      <c r="Q127" s="115"/>
      <c r="R127" s="115"/>
      <c r="S127" s="115"/>
      <c r="T127" s="5"/>
      <c r="U127" s="5"/>
      <c r="V127" s="91" t="s">
        <v>98</v>
      </c>
      <c r="W127" s="91"/>
      <c r="X127" s="91"/>
      <c r="Y127" s="91"/>
      <c r="Z127" s="91"/>
      <c r="AA127" s="91"/>
      <c r="AB127" s="91"/>
      <c r="AC127" s="91"/>
      <c r="AD127" s="91"/>
      <c r="AE127" s="38" t="s">
        <v>16</v>
      </c>
      <c r="AF127" s="11">
        <f>ROUND(U126/2,2)</f>
        <v>275.69</v>
      </c>
      <c r="AG127" s="12" t="s">
        <v>9</v>
      </c>
    </row>
    <row r="128" spans="1:44" ht="13.5" customHeight="1">
      <c r="A128" s="188"/>
      <c r="B128" s="35" t="s">
        <v>70</v>
      </c>
      <c r="C128" s="290" t="s">
        <v>99</v>
      </c>
      <c r="D128" s="290"/>
      <c r="E128" s="290"/>
      <c r="F128" s="290"/>
      <c r="G128" s="290"/>
      <c r="H128" s="290"/>
      <c r="I128" s="290"/>
      <c r="J128" s="115"/>
      <c r="K128" s="115"/>
      <c r="L128" s="115"/>
      <c r="M128" s="115"/>
      <c r="N128" s="115"/>
      <c r="O128" s="115"/>
      <c r="P128" s="115"/>
      <c r="Q128" s="115"/>
      <c r="R128" s="115"/>
      <c r="S128" s="115"/>
      <c r="T128" s="115"/>
      <c r="U128" s="115"/>
      <c r="V128" s="115"/>
      <c r="W128" s="115"/>
      <c r="X128" s="115"/>
      <c r="Y128" s="115"/>
      <c r="Z128" s="115"/>
      <c r="AA128" s="115"/>
      <c r="AB128" s="115"/>
      <c r="AC128" s="115"/>
      <c r="AD128" s="115"/>
      <c r="AE128" s="5"/>
      <c r="AF128" s="133"/>
      <c r="AG128" s="6"/>
    </row>
    <row r="129" spans="1:44" ht="13.5" customHeight="1">
      <c r="A129" s="92"/>
      <c r="B129" s="48"/>
      <c r="C129" s="114"/>
      <c r="D129" s="114"/>
      <c r="E129" s="114"/>
      <c r="F129" s="114"/>
      <c r="G129" s="114"/>
      <c r="H129" s="114"/>
      <c r="I129" s="114"/>
      <c r="J129" s="114"/>
      <c r="K129" s="114"/>
      <c r="L129" s="114"/>
      <c r="M129" s="93"/>
      <c r="N129" s="93"/>
      <c r="O129" s="93"/>
      <c r="P129" s="93"/>
      <c r="Q129" s="93"/>
      <c r="R129" s="93"/>
      <c r="S129" s="114"/>
      <c r="T129" s="94"/>
      <c r="U129" s="94"/>
      <c r="V129" s="91" t="s">
        <v>98</v>
      </c>
      <c r="W129" s="95"/>
      <c r="X129" s="96"/>
      <c r="Y129" s="96"/>
      <c r="Z129" s="96"/>
      <c r="AA129" s="97"/>
      <c r="AB129" s="96"/>
      <c r="AC129" s="96"/>
      <c r="AD129" s="96"/>
      <c r="AE129" s="38" t="s">
        <v>16</v>
      </c>
      <c r="AF129" s="11">
        <f>ROUND(U126/2,2)</f>
        <v>275.69</v>
      </c>
      <c r="AG129" s="12" t="str">
        <f>AG127</f>
        <v>cum</v>
      </c>
    </row>
    <row r="130" spans="1:44" s="19" customFormat="1" ht="41.25" customHeight="1">
      <c r="A130" s="175">
        <f>A124+1</f>
        <v>31</v>
      </c>
      <c r="B130" s="176" t="s">
        <v>308</v>
      </c>
      <c r="C130" s="335" t="s">
        <v>309</v>
      </c>
      <c r="D130" s="336"/>
      <c r="E130" s="336"/>
      <c r="F130" s="336"/>
      <c r="G130" s="336"/>
      <c r="H130" s="336"/>
      <c r="I130" s="336"/>
      <c r="J130" s="336"/>
      <c r="K130" s="336"/>
      <c r="L130" s="336"/>
      <c r="M130" s="336"/>
      <c r="N130" s="336"/>
      <c r="O130" s="336"/>
      <c r="P130" s="336"/>
      <c r="Q130" s="336"/>
      <c r="R130" s="336"/>
      <c r="S130" s="336"/>
      <c r="T130" s="336"/>
      <c r="U130" s="336"/>
      <c r="V130" s="336"/>
      <c r="W130" s="336"/>
      <c r="X130" s="336"/>
      <c r="Y130" s="336"/>
      <c r="Z130" s="336"/>
      <c r="AA130" s="336"/>
      <c r="AB130" s="336"/>
      <c r="AC130" s="336"/>
      <c r="AD130" s="336"/>
      <c r="AE130" s="177" t="s">
        <v>16</v>
      </c>
      <c r="AF130" s="178">
        <v>1</v>
      </c>
      <c r="AG130" s="179" t="s">
        <v>72</v>
      </c>
      <c r="AH130" s="76"/>
      <c r="AI130" s="76"/>
      <c r="AJ130" s="76"/>
      <c r="AK130" s="76"/>
      <c r="AL130" s="76"/>
      <c r="AM130" s="76"/>
      <c r="AN130" s="76"/>
      <c r="AO130" s="76"/>
      <c r="AP130" s="76"/>
      <c r="AQ130" s="76"/>
      <c r="AR130" s="77"/>
    </row>
    <row r="131" spans="1:44" ht="12.75" customHeight="1">
      <c r="A131" s="46"/>
      <c r="B131" s="98"/>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1"/>
      <c r="AA131" s="41"/>
      <c r="AB131" s="41"/>
      <c r="AC131" s="41"/>
      <c r="AD131" s="41"/>
      <c r="AE131" s="15"/>
      <c r="AF131" s="43"/>
      <c r="AG131" s="5"/>
    </row>
    <row r="132" spans="1:44" s="51" customFormat="1" ht="13.5" customHeight="1">
      <c r="A132" s="49"/>
      <c r="B132" s="99"/>
      <c r="G132" s="100"/>
      <c r="H132" s="49"/>
      <c r="I132" s="100"/>
      <c r="J132" s="100"/>
      <c r="K132" s="49"/>
      <c r="L132" s="49"/>
      <c r="M132" s="49"/>
      <c r="N132" s="49"/>
      <c r="O132" s="49"/>
      <c r="P132" s="49"/>
      <c r="Q132" s="49"/>
      <c r="R132" s="49"/>
      <c r="S132" s="49"/>
      <c r="T132" s="49"/>
      <c r="U132" s="49"/>
      <c r="V132" s="49"/>
      <c r="W132" s="49"/>
      <c r="X132" s="49"/>
      <c r="Y132" s="49"/>
      <c r="Z132" s="49"/>
      <c r="AA132" s="49"/>
      <c r="AB132" s="49"/>
      <c r="AC132" s="49"/>
      <c r="AD132" s="49"/>
      <c r="AE132" s="49"/>
      <c r="AF132" s="49"/>
      <c r="AG132" s="49"/>
      <c r="AH132" s="49"/>
    </row>
    <row r="133" spans="1:44" s="51" customFormat="1" ht="12" customHeight="1">
      <c r="A133" s="49"/>
      <c r="B133" s="99"/>
      <c r="C133" s="37" t="s">
        <v>48</v>
      </c>
      <c r="G133" s="100"/>
      <c r="H133" s="49"/>
      <c r="I133" s="100"/>
      <c r="J133" s="100"/>
      <c r="K133" s="49"/>
      <c r="L133" s="49"/>
      <c r="M133" s="49"/>
      <c r="P133" s="1" t="s">
        <v>27</v>
      </c>
      <c r="T133" s="49"/>
      <c r="U133" s="49"/>
      <c r="V133" s="49"/>
      <c r="W133" s="49"/>
      <c r="X133" s="49"/>
      <c r="Y133" s="49"/>
      <c r="Z133" s="49"/>
      <c r="AA133" s="49"/>
      <c r="AB133" s="49"/>
      <c r="AC133" s="1" t="s">
        <v>12</v>
      </c>
      <c r="AE133" s="49"/>
      <c r="AF133" s="49"/>
      <c r="AG133" s="49"/>
      <c r="AH133" s="49"/>
    </row>
    <row r="134" spans="1:44" s="51" customFormat="1" ht="12.75" customHeight="1">
      <c r="A134" s="49"/>
      <c r="B134" s="99"/>
      <c r="C134" s="37" t="s">
        <v>49</v>
      </c>
      <c r="G134" s="100"/>
      <c r="H134" s="49"/>
      <c r="I134" s="100"/>
      <c r="J134" s="100"/>
      <c r="K134" s="49"/>
      <c r="L134" s="49"/>
      <c r="M134" s="49"/>
      <c r="P134" s="1" t="s">
        <v>1</v>
      </c>
      <c r="T134" s="49"/>
      <c r="U134" s="49"/>
      <c r="V134" s="49"/>
      <c r="W134" s="49"/>
      <c r="X134" s="49"/>
      <c r="Y134" s="49"/>
      <c r="Z134" s="49"/>
      <c r="AA134" s="49"/>
      <c r="AB134" s="49"/>
      <c r="AC134" s="1" t="s">
        <v>13</v>
      </c>
      <c r="AE134" s="49"/>
      <c r="AF134" s="49"/>
      <c r="AG134" s="49"/>
      <c r="AH134" s="49"/>
    </row>
    <row r="135" spans="1:44" s="51" customFormat="1" ht="12.75" customHeight="1">
      <c r="A135" s="49"/>
      <c r="B135" s="99"/>
      <c r="C135" s="37" t="s">
        <v>50</v>
      </c>
      <c r="G135" s="100"/>
      <c r="H135" s="49"/>
      <c r="I135" s="100"/>
      <c r="J135" s="100"/>
      <c r="K135" s="49"/>
      <c r="L135" s="49"/>
      <c r="M135" s="49"/>
      <c r="P135" s="1" t="s">
        <v>2</v>
      </c>
      <c r="T135" s="49"/>
      <c r="U135" s="49"/>
      <c r="V135" s="49"/>
      <c r="W135" s="49"/>
      <c r="X135" s="49"/>
      <c r="Y135" s="49"/>
      <c r="Z135" s="49"/>
      <c r="AA135" s="49"/>
      <c r="AB135" s="49"/>
      <c r="AC135" s="1" t="s">
        <v>14</v>
      </c>
      <c r="AE135" s="49"/>
      <c r="AF135" s="49"/>
      <c r="AG135" s="49"/>
      <c r="AH135" s="49"/>
    </row>
    <row r="136" spans="1:44">
      <c r="C136" s="37" t="s">
        <v>51</v>
      </c>
      <c r="P136" s="1" t="s">
        <v>3</v>
      </c>
      <c r="AC136" s="1" t="s">
        <v>15</v>
      </c>
      <c r="AD136" s="51"/>
      <c r="AE136" s="49"/>
    </row>
  </sheetData>
  <mergeCells count="273">
    <mergeCell ref="C130:AD130"/>
    <mergeCell ref="L88:M88"/>
    <mergeCell ref="Z89:AD89"/>
    <mergeCell ref="Y99:AA99"/>
    <mergeCell ref="AB99:AC99"/>
    <mergeCell ref="Y100:AA100"/>
    <mergeCell ref="AB100:AC100"/>
    <mergeCell ref="Z101:AD101"/>
    <mergeCell ref="C102:AD102"/>
    <mergeCell ref="M98:P98"/>
    <mergeCell ref="Q98:S98"/>
    <mergeCell ref="T98:U98"/>
    <mergeCell ref="P99:Q99"/>
    <mergeCell ref="S99:T99"/>
    <mergeCell ref="V99:W99"/>
    <mergeCell ref="Z105:AD105"/>
    <mergeCell ref="C95:AD95"/>
    <mergeCell ref="C106:AD106"/>
    <mergeCell ref="H107:J107"/>
    <mergeCell ref="P107:Q107"/>
    <mergeCell ref="V107:W107"/>
    <mergeCell ref="M108:P108"/>
    <mergeCell ref="Q108:S108"/>
    <mergeCell ref="T108:U108"/>
    <mergeCell ref="G78:K78"/>
    <mergeCell ref="S78:T78"/>
    <mergeCell ref="Z79:AD79"/>
    <mergeCell ref="C84:AD84"/>
    <mergeCell ref="J86:J87"/>
    <mergeCell ref="K86:L87"/>
    <mergeCell ref="N86:O86"/>
    <mergeCell ref="P86:P87"/>
    <mergeCell ref="Q86:R87"/>
    <mergeCell ref="S86:S87"/>
    <mergeCell ref="T86:U87"/>
    <mergeCell ref="V86:V87"/>
    <mergeCell ref="C80:AD80"/>
    <mergeCell ref="G82:K82"/>
    <mergeCell ref="S82:T82"/>
    <mergeCell ref="Z83:AD83"/>
    <mergeCell ref="D81:F81"/>
    <mergeCell ref="J81:K81"/>
    <mergeCell ref="N81:O81"/>
    <mergeCell ref="Q81:R81"/>
    <mergeCell ref="T81:V81"/>
    <mergeCell ref="C73:AD73"/>
    <mergeCell ref="G75:H75"/>
    <mergeCell ref="K75:L75"/>
    <mergeCell ref="N75:O75"/>
    <mergeCell ref="S75:T75"/>
    <mergeCell ref="X75:Y75"/>
    <mergeCell ref="G76:K76"/>
    <mergeCell ref="S76:T76"/>
    <mergeCell ref="G77:K77"/>
    <mergeCell ref="S77:T77"/>
    <mergeCell ref="V77:W77"/>
    <mergeCell ref="P68:P69"/>
    <mergeCell ref="Q68:Q69"/>
    <mergeCell ref="R68:T69"/>
    <mergeCell ref="U68:U69"/>
    <mergeCell ref="M69:N69"/>
    <mergeCell ref="O70:P70"/>
    <mergeCell ref="R70:S70"/>
    <mergeCell ref="W70:Y70"/>
    <mergeCell ref="Z72:AD72"/>
    <mergeCell ref="A1:AG1"/>
    <mergeCell ref="A2:AG2"/>
    <mergeCell ref="C3:Y3"/>
    <mergeCell ref="Z3:AG3"/>
    <mergeCell ref="C90:AD90"/>
    <mergeCell ref="C91:AD91"/>
    <mergeCell ref="C92:AD92"/>
    <mergeCell ref="C93:AD93"/>
    <mergeCell ref="C94:AD94"/>
    <mergeCell ref="A4:A6"/>
    <mergeCell ref="B4:B6"/>
    <mergeCell ref="C4:AD4"/>
    <mergeCell ref="C5:H5"/>
    <mergeCell ref="J5:K5"/>
    <mergeCell ref="L5:M5"/>
    <mergeCell ref="U5:V5"/>
    <mergeCell ref="C6:N6"/>
    <mergeCell ref="Z6:AD6"/>
    <mergeCell ref="A7:A10"/>
    <mergeCell ref="B7:B10"/>
    <mergeCell ref="C7:AD7"/>
    <mergeCell ref="C8:H8"/>
    <mergeCell ref="J8:K8"/>
    <mergeCell ref="L8:M8"/>
    <mergeCell ref="U8:V8"/>
    <mergeCell ref="C10:N10"/>
    <mergeCell ref="Z10:AD10"/>
    <mergeCell ref="J9:M9"/>
    <mergeCell ref="O9:P9"/>
    <mergeCell ref="A11:A14"/>
    <mergeCell ref="B11:B14"/>
    <mergeCell ref="C11:AD11"/>
    <mergeCell ref="C12:H12"/>
    <mergeCell ref="J12:K12"/>
    <mergeCell ref="L12:M12"/>
    <mergeCell ref="O12:Q12"/>
    <mergeCell ref="U12:V12"/>
    <mergeCell ref="O13:Q13"/>
    <mergeCell ref="S13:T13"/>
    <mergeCell ref="C14:N14"/>
    <mergeCell ref="Z14:AD14"/>
    <mergeCell ref="A15:A17"/>
    <mergeCell ref="B15:B17"/>
    <mergeCell ref="C15:AD15"/>
    <mergeCell ref="C16:H16"/>
    <mergeCell ref="J16:K16"/>
    <mergeCell ref="L16:M16"/>
    <mergeCell ref="P16:Q16"/>
    <mergeCell ref="W16:X16"/>
    <mergeCell ref="Z17:AD17"/>
    <mergeCell ref="A18:A20"/>
    <mergeCell ref="B18:B20"/>
    <mergeCell ref="C18:AD18"/>
    <mergeCell ref="L19:M19"/>
    <mergeCell ref="P19:Q19"/>
    <mergeCell ref="W19:X19"/>
    <mergeCell ref="Z20:AD20"/>
    <mergeCell ref="C19:G19"/>
    <mergeCell ref="I19:K19"/>
    <mergeCell ref="A24:A26"/>
    <mergeCell ref="B24:B26"/>
    <mergeCell ref="C24:AD24"/>
    <mergeCell ref="L25:M25"/>
    <mergeCell ref="P25:Q25"/>
    <mergeCell ref="V25:W25"/>
    <mergeCell ref="AC25:AD25"/>
    <mergeCell ref="Z26:AD26"/>
    <mergeCell ref="C25:G25"/>
    <mergeCell ref="I25:K25"/>
    <mergeCell ref="C27:AD27"/>
    <mergeCell ref="L28:M28"/>
    <mergeCell ref="V28:X28"/>
    <mergeCell ref="Y28:Z28"/>
    <mergeCell ref="AC28:AD28"/>
    <mergeCell ref="Z29:AD29"/>
    <mergeCell ref="C28:G28"/>
    <mergeCell ref="I28:K28"/>
    <mergeCell ref="O28:P28"/>
    <mergeCell ref="S28:T28"/>
    <mergeCell ref="A30:A33"/>
    <mergeCell ref="B30:B33"/>
    <mergeCell ref="C30:AD30"/>
    <mergeCell ref="C31:T31"/>
    <mergeCell ref="U31:Z31"/>
    <mergeCell ref="C32:T32"/>
    <mergeCell ref="U32:Z32"/>
    <mergeCell ref="Z33:AD33"/>
    <mergeCell ref="A34:A37"/>
    <mergeCell ref="C34:AD34"/>
    <mergeCell ref="C35:U35"/>
    <mergeCell ref="V35:AA35"/>
    <mergeCell ref="C36:U36"/>
    <mergeCell ref="V36:AA36"/>
    <mergeCell ref="Z37:AD37"/>
    <mergeCell ref="A38:A47"/>
    <mergeCell ref="B38:B39"/>
    <mergeCell ref="C38:AD38"/>
    <mergeCell ref="C40:U40"/>
    <mergeCell ref="V40:AA40"/>
    <mergeCell ref="C41:U41"/>
    <mergeCell ref="V41:AA41"/>
    <mergeCell ref="C42:U42"/>
    <mergeCell ref="V42:AA42"/>
    <mergeCell ref="Z47:AD47"/>
    <mergeCell ref="C52:AD52"/>
    <mergeCell ref="C53:U53"/>
    <mergeCell ref="V53:AA53"/>
    <mergeCell ref="C54:U54"/>
    <mergeCell ref="V54:AA54"/>
    <mergeCell ref="C55:U55"/>
    <mergeCell ref="V55:AA55"/>
    <mergeCell ref="A48:A51"/>
    <mergeCell ref="B48:B51"/>
    <mergeCell ref="C48:AD48"/>
    <mergeCell ref="C49:U49"/>
    <mergeCell ref="V49:AA49"/>
    <mergeCell ref="C50:U50"/>
    <mergeCell ref="V50:AA50"/>
    <mergeCell ref="Z51:AD51"/>
    <mergeCell ref="Q60:T60"/>
    <mergeCell ref="V60:X60"/>
    <mergeCell ref="Z60:AB60"/>
    <mergeCell ref="AC60:AE60"/>
    <mergeCell ref="Q61:T61"/>
    <mergeCell ref="V61:X61"/>
    <mergeCell ref="Z61:AB61"/>
    <mergeCell ref="AC61:AE61"/>
    <mergeCell ref="Z56:AD56"/>
    <mergeCell ref="C57:AD57"/>
    <mergeCell ref="Q58:T58"/>
    <mergeCell ref="U58:V58"/>
    <mergeCell ref="Q59:T59"/>
    <mergeCell ref="U64:X64"/>
    <mergeCell ref="Z64:AB64"/>
    <mergeCell ref="AC64:AE64"/>
    <mergeCell ref="Z65:AD65"/>
    <mergeCell ref="C96:AD96"/>
    <mergeCell ref="H97:J97"/>
    <mergeCell ref="P97:Q97"/>
    <mergeCell ref="V97:W97"/>
    <mergeCell ref="Q62:T62"/>
    <mergeCell ref="V62:X62"/>
    <mergeCell ref="Z62:AB62"/>
    <mergeCell ref="AC62:AE62"/>
    <mergeCell ref="Q63:T63"/>
    <mergeCell ref="V63:X63"/>
    <mergeCell ref="Z63:AB63"/>
    <mergeCell ref="C66:AD66"/>
    <mergeCell ref="C67:H67"/>
    <mergeCell ref="J67:K67"/>
    <mergeCell ref="L67:M67"/>
    <mergeCell ref="U67:V67"/>
    <mergeCell ref="H68:K69"/>
    <mergeCell ref="L68:L69"/>
    <mergeCell ref="M68:N68"/>
    <mergeCell ref="O68:O69"/>
    <mergeCell ref="H103:J103"/>
    <mergeCell ref="P103:Q103"/>
    <mergeCell ref="V103:W103"/>
    <mergeCell ref="M104:P104"/>
    <mergeCell ref="Q104:S104"/>
    <mergeCell ref="T104:U104"/>
    <mergeCell ref="Q113:R113"/>
    <mergeCell ref="T113:U113"/>
    <mergeCell ref="W113:Y113"/>
    <mergeCell ref="AB113:AC113"/>
    <mergeCell ref="Z114:AD114"/>
    <mergeCell ref="C115:AG115"/>
    <mergeCell ref="Z109:AD109"/>
    <mergeCell ref="C110:AD110"/>
    <mergeCell ref="AE110:AG110"/>
    <mergeCell ref="C111:AG111"/>
    <mergeCell ref="H112:J112"/>
    <mergeCell ref="P112:Q112"/>
    <mergeCell ref="W112:Y112"/>
    <mergeCell ref="Z119:AD119"/>
    <mergeCell ref="C120:AD120"/>
    <mergeCell ref="H121:J121"/>
    <mergeCell ref="P121:Q121"/>
    <mergeCell ref="V121:W121"/>
    <mergeCell ref="M122:P122"/>
    <mergeCell ref="Q122:S122"/>
    <mergeCell ref="T122:U122"/>
    <mergeCell ref="H116:J116"/>
    <mergeCell ref="P116:Q116"/>
    <mergeCell ref="W116:Y116"/>
    <mergeCell ref="S117:U117"/>
    <mergeCell ref="W117:Y117"/>
    <mergeCell ref="AB117:AC117"/>
    <mergeCell ref="C128:I128"/>
    <mergeCell ref="Z123:AD123"/>
    <mergeCell ref="C124:AD124"/>
    <mergeCell ref="C125:I125"/>
    <mergeCell ref="C126:G126"/>
    <mergeCell ref="I126:L126"/>
    <mergeCell ref="O126:P126"/>
    <mergeCell ref="Q126:T126"/>
    <mergeCell ref="U126:V126"/>
    <mergeCell ref="A21:A23"/>
    <mergeCell ref="B21:B23"/>
    <mergeCell ref="C21:AD21"/>
    <mergeCell ref="L22:M22"/>
    <mergeCell ref="P22:Q22"/>
    <mergeCell ref="Z23:AD23"/>
    <mergeCell ref="T22:U22"/>
    <mergeCell ref="W22:Y22"/>
    <mergeCell ref="C22:G22"/>
    <mergeCell ref="I22:K22"/>
  </mergeCells>
  <pageMargins left="0.75" right="0.25" top="0.5" bottom="0.5" header="0.25" footer="0.25"/>
  <pageSetup paperSize="9" scale="95" orientation="portrait" r:id="rId1"/>
  <headerFooter>
    <oddFooter>Page &amp;P of &amp;N</oddFooter>
  </headerFooter>
  <rowBreaks count="3" manualBreakCount="3">
    <brk id="20" max="32" man="1"/>
    <brk id="47" max="32" man="1"/>
    <brk id="83" max="32"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B7013-EBCA-43B8-828B-095E751C8EDD}">
  <dimension ref="A1:I29"/>
  <sheetViews>
    <sheetView tabSelected="1" topLeftCell="A17" zoomScale="145" zoomScaleNormal="145" workbookViewId="0">
      <selection activeCell="F32" sqref="F32"/>
    </sheetView>
  </sheetViews>
  <sheetFormatPr defaultRowHeight="12.5"/>
  <cols>
    <col min="8" max="8" width="13.08984375" customWidth="1"/>
    <col min="9" max="9" width="13.36328125" customWidth="1"/>
  </cols>
  <sheetData>
    <row r="1" spans="1:9">
      <c r="A1">
        <v>127</v>
      </c>
      <c r="B1" t="s">
        <v>111</v>
      </c>
      <c r="C1" t="s">
        <v>111</v>
      </c>
      <c r="D1" t="s">
        <v>559</v>
      </c>
      <c r="E1" t="s">
        <v>21</v>
      </c>
      <c r="F1">
        <v>5000</v>
      </c>
      <c r="G1">
        <v>27.718</v>
      </c>
      <c r="H1" t="s">
        <v>425</v>
      </c>
      <c r="I1" s="367">
        <v>138590</v>
      </c>
    </row>
    <row r="2" spans="1:9">
      <c r="A2">
        <v>128</v>
      </c>
      <c r="B2" t="s">
        <v>117</v>
      </c>
      <c r="C2" t="s">
        <v>117</v>
      </c>
      <c r="D2" t="s">
        <v>536</v>
      </c>
      <c r="E2" t="s">
        <v>9</v>
      </c>
      <c r="F2">
        <v>10080</v>
      </c>
      <c r="G2">
        <v>139.98699999999999</v>
      </c>
      <c r="H2" t="s">
        <v>371</v>
      </c>
      <c r="I2" s="367">
        <v>1411068.96</v>
      </c>
    </row>
    <row r="3" spans="1:9">
      <c r="A3">
        <v>129</v>
      </c>
      <c r="B3" t="s">
        <v>272</v>
      </c>
      <c r="C3" t="s">
        <v>272</v>
      </c>
      <c r="D3" t="s">
        <v>534</v>
      </c>
      <c r="E3" t="s">
        <v>199</v>
      </c>
      <c r="F3">
        <v>100</v>
      </c>
      <c r="G3">
        <v>1203.662</v>
      </c>
      <c r="H3" t="s">
        <v>424</v>
      </c>
      <c r="I3" s="367">
        <v>120366.2</v>
      </c>
    </row>
    <row r="4" spans="1:9">
      <c r="A4">
        <v>130</v>
      </c>
      <c r="B4" t="s">
        <v>295</v>
      </c>
      <c r="C4" t="s">
        <v>295</v>
      </c>
      <c r="D4" t="s">
        <v>537</v>
      </c>
      <c r="E4" t="s">
        <v>9</v>
      </c>
      <c r="F4">
        <v>15793.04</v>
      </c>
      <c r="G4">
        <v>172.834</v>
      </c>
      <c r="H4" t="s">
        <v>538</v>
      </c>
      <c r="I4" s="367">
        <v>2729574.2749999999</v>
      </c>
    </row>
    <row r="5" spans="1:9">
      <c r="A5">
        <v>131</v>
      </c>
      <c r="B5" t="s">
        <v>121</v>
      </c>
      <c r="C5" t="s">
        <v>276</v>
      </c>
      <c r="D5" t="s">
        <v>482</v>
      </c>
      <c r="E5" t="s">
        <v>9</v>
      </c>
      <c r="F5">
        <v>91.4</v>
      </c>
      <c r="G5">
        <v>857.93299999999999</v>
      </c>
      <c r="H5" t="s">
        <v>560</v>
      </c>
      <c r="I5" s="367">
        <v>78415.076000000001</v>
      </c>
    </row>
    <row r="6" spans="1:9">
      <c r="A6">
        <v>132</v>
      </c>
      <c r="B6" t="s">
        <v>134</v>
      </c>
      <c r="C6" t="s">
        <v>135</v>
      </c>
      <c r="D6" t="s">
        <v>456</v>
      </c>
      <c r="E6" t="s">
        <v>21</v>
      </c>
      <c r="F6">
        <v>456</v>
      </c>
      <c r="G6">
        <v>31.216999999999999</v>
      </c>
      <c r="H6" t="s">
        <v>457</v>
      </c>
      <c r="I6" s="367">
        <v>14234.951999999999</v>
      </c>
    </row>
    <row r="7" spans="1:9">
      <c r="A7">
        <v>133</v>
      </c>
      <c r="B7" t="s">
        <v>142</v>
      </c>
      <c r="C7" t="s">
        <v>143</v>
      </c>
      <c r="D7" t="s">
        <v>460</v>
      </c>
      <c r="E7" t="s">
        <v>9</v>
      </c>
      <c r="F7">
        <v>34.200000000000003</v>
      </c>
      <c r="G7">
        <v>10953.494000000001</v>
      </c>
      <c r="H7" t="s">
        <v>561</v>
      </c>
      <c r="I7" s="367">
        <v>374609.495</v>
      </c>
    </row>
    <row r="8" spans="1:9">
      <c r="A8">
        <v>134</v>
      </c>
      <c r="B8" t="s">
        <v>149</v>
      </c>
      <c r="C8" t="s">
        <v>150</v>
      </c>
      <c r="D8" t="s">
        <v>216</v>
      </c>
      <c r="E8" t="s">
        <v>108</v>
      </c>
      <c r="F8">
        <v>41397.760000000002</v>
      </c>
      <c r="G8">
        <v>84.992000000000004</v>
      </c>
      <c r="H8" t="s">
        <v>385</v>
      </c>
      <c r="I8" s="367">
        <v>3518478.4180000001</v>
      </c>
    </row>
    <row r="9" spans="1:9">
      <c r="A9">
        <v>135</v>
      </c>
      <c r="B9" t="s">
        <v>155</v>
      </c>
      <c r="C9" t="s">
        <v>156</v>
      </c>
      <c r="D9" t="s">
        <v>466</v>
      </c>
      <c r="E9" t="s">
        <v>9</v>
      </c>
      <c r="F9">
        <v>456.21</v>
      </c>
      <c r="G9">
        <v>14998.648999999999</v>
      </c>
      <c r="H9" t="s">
        <v>388</v>
      </c>
      <c r="I9" s="367">
        <v>6842533.6600000001</v>
      </c>
    </row>
    <row r="10" spans="1:9">
      <c r="A10" t="s">
        <v>562</v>
      </c>
      <c r="B10" t="s">
        <v>145</v>
      </c>
      <c r="C10" t="s">
        <v>148</v>
      </c>
      <c r="D10" t="s">
        <v>468</v>
      </c>
      <c r="E10" t="s">
        <v>21</v>
      </c>
      <c r="F10">
        <v>971.25</v>
      </c>
      <c r="G10">
        <v>735.28399999999999</v>
      </c>
      <c r="H10" t="s">
        <v>469</v>
      </c>
      <c r="I10" s="367">
        <v>714144.58499999996</v>
      </c>
    </row>
    <row r="11" spans="1:9">
      <c r="A11" t="s">
        <v>563</v>
      </c>
      <c r="B11" t="s">
        <v>145</v>
      </c>
      <c r="C11" t="s">
        <v>146</v>
      </c>
      <c r="D11" t="s">
        <v>222</v>
      </c>
      <c r="E11" t="s">
        <v>21</v>
      </c>
      <c r="F11">
        <v>935.95</v>
      </c>
      <c r="G11">
        <v>849.92399999999998</v>
      </c>
      <c r="H11" t="s">
        <v>383</v>
      </c>
      <c r="I11" s="367">
        <v>795486.36800000002</v>
      </c>
    </row>
    <row r="12" spans="1:9">
      <c r="A12">
        <v>137</v>
      </c>
      <c r="B12" t="s">
        <v>136</v>
      </c>
      <c r="C12" t="s">
        <v>137</v>
      </c>
      <c r="D12" t="s">
        <v>485</v>
      </c>
      <c r="E12" t="s">
        <v>9</v>
      </c>
      <c r="F12">
        <v>23</v>
      </c>
      <c r="G12">
        <v>4075.723</v>
      </c>
      <c r="H12" t="s">
        <v>488</v>
      </c>
      <c r="I12" s="367">
        <v>93741.629000000001</v>
      </c>
    </row>
    <row r="13" spans="1:9">
      <c r="A13">
        <v>138</v>
      </c>
      <c r="B13" t="s">
        <v>140</v>
      </c>
      <c r="C13" t="s">
        <v>141</v>
      </c>
      <c r="D13" t="s">
        <v>440</v>
      </c>
      <c r="E13" t="s">
        <v>9</v>
      </c>
      <c r="F13">
        <v>24978.76</v>
      </c>
      <c r="G13">
        <v>6.1289999999999996</v>
      </c>
      <c r="H13" t="s">
        <v>441</v>
      </c>
      <c r="I13" s="367">
        <v>153094.82</v>
      </c>
    </row>
    <row r="14" spans="1:9">
      <c r="A14">
        <v>139</v>
      </c>
      <c r="B14" t="s">
        <v>154</v>
      </c>
      <c r="C14" t="s">
        <v>154</v>
      </c>
      <c r="D14" t="s">
        <v>496</v>
      </c>
      <c r="E14" t="s">
        <v>108</v>
      </c>
      <c r="F14">
        <v>3962.56</v>
      </c>
      <c r="G14">
        <v>124.989</v>
      </c>
      <c r="H14" t="s">
        <v>497</v>
      </c>
      <c r="I14" s="367">
        <v>495276.41200000001</v>
      </c>
    </row>
    <row r="15" spans="1:9">
      <c r="A15">
        <v>140</v>
      </c>
      <c r="B15" t="s">
        <v>159</v>
      </c>
      <c r="C15" t="s">
        <v>160</v>
      </c>
      <c r="D15" t="s">
        <v>314</v>
      </c>
      <c r="E15" t="s">
        <v>199</v>
      </c>
      <c r="F15">
        <v>2400</v>
      </c>
      <c r="G15">
        <v>349.96899999999999</v>
      </c>
      <c r="H15" t="s">
        <v>490</v>
      </c>
      <c r="I15" s="367">
        <v>839925.6</v>
      </c>
    </row>
    <row r="16" spans="1:9">
      <c r="A16">
        <v>141</v>
      </c>
      <c r="B16" t="s">
        <v>415</v>
      </c>
      <c r="C16" t="s">
        <v>95</v>
      </c>
      <c r="D16" t="s">
        <v>494</v>
      </c>
      <c r="E16" t="s">
        <v>9</v>
      </c>
      <c r="F16">
        <v>64.8</v>
      </c>
      <c r="G16">
        <v>1145.777</v>
      </c>
      <c r="H16" t="s">
        <v>417</v>
      </c>
      <c r="I16" s="367">
        <v>74246.350000000006</v>
      </c>
    </row>
    <row r="17" spans="1:9">
      <c r="A17">
        <v>142</v>
      </c>
      <c r="B17" t="s">
        <v>564</v>
      </c>
      <c r="C17" t="s">
        <v>565</v>
      </c>
      <c r="D17" t="s">
        <v>566</v>
      </c>
      <c r="E17" t="s">
        <v>22</v>
      </c>
      <c r="F17">
        <v>405</v>
      </c>
      <c r="G17">
        <v>2636.413</v>
      </c>
      <c r="H17" t="s">
        <v>567</v>
      </c>
      <c r="I17" s="367">
        <v>1067747.2649999999</v>
      </c>
    </row>
    <row r="18" spans="1:9">
      <c r="A18">
        <v>143</v>
      </c>
      <c r="B18" t="s">
        <v>568</v>
      </c>
      <c r="C18" t="s">
        <v>286</v>
      </c>
      <c r="D18" t="s">
        <v>285</v>
      </c>
      <c r="E18" t="s">
        <v>22</v>
      </c>
      <c r="F18">
        <v>405</v>
      </c>
      <c r="G18">
        <v>66.304000000000002</v>
      </c>
      <c r="H18" t="s">
        <v>569</v>
      </c>
      <c r="I18" s="367">
        <v>26853.119999999999</v>
      </c>
    </row>
    <row r="19" spans="1:9">
      <c r="A19">
        <v>144</v>
      </c>
      <c r="B19" t="s">
        <v>263</v>
      </c>
      <c r="C19" t="s">
        <v>123</v>
      </c>
      <c r="D19" t="s">
        <v>525</v>
      </c>
      <c r="E19" t="s">
        <v>9</v>
      </c>
      <c r="F19">
        <v>1100.48</v>
      </c>
      <c r="G19">
        <v>757.68200000000002</v>
      </c>
      <c r="H19" t="s">
        <v>526</v>
      </c>
      <c r="I19" s="367">
        <v>833813.88699999999</v>
      </c>
    </row>
    <row r="20" spans="1:9">
      <c r="A20">
        <v>145</v>
      </c>
      <c r="B20" t="s">
        <v>358</v>
      </c>
      <c r="C20" t="s">
        <v>358</v>
      </c>
      <c r="D20" t="s">
        <v>527</v>
      </c>
      <c r="E20" t="s">
        <v>9</v>
      </c>
      <c r="F20">
        <v>18483.2</v>
      </c>
      <c r="G20">
        <v>154.98599999999999</v>
      </c>
      <c r="H20" t="s">
        <v>528</v>
      </c>
      <c r="I20" s="367">
        <v>2864637.2349999999</v>
      </c>
    </row>
    <row r="21" spans="1:9">
      <c r="A21">
        <v>146</v>
      </c>
      <c r="B21" t="s">
        <v>355</v>
      </c>
      <c r="C21" t="s">
        <v>355</v>
      </c>
      <c r="D21" t="s">
        <v>524</v>
      </c>
      <c r="E21" t="s">
        <v>9</v>
      </c>
      <c r="F21">
        <v>7056</v>
      </c>
      <c r="G21">
        <v>142.45699999999999</v>
      </c>
      <c r="H21" t="s">
        <v>515</v>
      </c>
      <c r="I21" s="367">
        <v>1005176.5919999999</v>
      </c>
    </row>
    <row r="22" spans="1:9">
      <c r="A22">
        <v>147</v>
      </c>
      <c r="B22" t="s">
        <v>288</v>
      </c>
      <c r="C22" t="s">
        <v>288</v>
      </c>
      <c r="D22" t="s">
        <v>570</v>
      </c>
      <c r="E22" t="s">
        <v>108</v>
      </c>
      <c r="F22">
        <v>5538</v>
      </c>
      <c r="G22">
        <v>299.97300000000001</v>
      </c>
      <c r="H22" t="s">
        <v>571</v>
      </c>
      <c r="I22" s="367">
        <v>1661250.4739999999</v>
      </c>
    </row>
    <row r="23" spans="1:9">
      <c r="A23">
        <v>148</v>
      </c>
      <c r="B23" t="s">
        <v>349</v>
      </c>
      <c r="C23" t="s">
        <v>349</v>
      </c>
      <c r="D23" t="s">
        <v>291</v>
      </c>
      <c r="E23" t="s">
        <v>199</v>
      </c>
      <c r="F23">
        <v>25</v>
      </c>
      <c r="G23">
        <v>46816.625999999997</v>
      </c>
      <c r="H23" t="s">
        <v>550</v>
      </c>
      <c r="I23" s="367">
        <v>1170415.6499999999</v>
      </c>
    </row>
    <row r="24" spans="1:9">
      <c r="A24">
        <v>149</v>
      </c>
      <c r="B24" t="s">
        <v>243</v>
      </c>
      <c r="C24" t="s">
        <v>293</v>
      </c>
      <c r="D24" t="s">
        <v>506</v>
      </c>
      <c r="E24" t="s">
        <v>199</v>
      </c>
      <c r="F24">
        <v>50</v>
      </c>
      <c r="G24">
        <v>8462.6180000000004</v>
      </c>
      <c r="H24" t="s">
        <v>549</v>
      </c>
      <c r="I24" s="367">
        <v>423130.9</v>
      </c>
    </row>
    <row r="25" spans="1:9">
      <c r="I25" s="367">
        <f>SUM(I1:I24)</f>
        <v>27446811.923</v>
      </c>
    </row>
    <row r="26" spans="1:9">
      <c r="I26" s="361">
        <f>ROUND(((I25/100000)/25),2)</f>
        <v>10.98</v>
      </c>
    </row>
    <row r="27" spans="1:9">
      <c r="H27" s="362" t="s">
        <v>600</v>
      </c>
      <c r="I27" s="361">
        <f>ROUND(((SUM(I22:I24)/500000)/25),2)</f>
        <v>0.26</v>
      </c>
    </row>
    <row r="28" spans="1:9">
      <c r="I28" s="361">
        <f>I26-I27</f>
        <v>10.72</v>
      </c>
    </row>
    <row r="29" spans="1:9">
      <c r="H29" s="362" t="s">
        <v>601</v>
      </c>
      <c r="I29" s="361">
        <f>I28*23</f>
        <v>246.56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C6F21-964D-465A-9880-4829EC1D4FD0}">
  <dimension ref="A1:J60"/>
  <sheetViews>
    <sheetView topLeftCell="A46" zoomScale="145" zoomScaleNormal="145" workbookViewId="0">
      <selection activeCell="I60" sqref="I60"/>
    </sheetView>
  </sheetViews>
  <sheetFormatPr defaultRowHeight="12.5"/>
  <cols>
    <col min="3" max="3" width="17.81640625" customWidth="1"/>
    <col min="4" max="4" width="15.90625" customWidth="1"/>
    <col min="8" max="8" width="11.7265625" customWidth="1"/>
    <col min="9" max="9" width="14.6328125" customWidth="1"/>
  </cols>
  <sheetData>
    <row r="1" spans="1:10">
      <c r="A1" t="s">
        <v>593</v>
      </c>
      <c r="B1" t="s">
        <v>594</v>
      </c>
      <c r="C1" t="s">
        <v>595</v>
      </c>
      <c r="D1" t="s">
        <v>5</v>
      </c>
      <c r="E1" t="s">
        <v>596</v>
      </c>
      <c r="F1" t="s">
        <v>6</v>
      </c>
      <c r="G1" t="s">
        <v>597</v>
      </c>
      <c r="H1" s="361" t="s">
        <v>597</v>
      </c>
      <c r="I1" t="s">
        <v>598</v>
      </c>
      <c r="J1" t="s">
        <v>598</v>
      </c>
    </row>
    <row r="2" spans="1:10">
      <c r="A2" s="365">
        <v>32</v>
      </c>
      <c r="B2" s="365" t="s">
        <v>272</v>
      </c>
      <c r="C2" s="365" t="s">
        <v>193</v>
      </c>
      <c r="D2" s="365" t="s">
        <v>423</v>
      </c>
      <c r="E2" s="365" t="s">
        <v>362</v>
      </c>
      <c r="F2" s="365">
        <v>4</v>
      </c>
      <c r="G2" s="365">
        <v>1199.8920000000001</v>
      </c>
      <c r="H2" s="365" t="s">
        <v>535</v>
      </c>
      <c r="I2" s="368">
        <v>4799.5680000000002</v>
      </c>
    </row>
    <row r="3" spans="1:10">
      <c r="A3" s="365">
        <v>33</v>
      </c>
      <c r="B3" s="365" t="s">
        <v>111</v>
      </c>
      <c r="C3" s="365" t="s">
        <v>111</v>
      </c>
      <c r="D3" s="365" t="s">
        <v>112</v>
      </c>
      <c r="E3" s="365" t="s">
        <v>21</v>
      </c>
      <c r="F3" s="365">
        <v>8274.48</v>
      </c>
      <c r="G3" s="365">
        <v>24.998000000000001</v>
      </c>
      <c r="H3" s="365" t="s">
        <v>572</v>
      </c>
      <c r="I3" s="368">
        <v>206845.451</v>
      </c>
    </row>
    <row r="4" spans="1:10">
      <c r="A4" s="365">
        <v>34</v>
      </c>
      <c r="B4" s="365" t="s">
        <v>426</v>
      </c>
      <c r="C4" s="365" t="s">
        <v>196</v>
      </c>
      <c r="D4" s="365" t="s">
        <v>427</v>
      </c>
      <c r="E4" s="365" t="s">
        <v>21</v>
      </c>
      <c r="F4" s="365">
        <v>11</v>
      </c>
      <c r="G4" s="365">
        <v>69.534000000000006</v>
      </c>
      <c r="H4" s="365" t="s">
        <v>428</v>
      </c>
      <c r="I4" s="368">
        <v>764.87400000000002</v>
      </c>
    </row>
    <row r="5" spans="1:10">
      <c r="A5" s="365">
        <v>35</v>
      </c>
      <c r="B5" s="365" t="s">
        <v>115</v>
      </c>
      <c r="C5" s="365" t="s">
        <v>115</v>
      </c>
      <c r="D5" s="365" t="s">
        <v>429</v>
      </c>
      <c r="E5" s="365" t="s">
        <v>199</v>
      </c>
      <c r="F5" s="365">
        <v>6</v>
      </c>
      <c r="G5" s="365">
        <v>2583.9870000000001</v>
      </c>
      <c r="H5" s="365" t="s">
        <v>430</v>
      </c>
      <c r="I5" s="368">
        <v>15503.922</v>
      </c>
    </row>
    <row r="6" spans="1:10">
      <c r="A6" s="365">
        <v>36</v>
      </c>
      <c r="B6" s="365" t="s">
        <v>117</v>
      </c>
      <c r="C6" s="365" t="s">
        <v>117</v>
      </c>
      <c r="D6" s="365" t="s">
        <v>536</v>
      </c>
      <c r="E6" s="365" t="s">
        <v>9</v>
      </c>
      <c r="F6" s="365">
        <v>2880</v>
      </c>
      <c r="G6" s="365">
        <v>139.98699999999999</v>
      </c>
      <c r="H6" s="365" t="s">
        <v>371</v>
      </c>
      <c r="I6" s="368">
        <v>403162.56</v>
      </c>
    </row>
    <row r="7" spans="1:10">
      <c r="A7" s="365">
        <v>37</v>
      </c>
      <c r="B7" s="365" t="s">
        <v>431</v>
      </c>
      <c r="C7" s="365" t="s">
        <v>120</v>
      </c>
      <c r="D7" s="365" t="s">
        <v>432</v>
      </c>
      <c r="E7" s="365" t="s">
        <v>8</v>
      </c>
      <c r="F7" s="365">
        <v>1125</v>
      </c>
      <c r="G7" s="365">
        <v>29.997</v>
      </c>
      <c r="H7" s="365" t="s">
        <v>573</v>
      </c>
      <c r="I7" s="368">
        <v>33746.625</v>
      </c>
    </row>
    <row r="8" spans="1:10">
      <c r="A8" s="365">
        <v>38</v>
      </c>
      <c r="B8" s="365" t="s">
        <v>434</v>
      </c>
      <c r="C8" s="365" t="s">
        <v>119</v>
      </c>
      <c r="D8" s="365" t="s">
        <v>435</v>
      </c>
      <c r="E8" s="365" t="s">
        <v>9</v>
      </c>
      <c r="F8" s="365">
        <v>5026.6899999999996</v>
      </c>
      <c r="G8" s="365">
        <v>149.98699999999999</v>
      </c>
      <c r="H8" s="365" t="s">
        <v>436</v>
      </c>
      <c r="I8" s="368">
        <v>753938.15300000005</v>
      </c>
    </row>
    <row r="9" spans="1:10">
      <c r="A9" s="365" t="s">
        <v>574</v>
      </c>
      <c r="B9" s="365" t="s">
        <v>437</v>
      </c>
      <c r="C9" s="365" t="s">
        <v>202</v>
      </c>
      <c r="D9" s="365" t="s">
        <v>575</v>
      </c>
      <c r="E9" s="365" t="s">
        <v>21</v>
      </c>
      <c r="F9" s="365">
        <v>300</v>
      </c>
      <c r="G9" s="365">
        <v>639.94200000000001</v>
      </c>
      <c r="H9" s="365" t="s">
        <v>576</v>
      </c>
      <c r="I9" s="368">
        <v>191982.6</v>
      </c>
    </row>
    <row r="10" spans="1:10">
      <c r="A10" s="365" t="s">
        <v>577</v>
      </c>
      <c r="B10" s="365" t="s">
        <v>437</v>
      </c>
      <c r="C10" s="365" t="s">
        <v>118</v>
      </c>
      <c r="D10" s="365" t="s">
        <v>438</v>
      </c>
      <c r="E10" s="365" t="s">
        <v>21</v>
      </c>
      <c r="F10" s="365">
        <v>273.60000000000002</v>
      </c>
      <c r="G10" s="365">
        <v>837.07500000000005</v>
      </c>
      <c r="H10" s="365" t="s">
        <v>578</v>
      </c>
      <c r="I10" s="368">
        <v>229023.72</v>
      </c>
    </row>
    <row r="11" spans="1:10">
      <c r="A11" s="365">
        <v>40</v>
      </c>
      <c r="B11" s="365" t="s">
        <v>140</v>
      </c>
      <c r="C11" s="365" t="s">
        <v>141</v>
      </c>
      <c r="D11" s="365" t="s">
        <v>440</v>
      </c>
      <c r="E11" s="365" t="s">
        <v>9</v>
      </c>
      <c r="F11" s="365">
        <v>51384.88</v>
      </c>
      <c r="G11" s="365">
        <v>6.1289999999999996</v>
      </c>
      <c r="H11" s="365" t="s">
        <v>441</v>
      </c>
      <c r="I11" s="368">
        <v>314937.93</v>
      </c>
    </row>
    <row r="12" spans="1:10">
      <c r="A12" s="365">
        <v>41</v>
      </c>
      <c r="B12" s="365" t="s">
        <v>442</v>
      </c>
      <c r="C12" s="365" t="s">
        <v>124</v>
      </c>
      <c r="D12" s="365" t="s">
        <v>443</v>
      </c>
      <c r="E12" s="365" t="s">
        <v>444</v>
      </c>
      <c r="F12" s="365">
        <v>18.05</v>
      </c>
      <c r="G12" s="365">
        <v>299972.99900000001</v>
      </c>
      <c r="H12" s="365" t="s">
        <v>445</v>
      </c>
      <c r="I12" s="368">
        <v>5414512.6320000002</v>
      </c>
    </row>
    <row r="13" spans="1:10">
      <c r="A13" s="365">
        <v>42</v>
      </c>
      <c r="B13" s="365" t="s">
        <v>446</v>
      </c>
      <c r="C13" s="365" t="s">
        <v>126</v>
      </c>
      <c r="D13" s="365" t="s">
        <v>447</v>
      </c>
      <c r="E13" s="365" t="s">
        <v>22</v>
      </c>
      <c r="F13" s="365">
        <v>102.27</v>
      </c>
      <c r="G13" s="365">
        <v>39.155999999999999</v>
      </c>
      <c r="H13" s="365" t="s">
        <v>448</v>
      </c>
      <c r="I13" s="368">
        <v>4004.4839999999999</v>
      </c>
    </row>
    <row r="14" spans="1:10">
      <c r="A14" s="365">
        <v>43</v>
      </c>
      <c r="B14" s="365" t="s">
        <v>116</v>
      </c>
      <c r="C14" s="365" t="s">
        <v>116</v>
      </c>
      <c r="D14" s="365" t="s">
        <v>449</v>
      </c>
      <c r="E14" s="365" t="s">
        <v>199</v>
      </c>
      <c r="F14" s="365">
        <v>4</v>
      </c>
      <c r="G14" s="365">
        <v>17209.620999999999</v>
      </c>
      <c r="H14" s="365" t="s">
        <v>450</v>
      </c>
      <c r="I14" s="368">
        <v>68838.483999999997</v>
      </c>
    </row>
    <row r="15" spans="1:10">
      <c r="A15" s="365">
        <v>44</v>
      </c>
      <c r="B15" s="365" t="s">
        <v>451</v>
      </c>
      <c r="C15" s="365" t="s">
        <v>130</v>
      </c>
      <c r="D15" s="365" t="s">
        <v>452</v>
      </c>
      <c r="E15" s="365" t="s">
        <v>21</v>
      </c>
      <c r="F15" s="365">
        <v>137.24</v>
      </c>
      <c r="G15" s="365">
        <v>1499.865</v>
      </c>
      <c r="H15" s="365" t="s">
        <v>453</v>
      </c>
      <c r="I15" s="368">
        <v>205841.473</v>
      </c>
    </row>
    <row r="16" spans="1:10">
      <c r="A16" s="365">
        <v>45</v>
      </c>
      <c r="B16" s="365" t="s">
        <v>128</v>
      </c>
      <c r="C16" s="365" t="s">
        <v>128</v>
      </c>
      <c r="D16" s="365" t="s">
        <v>129</v>
      </c>
      <c r="E16" s="365" t="s">
        <v>21</v>
      </c>
      <c r="F16" s="365">
        <v>441.11</v>
      </c>
      <c r="G16" s="365">
        <v>362.66699999999997</v>
      </c>
      <c r="H16" s="365" t="s">
        <v>454</v>
      </c>
      <c r="I16" s="368">
        <v>159976.04</v>
      </c>
    </row>
    <row r="17" spans="1:9">
      <c r="A17" s="365">
        <v>46</v>
      </c>
      <c r="B17" s="365" t="s">
        <v>132</v>
      </c>
      <c r="C17" s="365" t="s">
        <v>132</v>
      </c>
      <c r="D17" s="365" t="s">
        <v>133</v>
      </c>
      <c r="E17" s="365" t="s">
        <v>21</v>
      </c>
      <c r="F17" s="365">
        <v>29.68</v>
      </c>
      <c r="G17" s="365">
        <v>461.75799999999998</v>
      </c>
      <c r="H17" s="365" t="s">
        <v>455</v>
      </c>
      <c r="I17" s="368">
        <v>13704.977000000001</v>
      </c>
    </row>
    <row r="18" spans="1:9">
      <c r="A18" s="365">
        <v>47</v>
      </c>
      <c r="B18" s="365" t="s">
        <v>134</v>
      </c>
      <c r="C18" s="365" t="s">
        <v>135</v>
      </c>
      <c r="D18" s="365" t="s">
        <v>456</v>
      </c>
      <c r="E18" s="365" t="s">
        <v>21</v>
      </c>
      <c r="F18" s="365">
        <v>182.95</v>
      </c>
      <c r="G18" s="365">
        <v>31.216999999999999</v>
      </c>
      <c r="H18" s="365" t="s">
        <v>457</v>
      </c>
      <c r="I18" s="368">
        <v>5711.15</v>
      </c>
    </row>
    <row r="19" spans="1:9">
      <c r="A19" s="365">
        <v>48</v>
      </c>
      <c r="B19" s="365" t="s">
        <v>579</v>
      </c>
      <c r="C19" s="365" t="s">
        <v>579</v>
      </c>
      <c r="D19" s="365" t="s">
        <v>458</v>
      </c>
      <c r="E19" s="365" t="s">
        <v>9</v>
      </c>
      <c r="F19" s="365">
        <v>0.73</v>
      </c>
      <c r="G19" s="365">
        <v>11998.919</v>
      </c>
      <c r="H19" s="365" t="s">
        <v>459</v>
      </c>
      <c r="I19" s="368">
        <v>8759.2109999999993</v>
      </c>
    </row>
    <row r="20" spans="1:9">
      <c r="A20" s="365">
        <v>49</v>
      </c>
      <c r="B20" s="365" t="s">
        <v>142</v>
      </c>
      <c r="C20" s="365" t="s">
        <v>143</v>
      </c>
      <c r="D20" s="365" t="s">
        <v>460</v>
      </c>
      <c r="E20" s="365" t="s">
        <v>9</v>
      </c>
      <c r="F20" s="365">
        <v>25.25</v>
      </c>
      <c r="G20" s="365">
        <v>11998.919</v>
      </c>
      <c r="H20" s="365" t="s">
        <v>459</v>
      </c>
      <c r="I20" s="368">
        <v>302972.70500000002</v>
      </c>
    </row>
    <row r="21" spans="1:9">
      <c r="A21" s="365">
        <v>50</v>
      </c>
      <c r="B21" s="365" t="s">
        <v>113</v>
      </c>
      <c r="C21" s="365" t="s">
        <v>113</v>
      </c>
      <c r="D21" s="365" t="s">
        <v>214</v>
      </c>
      <c r="E21" s="365" t="s">
        <v>8</v>
      </c>
      <c r="F21" s="365">
        <v>120</v>
      </c>
      <c r="G21" s="365">
        <v>27.876999999999999</v>
      </c>
      <c r="H21" s="365" t="s">
        <v>580</v>
      </c>
      <c r="I21" s="368">
        <v>3345.24</v>
      </c>
    </row>
    <row r="22" spans="1:9">
      <c r="A22" s="365">
        <v>51</v>
      </c>
      <c r="B22" s="365" t="s">
        <v>114</v>
      </c>
      <c r="C22" s="365" t="s">
        <v>114</v>
      </c>
      <c r="D22" s="365" t="s">
        <v>462</v>
      </c>
      <c r="E22" s="365" t="s">
        <v>8</v>
      </c>
      <c r="F22" s="365">
        <v>120</v>
      </c>
      <c r="G22" s="365">
        <v>2.8290000000000002</v>
      </c>
      <c r="H22" s="365" t="s">
        <v>463</v>
      </c>
      <c r="I22" s="368">
        <v>339.48</v>
      </c>
    </row>
    <row r="23" spans="1:9">
      <c r="A23" s="365">
        <v>52</v>
      </c>
      <c r="B23" s="365" t="s">
        <v>149</v>
      </c>
      <c r="C23" s="365" t="s">
        <v>150</v>
      </c>
      <c r="D23" s="365" t="s">
        <v>216</v>
      </c>
      <c r="E23" s="365" t="s">
        <v>108</v>
      </c>
      <c r="F23" s="365">
        <v>18361.919999999998</v>
      </c>
      <c r="G23" s="365">
        <v>84.992000000000004</v>
      </c>
      <c r="H23" s="365" t="s">
        <v>385</v>
      </c>
      <c r="I23" s="368">
        <v>1560616.3049999999</v>
      </c>
    </row>
    <row r="24" spans="1:9">
      <c r="A24" s="365">
        <v>53</v>
      </c>
      <c r="B24" s="365" t="s">
        <v>464</v>
      </c>
      <c r="C24" s="365" t="s">
        <v>151</v>
      </c>
      <c r="D24" s="365" t="s">
        <v>465</v>
      </c>
      <c r="E24" s="365" t="s">
        <v>108</v>
      </c>
      <c r="F24" s="365">
        <v>33.83</v>
      </c>
      <c r="G24" s="365">
        <v>84.992000000000004</v>
      </c>
      <c r="H24" s="365" t="s">
        <v>385</v>
      </c>
      <c r="I24" s="368">
        <v>2875.279</v>
      </c>
    </row>
    <row r="25" spans="1:9">
      <c r="A25" s="365">
        <v>54</v>
      </c>
      <c r="B25" s="365" t="s">
        <v>155</v>
      </c>
      <c r="C25" s="365" t="s">
        <v>156</v>
      </c>
      <c r="D25" s="365" t="s">
        <v>466</v>
      </c>
      <c r="E25" s="365" t="s">
        <v>9</v>
      </c>
      <c r="F25" s="365">
        <v>225.56</v>
      </c>
      <c r="G25" s="365">
        <v>14998.648999999999</v>
      </c>
      <c r="H25" s="365" t="s">
        <v>388</v>
      </c>
      <c r="I25" s="368">
        <v>3383095.2680000002</v>
      </c>
    </row>
    <row r="26" spans="1:9">
      <c r="A26" s="365" t="s">
        <v>581</v>
      </c>
      <c r="B26" s="365" t="s">
        <v>145</v>
      </c>
      <c r="C26" s="365" t="s">
        <v>148</v>
      </c>
      <c r="D26" s="365" t="s">
        <v>468</v>
      </c>
      <c r="E26" s="365" t="s">
        <v>21</v>
      </c>
      <c r="F26" s="365">
        <v>269.36</v>
      </c>
      <c r="G26" s="365">
        <v>735.28399999999999</v>
      </c>
      <c r="H26" s="365" t="s">
        <v>469</v>
      </c>
      <c r="I26" s="368">
        <v>198056.098</v>
      </c>
    </row>
    <row r="27" spans="1:9">
      <c r="A27" s="365" t="s">
        <v>582</v>
      </c>
      <c r="B27" s="365" t="s">
        <v>145</v>
      </c>
      <c r="C27" s="365" t="s">
        <v>146</v>
      </c>
      <c r="D27" s="365" t="s">
        <v>222</v>
      </c>
      <c r="E27" s="365" t="s">
        <v>21</v>
      </c>
      <c r="F27" s="365">
        <v>696.97</v>
      </c>
      <c r="G27" s="365">
        <v>909.60799999999995</v>
      </c>
      <c r="H27" s="365" t="s">
        <v>583</v>
      </c>
      <c r="I27" s="368">
        <v>633969.48800000001</v>
      </c>
    </row>
    <row r="28" spans="1:9">
      <c r="A28" s="365" t="s">
        <v>584</v>
      </c>
      <c r="B28" s="365" t="s">
        <v>145</v>
      </c>
      <c r="C28" s="365" t="s">
        <v>147</v>
      </c>
      <c r="D28" s="365" t="s">
        <v>223</v>
      </c>
      <c r="E28" s="365" t="s">
        <v>21</v>
      </c>
      <c r="F28" s="365">
        <v>32.979999999999997</v>
      </c>
      <c r="G28" s="365">
        <v>921.90700000000004</v>
      </c>
      <c r="H28" s="365" t="s">
        <v>472</v>
      </c>
      <c r="I28" s="368">
        <v>30404.492999999999</v>
      </c>
    </row>
    <row r="29" spans="1:9">
      <c r="A29" s="365">
        <v>56</v>
      </c>
      <c r="B29" s="365" t="s">
        <v>473</v>
      </c>
      <c r="C29" s="365" t="s">
        <v>162</v>
      </c>
      <c r="D29" s="365" t="s">
        <v>474</v>
      </c>
      <c r="E29" s="365" t="s">
        <v>22</v>
      </c>
      <c r="F29" s="365">
        <v>17.600000000000001</v>
      </c>
      <c r="G29" s="365">
        <v>1133.6479999999999</v>
      </c>
      <c r="H29" s="365" t="s">
        <v>475</v>
      </c>
      <c r="I29" s="368">
        <v>19952.205000000002</v>
      </c>
    </row>
    <row r="30" spans="1:9">
      <c r="A30" s="365" t="s">
        <v>585</v>
      </c>
      <c r="B30" s="365" t="s">
        <v>477</v>
      </c>
      <c r="C30" s="365" t="s">
        <v>138</v>
      </c>
      <c r="D30" s="365" t="s">
        <v>478</v>
      </c>
      <c r="E30" s="365" t="s">
        <v>9</v>
      </c>
      <c r="F30" s="365">
        <v>36.97</v>
      </c>
      <c r="G30" s="365">
        <v>1070.194</v>
      </c>
      <c r="H30" s="365" t="s">
        <v>479</v>
      </c>
      <c r="I30" s="368">
        <v>39565.072</v>
      </c>
    </row>
    <row r="31" spans="1:9">
      <c r="A31" s="365" t="s">
        <v>586</v>
      </c>
      <c r="B31" s="365" t="s">
        <v>477</v>
      </c>
      <c r="C31" s="365" t="s">
        <v>139</v>
      </c>
      <c r="D31" s="365" t="s">
        <v>228</v>
      </c>
      <c r="E31" s="365" t="s">
        <v>9</v>
      </c>
      <c r="F31" s="365">
        <v>6.59</v>
      </c>
      <c r="G31" s="365">
        <v>1575.2380000000001</v>
      </c>
      <c r="H31" s="365" t="s">
        <v>481</v>
      </c>
      <c r="I31" s="368">
        <v>10380.817999999999</v>
      </c>
    </row>
    <row r="32" spans="1:9">
      <c r="A32" s="365">
        <v>58</v>
      </c>
      <c r="B32" s="365" t="s">
        <v>121</v>
      </c>
      <c r="C32" s="365" t="s">
        <v>122</v>
      </c>
      <c r="D32" s="365" t="s">
        <v>482</v>
      </c>
      <c r="E32" s="365" t="s">
        <v>9</v>
      </c>
      <c r="F32" s="365">
        <v>47.91</v>
      </c>
      <c r="G32" s="365">
        <v>1419.932</v>
      </c>
      <c r="H32" s="365" t="s">
        <v>483</v>
      </c>
      <c r="I32" s="368">
        <v>68028.941999999995</v>
      </c>
    </row>
    <row r="33" spans="1:9">
      <c r="A33" s="365" t="s">
        <v>587</v>
      </c>
      <c r="B33" s="365" t="s">
        <v>136</v>
      </c>
      <c r="C33" s="365" t="s">
        <v>340</v>
      </c>
      <c r="D33" s="365" t="s">
        <v>485</v>
      </c>
      <c r="E33" s="365" t="s">
        <v>9</v>
      </c>
      <c r="F33" s="365">
        <v>45.3</v>
      </c>
      <c r="G33" s="365">
        <v>3730.134</v>
      </c>
      <c r="H33" s="365" t="s">
        <v>486</v>
      </c>
      <c r="I33" s="368">
        <v>168975.07</v>
      </c>
    </row>
    <row r="34" spans="1:9">
      <c r="A34" s="365" t="s">
        <v>588</v>
      </c>
      <c r="B34" s="365" t="s">
        <v>136</v>
      </c>
      <c r="C34" s="365" t="s">
        <v>137</v>
      </c>
      <c r="D34" s="365" t="s">
        <v>233</v>
      </c>
      <c r="E34" s="365" t="s">
        <v>9</v>
      </c>
      <c r="F34" s="365">
        <v>45.3</v>
      </c>
      <c r="G34" s="365">
        <v>4075.723</v>
      </c>
      <c r="H34" s="365" t="s">
        <v>488</v>
      </c>
      <c r="I34" s="368">
        <v>184630.25200000001</v>
      </c>
    </row>
    <row r="35" spans="1:9">
      <c r="A35" s="365" t="s">
        <v>589</v>
      </c>
      <c r="B35" s="365" t="s">
        <v>159</v>
      </c>
      <c r="C35" s="365" t="s">
        <v>160</v>
      </c>
      <c r="D35" s="365" t="s">
        <v>314</v>
      </c>
      <c r="E35" s="365" t="s">
        <v>199</v>
      </c>
      <c r="F35" s="365">
        <v>6477</v>
      </c>
      <c r="G35" s="365">
        <v>349.96899999999999</v>
      </c>
      <c r="H35" s="365" t="s">
        <v>490</v>
      </c>
      <c r="I35" s="368">
        <v>2266749.213</v>
      </c>
    </row>
    <row r="36" spans="1:9">
      <c r="A36" s="365" t="s">
        <v>590</v>
      </c>
      <c r="B36" s="365" t="s">
        <v>159</v>
      </c>
      <c r="C36" s="365" t="s">
        <v>161</v>
      </c>
      <c r="D36" s="365" t="s">
        <v>235</v>
      </c>
      <c r="E36" s="365" t="s">
        <v>199</v>
      </c>
      <c r="F36" s="365">
        <v>1541</v>
      </c>
      <c r="G36" s="365">
        <v>399.964</v>
      </c>
      <c r="H36" s="365" t="s">
        <v>492</v>
      </c>
      <c r="I36" s="368">
        <v>616344.52399999998</v>
      </c>
    </row>
    <row r="37" spans="1:9">
      <c r="A37" s="365" t="s">
        <v>591</v>
      </c>
      <c r="B37" s="365" t="s">
        <v>415</v>
      </c>
      <c r="C37" s="365" t="s">
        <v>95</v>
      </c>
      <c r="D37" s="365" t="s">
        <v>494</v>
      </c>
      <c r="E37" s="365" t="s">
        <v>9</v>
      </c>
      <c r="F37" s="365">
        <v>101.49</v>
      </c>
      <c r="G37" s="365">
        <v>1145.777</v>
      </c>
      <c r="H37" s="365" t="s">
        <v>417</v>
      </c>
      <c r="I37" s="368">
        <v>116284.908</v>
      </c>
    </row>
    <row r="38" spans="1:9">
      <c r="A38" s="365" t="s">
        <v>592</v>
      </c>
      <c r="B38" s="365" t="s">
        <v>415</v>
      </c>
      <c r="C38" s="365" t="s">
        <v>70</v>
      </c>
      <c r="D38" s="365" t="s">
        <v>99</v>
      </c>
      <c r="E38" s="365" t="s">
        <v>9</v>
      </c>
      <c r="F38" s="365">
        <v>101.49</v>
      </c>
      <c r="G38" s="365">
        <v>2026.8579999999999</v>
      </c>
      <c r="H38" s="365" t="s">
        <v>419</v>
      </c>
      <c r="I38" s="368">
        <v>205705.818</v>
      </c>
    </row>
    <row r="39" spans="1:9">
      <c r="A39" s="365">
        <v>62</v>
      </c>
      <c r="B39" s="365" t="s">
        <v>154</v>
      </c>
      <c r="C39" s="365" t="s">
        <v>154</v>
      </c>
      <c r="D39" s="365" t="s">
        <v>496</v>
      </c>
      <c r="E39" s="365" t="s">
        <v>108</v>
      </c>
      <c r="F39" s="365">
        <v>2238.35</v>
      </c>
      <c r="G39" s="365">
        <v>124.989</v>
      </c>
      <c r="H39" s="365" t="s">
        <v>497</v>
      </c>
      <c r="I39" s="368">
        <v>279769.12800000003</v>
      </c>
    </row>
    <row r="40" spans="1:9">
      <c r="A40" s="365">
        <v>63</v>
      </c>
      <c r="B40" s="365" t="s">
        <v>498</v>
      </c>
      <c r="C40" s="365" t="s">
        <v>152</v>
      </c>
      <c r="D40" s="365" t="s">
        <v>499</v>
      </c>
      <c r="E40" s="365" t="s">
        <v>22</v>
      </c>
      <c r="F40" s="365">
        <v>4.5</v>
      </c>
      <c r="G40" s="365">
        <v>232.90899999999999</v>
      </c>
      <c r="H40" s="365" t="s">
        <v>500</v>
      </c>
      <c r="I40" s="368">
        <v>1048.0909999999999</v>
      </c>
    </row>
    <row r="41" spans="1:9">
      <c r="A41" s="365">
        <v>64</v>
      </c>
      <c r="B41" s="365" t="s">
        <v>501</v>
      </c>
      <c r="C41" s="365" t="s">
        <v>240</v>
      </c>
      <c r="D41" s="365" t="s">
        <v>502</v>
      </c>
      <c r="E41" s="365" t="s">
        <v>22</v>
      </c>
      <c r="F41" s="365">
        <v>4.7</v>
      </c>
      <c r="G41" s="365">
        <v>338.98899999999998</v>
      </c>
      <c r="H41" s="365" t="s">
        <v>503</v>
      </c>
      <c r="I41" s="368">
        <v>1593.248</v>
      </c>
    </row>
    <row r="42" spans="1:9">
      <c r="A42" s="365">
        <v>65</v>
      </c>
      <c r="B42" s="365" t="s">
        <v>163</v>
      </c>
      <c r="C42" s="365" t="s">
        <v>109</v>
      </c>
      <c r="D42" s="365" t="s">
        <v>504</v>
      </c>
      <c r="E42" s="365" t="s">
        <v>199</v>
      </c>
      <c r="F42" s="365">
        <v>2</v>
      </c>
      <c r="G42" s="365">
        <v>96790.918000000005</v>
      </c>
      <c r="H42" s="365" t="s">
        <v>505</v>
      </c>
      <c r="I42" s="368">
        <v>193581.83600000001</v>
      </c>
    </row>
    <row r="43" spans="1:9">
      <c r="A43" s="365">
        <v>66</v>
      </c>
      <c r="B43" s="365" t="s">
        <v>243</v>
      </c>
      <c r="C43" s="365" t="s">
        <v>164</v>
      </c>
      <c r="D43" s="365" t="s">
        <v>506</v>
      </c>
      <c r="E43" s="365" t="s">
        <v>199</v>
      </c>
      <c r="F43" s="365">
        <v>2</v>
      </c>
      <c r="G43" s="365">
        <v>9991.0110000000004</v>
      </c>
      <c r="H43" s="365" t="s">
        <v>507</v>
      </c>
      <c r="I43" s="368">
        <v>19982.022000000001</v>
      </c>
    </row>
    <row r="44" spans="1:9">
      <c r="A44" s="365">
        <v>67</v>
      </c>
      <c r="B44" s="365" t="s">
        <v>165</v>
      </c>
      <c r="C44" s="365" t="s">
        <v>165</v>
      </c>
      <c r="D44" s="365" t="s">
        <v>508</v>
      </c>
      <c r="E44" s="365" t="s">
        <v>199</v>
      </c>
      <c r="F44" s="365">
        <v>2</v>
      </c>
      <c r="G44" s="365">
        <v>84128.278000000006</v>
      </c>
      <c r="H44" s="365" t="s">
        <v>509</v>
      </c>
      <c r="I44" s="368">
        <v>168256.55600000001</v>
      </c>
    </row>
    <row r="45" spans="1:9">
      <c r="A45" s="365">
        <v>68</v>
      </c>
      <c r="B45" s="365" t="s">
        <v>168</v>
      </c>
      <c r="C45" s="365" t="s">
        <v>168</v>
      </c>
      <c r="D45" s="365" t="s">
        <v>510</v>
      </c>
      <c r="E45" s="365" t="s">
        <v>9</v>
      </c>
      <c r="F45" s="365">
        <v>1.72</v>
      </c>
      <c r="G45" s="365">
        <v>60960.913</v>
      </c>
      <c r="H45" s="365" t="s">
        <v>511</v>
      </c>
      <c r="I45" s="368">
        <v>104852.77</v>
      </c>
    </row>
    <row r="46" spans="1:9">
      <c r="A46" s="365">
        <v>69</v>
      </c>
      <c r="B46" s="365" t="s">
        <v>248</v>
      </c>
      <c r="C46" s="365" t="s">
        <v>250</v>
      </c>
      <c r="D46" s="365" t="s">
        <v>512</v>
      </c>
      <c r="E46" s="365" t="s">
        <v>9</v>
      </c>
      <c r="F46" s="365">
        <v>2640</v>
      </c>
      <c r="G46" s="365">
        <v>169.98500000000001</v>
      </c>
      <c r="H46" s="365" t="s">
        <v>513</v>
      </c>
      <c r="I46" s="368">
        <v>448760.4</v>
      </c>
    </row>
    <row r="47" spans="1:9">
      <c r="A47" s="365">
        <v>70</v>
      </c>
      <c r="B47" s="365" t="s">
        <v>514</v>
      </c>
      <c r="C47" s="365" t="s">
        <v>514</v>
      </c>
      <c r="D47" s="365" t="s">
        <v>253</v>
      </c>
      <c r="E47" s="365" t="s">
        <v>9</v>
      </c>
      <c r="F47" s="365">
        <v>7558.5</v>
      </c>
      <c r="G47" s="365">
        <v>142.45699999999999</v>
      </c>
      <c r="H47" s="365" t="s">
        <v>515</v>
      </c>
      <c r="I47" s="368">
        <v>1076761.2350000001</v>
      </c>
    </row>
    <row r="48" spans="1:9">
      <c r="A48" s="365">
        <v>71</v>
      </c>
      <c r="B48" s="365" t="s">
        <v>32</v>
      </c>
      <c r="C48" s="365" t="s">
        <v>32</v>
      </c>
      <c r="D48" s="365" t="s">
        <v>516</v>
      </c>
      <c r="E48" s="365" t="s">
        <v>517</v>
      </c>
      <c r="F48" s="365">
        <v>1848</v>
      </c>
      <c r="G48" s="365">
        <v>19.998000000000001</v>
      </c>
      <c r="H48" s="365" t="s">
        <v>377</v>
      </c>
      <c r="I48" s="368">
        <v>36956.303999999996</v>
      </c>
    </row>
    <row r="49" spans="1:9">
      <c r="A49" s="365">
        <v>72</v>
      </c>
      <c r="B49" s="365" t="s">
        <v>256</v>
      </c>
      <c r="C49" s="365" t="s">
        <v>256</v>
      </c>
      <c r="D49" s="365" t="s">
        <v>518</v>
      </c>
      <c r="E49" s="365" t="s">
        <v>519</v>
      </c>
      <c r="F49" s="365">
        <v>4535.1000000000004</v>
      </c>
      <c r="G49" s="365">
        <v>10.989000000000001</v>
      </c>
      <c r="H49" s="365" t="s">
        <v>520</v>
      </c>
      <c r="I49" s="368">
        <v>49836.214</v>
      </c>
    </row>
    <row r="50" spans="1:9">
      <c r="A50" s="365">
        <v>73</v>
      </c>
      <c r="B50" s="365" t="s">
        <v>43</v>
      </c>
      <c r="C50" s="365" t="s">
        <v>43</v>
      </c>
      <c r="D50" s="365" t="s">
        <v>259</v>
      </c>
      <c r="E50" s="365" t="s">
        <v>9</v>
      </c>
      <c r="F50" s="365">
        <v>2640</v>
      </c>
      <c r="G50" s="365">
        <v>4.9989999999999997</v>
      </c>
      <c r="H50" s="365" t="s">
        <v>380</v>
      </c>
      <c r="I50" s="368">
        <v>13197.36</v>
      </c>
    </row>
    <row r="51" spans="1:9">
      <c r="A51" s="365">
        <v>74</v>
      </c>
      <c r="B51" s="365" t="s">
        <v>521</v>
      </c>
      <c r="C51" s="365" t="s">
        <v>158</v>
      </c>
      <c r="D51" s="365" t="s">
        <v>522</v>
      </c>
      <c r="E51" s="365" t="s">
        <v>22</v>
      </c>
      <c r="F51" s="365">
        <v>6.4</v>
      </c>
      <c r="G51" s="365">
        <v>77.722999999999999</v>
      </c>
      <c r="H51" s="365" t="s">
        <v>523</v>
      </c>
      <c r="I51" s="368">
        <v>497.42700000000002</v>
      </c>
    </row>
    <row r="52" spans="1:9">
      <c r="A52" s="365">
        <v>75</v>
      </c>
      <c r="B52" s="365" t="s">
        <v>355</v>
      </c>
      <c r="C52" s="365" t="s">
        <v>355</v>
      </c>
      <c r="D52" s="365" t="s">
        <v>524</v>
      </c>
      <c r="E52" s="365" t="s">
        <v>9</v>
      </c>
      <c r="F52" s="365">
        <v>2016</v>
      </c>
      <c r="G52" s="365">
        <v>142.45699999999999</v>
      </c>
      <c r="H52" s="365" t="s">
        <v>515</v>
      </c>
      <c r="I52" s="368">
        <v>287193.31199999998</v>
      </c>
    </row>
    <row r="53" spans="1:9">
      <c r="A53" s="365">
        <v>76</v>
      </c>
      <c r="B53" s="365" t="s">
        <v>263</v>
      </c>
      <c r="C53" s="365" t="s">
        <v>123</v>
      </c>
      <c r="D53" s="365" t="s">
        <v>525</v>
      </c>
      <c r="E53" s="365" t="s">
        <v>9</v>
      </c>
      <c r="F53" s="365">
        <v>982.58</v>
      </c>
      <c r="G53" s="365">
        <v>757.68200000000002</v>
      </c>
      <c r="H53" s="365" t="s">
        <v>526</v>
      </c>
      <c r="I53" s="368">
        <v>744483.18</v>
      </c>
    </row>
    <row r="54" spans="1:9">
      <c r="A54" s="365">
        <v>77</v>
      </c>
      <c r="B54" s="365" t="s">
        <v>358</v>
      </c>
      <c r="C54" s="365" t="s">
        <v>358</v>
      </c>
      <c r="D54" s="365" t="s">
        <v>527</v>
      </c>
      <c r="E54" s="365" t="s">
        <v>9</v>
      </c>
      <c r="F54" s="365">
        <v>2463.54</v>
      </c>
      <c r="G54" s="365">
        <v>154.98599999999999</v>
      </c>
      <c r="H54" s="365" t="s">
        <v>528</v>
      </c>
      <c r="I54" s="368">
        <v>381814.21</v>
      </c>
    </row>
    <row r="55" spans="1:9">
      <c r="A55" s="365">
        <v>78</v>
      </c>
      <c r="B55" s="365" t="s">
        <v>28</v>
      </c>
      <c r="C55" s="365" t="s">
        <v>28</v>
      </c>
      <c r="D55" s="365" t="s">
        <v>529</v>
      </c>
      <c r="E55" s="365" t="s">
        <v>21</v>
      </c>
      <c r="F55" s="365">
        <v>2600</v>
      </c>
      <c r="G55" s="365">
        <v>9.9990000000000006</v>
      </c>
      <c r="H55" s="365" t="s">
        <v>530</v>
      </c>
      <c r="I55" s="368">
        <v>25997.4</v>
      </c>
    </row>
    <row r="56" spans="1:9">
      <c r="A56" s="365">
        <v>79</v>
      </c>
      <c r="B56" s="365" t="s">
        <v>531</v>
      </c>
      <c r="C56" s="365" t="s">
        <v>270</v>
      </c>
      <c r="D56" s="365" t="s">
        <v>532</v>
      </c>
      <c r="E56" s="365" t="s">
        <v>21</v>
      </c>
      <c r="F56" s="365">
        <v>369.2</v>
      </c>
      <c r="G56" s="365">
        <v>190.453</v>
      </c>
      <c r="H56" s="365" t="s">
        <v>533</v>
      </c>
      <c r="I56" s="368">
        <v>70315.248000000007</v>
      </c>
    </row>
    <row r="57" spans="1:9">
      <c r="I57" s="361">
        <f>SUM(I2:I56)</f>
        <v>21753240.972999997</v>
      </c>
    </row>
    <row r="58" spans="1:9">
      <c r="I58" s="361">
        <f>I57/100000</f>
        <v>217.53240972999998</v>
      </c>
    </row>
    <row r="59" spans="1:9">
      <c r="I59" s="361">
        <f>ROUND(I58,2)</f>
        <v>217.53</v>
      </c>
    </row>
    <row r="60" spans="1:9">
      <c r="H60" s="362" t="s">
        <v>599</v>
      </c>
      <c r="I60">
        <f>I59*0.7</f>
        <v>152.27099999999999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36"/>
  <sheetViews>
    <sheetView topLeftCell="A7" zoomScale="80" zoomScaleNormal="80" zoomScaleSheetLayoutView="90" workbookViewId="0">
      <selection activeCell="I34" sqref="I34"/>
    </sheetView>
  </sheetViews>
  <sheetFormatPr defaultColWidth="9.1796875" defaultRowHeight="13"/>
  <cols>
    <col min="1" max="1" width="7.7265625" style="103" customWidth="1"/>
    <col min="2" max="2" width="10.26953125" style="103" customWidth="1"/>
    <col min="3" max="3" width="54.54296875" style="107" customWidth="1"/>
    <col min="4" max="4" width="5.1796875" style="106" customWidth="1"/>
    <col min="5" max="5" width="10.81640625" style="255" customWidth="1"/>
    <col min="6" max="6" width="10.26953125" style="255" customWidth="1"/>
    <col min="7" max="7" width="17.54296875" style="101" customWidth="1"/>
    <col min="8" max="16384" width="9.1796875" style="101"/>
  </cols>
  <sheetData>
    <row r="1" spans="1:6" ht="36.75" customHeight="1">
      <c r="A1" s="102" t="s">
        <v>26</v>
      </c>
      <c r="B1" s="257" t="s">
        <v>4</v>
      </c>
      <c r="C1" s="102" t="s">
        <v>5</v>
      </c>
      <c r="D1" s="102" t="s">
        <v>23</v>
      </c>
      <c r="E1" s="230" t="s">
        <v>6</v>
      </c>
      <c r="F1" s="230" t="s">
        <v>24</v>
      </c>
    </row>
    <row r="2" spans="1:6" ht="151.5" customHeight="1">
      <c r="A2" s="189">
        <f>Estimate!A4</f>
        <v>1</v>
      </c>
      <c r="B2" s="189" t="str">
        <f>Estimate!B4</f>
        <v>04-150</v>
      </c>
      <c r="C2" s="190" t="str">
        <f>Estimate!C4</f>
        <v>Manufacturing and supplying R.C.C. (1:2:4) BM Pillars of size 15cmx 15cmx75cm, with 40cmx40cmx10cm base having 3 nos.10mm dia MS.bar each way at base,4nos.10mm dia vertical bar and 8nos 6mm dia ring,excluding cost of M.S.works for reinforcement but including cost of form works, concreting, plastering at top, finishing surface, curing etc. complete, with inscription of "BWDB", on exposed surface etc. complete as per direction of Engineer in charge.</v>
      </c>
      <c r="D2" s="196" t="s">
        <v>8</v>
      </c>
      <c r="E2" s="239">
        <f>Estimate!AF6</f>
        <v>27</v>
      </c>
      <c r="F2" s="195"/>
    </row>
    <row r="3" spans="1:6" ht="78" customHeight="1">
      <c r="A3" s="189">
        <f>Estimate!A7</f>
        <v>2</v>
      </c>
      <c r="B3" s="189" t="str">
        <f>Estimate!B7</f>
        <v>04-160</v>
      </c>
      <c r="C3" s="190" t="str">
        <f>Estimate!C7</f>
        <v>Fixing in position B.M. pillars and kilometer posts of size 15cmx15cmx75cm with 40cmx40cmx10cm base, embedding 45cm below G.L. including carriage, earth cutting, backfilling, ramming, etc. complete as per direction of Engineer in charge.</v>
      </c>
      <c r="D3" s="196" t="str">
        <f>[1]Estimate!AG15</f>
        <v>nos</v>
      </c>
      <c r="E3" s="239">
        <f>Estimate!AF10</f>
        <v>41</v>
      </c>
      <c r="F3" s="195"/>
    </row>
    <row r="4" spans="1:6" ht="78" customHeight="1">
      <c r="A4" s="189">
        <v>3</v>
      </c>
      <c r="B4" s="189" t="str">
        <f>Estimate!B11</f>
        <v>48-130</v>
      </c>
      <c r="C4" s="190" t="str">
        <f>Estimate!C11</f>
        <v>Biological protection of bare earth surface by Dholkalmi with minimum 50cm long sapling, planting @ not more than 30 cm apart including supplying, sizing, taping and nursing etc. complete as per direction of the Engineer in charge.</v>
      </c>
      <c r="D4" s="196" t="str">
        <f>[1]Estimate!AG19</f>
        <v>m</v>
      </c>
      <c r="E4" s="239">
        <f>Estimate!AF14</f>
        <v>158040</v>
      </c>
      <c r="F4" s="195"/>
    </row>
    <row r="5" spans="1:6" ht="60" customHeight="1">
      <c r="A5" s="189">
        <v>4</v>
      </c>
      <c r="B5" s="189" t="str">
        <f>Estimate!B15</f>
        <v>16-100</v>
      </c>
      <c r="C5" s="190" t="str">
        <f>Estimate!C15</f>
        <v>Erection of bamboo profile with full bamboo posts and pegs not less than 60mm in diameter and coir strings etc. complete as per direction of Engineer in charge.</v>
      </c>
      <c r="D5" s="196" t="str">
        <f>[1]Estimate!AG22</f>
        <v>nos</v>
      </c>
      <c r="E5" s="194">
        <f>Estimate!AF17</f>
        <v>264</v>
      </c>
      <c r="F5" s="195"/>
    </row>
    <row r="6" spans="1:6" ht="63.75" customHeight="1">
      <c r="A6" s="189">
        <v>5</v>
      </c>
      <c r="B6" s="189" t="str">
        <f>Estimate!B18</f>
        <v>40-540-20</v>
      </c>
      <c r="C6" s="190" t="str">
        <f>Estimate!C18</f>
        <v>Supplying, sizing and placing of barrack bamboo pins and stays of diameter &gt;=8.0 cm in position etc. complete as per direction of Engineer in charge. Length : &gt;=2.0 m to &lt;=4.5m</v>
      </c>
      <c r="D6" s="196" t="str">
        <f>[1]Estimate!AG25</f>
        <v>nos</v>
      </c>
      <c r="E6" s="194">
        <f>Estimate!AF20</f>
        <v>12500</v>
      </c>
      <c r="F6" s="239"/>
    </row>
    <row r="7" spans="1:6" ht="77.25" customHeight="1">
      <c r="A7" s="189">
        <v>6</v>
      </c>
      <c r="B7" s="189" t="str">
        <f>Estimate!B21</f>
        <v>40-560-10</v>
      </c>
      <c r="C7" s="190" t="str">
        <f>Estimate!C21</f>
        <v>Supplying, sizing and fitting in position 8.0 cm and above dia in size full barrack bamboo half split walling pieces with nails average 1.00 m apart including supply of all materials as per direction of Engineer in charge.Double Walling.</v>
      </c>
      <c r="D7" s="196" t="s">
        <v>22</v>
      </c>
      <c r="E7" s="194">
        <f>Estimate!AF23</f>
        <v>5000</v>
      </c>
      <c r="F7" s="239"/>
    </row>
    <row r="8" spans="1:6" ht="65.25" customHeight="1">
      <c r="A8" s="189">
        <v>7</v>
      </c>
      <c r="B8" s="189" t="str">
        <f>Estimate!B24</f>
        <v>40-550-30</v>
      </c>
      <c r="C8" s="190" t="str">
        <f>Estimate!C24</f>
        <v>Labour charge for driving barrack bamboo pins of diameter &gt;= 8.0 cm, by hammer or monkey hammer, as per direction of Engineer in charge. &gt;= 0.75 m to &lt; 1.50 m, on dry land.</v>
      </c>
      <c r="D8" s="196" t="s">
        <v>22</v>
      </c>
      <c r="E8" s="194">
        <f>Estimate!AF26</f>
        <v>3751.2</v>
      </c>
      <c r="F8" s="240"/>
    </row>
    <row r="9" spans="1:6" s="105" customFormat="1" ht="60.75" customHeight="1">
      <c r="A9" s="189">
        <v>8</v>
      </c>
      <c r="B9" s="191" t="str">
        <f>Estimate!B27</f>
        <v>40-580</v>
      </c>
      <c r="C9" s="192" t="str">
        <f>Estimate!C27</f>
        <v>Supplying and placing in position and fitting, fixing single layer tarjah double woven matting with necessary ties including the cost of all materials etc. complete as per direction of Engineer in charge.</v>
      </c>
      <c r="D9" s="196" t="s">
        <v>0</v>
      </c>
      <c r="E9" s="195">
        <f>Estimate!AF29</f>
        <v>15000</v>
      </c>
      <c r="F9" s="241"/>
    </row>
    <row r="10" spans="1:6" ht="243" customHeight="1">
      <c r="A10" s="189">
        <v>9</v>
      </c>
      <c r="B10" s="189" t="str">
        <f>Estimate!B30</f>
        <v>16-410-10</v>
      </c>
      <c r="C10" s="190" t="str">
        <f>Estimate!C30</f>
        <v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charge.300m to 1.00 km.(85% compaction) </v>
      </c>
      <c r="D10" s="242" t="s">
        <v>9</v>
      </c>
      <c r="E10" s="239">
        <f>Estimate!AF33</f>
        <v>50712.76</v>
      </c>
      <c r="F10" s="195"/>
    </row>
    <row r="11" spans="1:6" s="105" customFormat="1" ht="272.25" customHeight="1">
      <c r="A11" s="189">
        <v>10</v>
      </c>
      <c r="B11" s="191" t="str">
        <f>Estimate!B34</f>
        <v>16-120-10</v>
      </c>
      <c r="C11" s="192" t="str">
        <f>Estimate!C34</f>
        <v>Earth work by manual labour in constructing/ resectioning of embankment/ canalbank/road etccompacted to 85%/90% maximum drydensity at optimum moisture content,with referenceto laboratory density test AAHSTO modified hammer, with clayey soil(minm 30% clay,0-40% silt, 0-30% sand) within the initial lead of 30m &amp; all lifts including throwing the spoils to profiles in layers not exceeding 230mm in thickness with clod breaking to a maximum size of 100mm, benching the side slopes, removing roots &amp; stumps of trees of girth upto 200mm from the ground, stripping/ ploughing the base of embankment and borrow pit area, dug bailing, bail out of water, rough dressing including 150mm cambering at the centre of crest etc.complete, including maintenance of the same for 6 months after completion, (compaction will be done by the contractor with approved equipment, including all ancillary charges for compaction and testing) as per direction of Engineer in charge. 0 m to 3 m height with 85% compaction.</v>
      </c>
      <c r="D11" s="243" t="s">
        <v>25</v>
      </c>
      <c r="E11" s="244">
        <f>Estimate!AF37</f>
        <v>50712.76</v>
      </c>
      <c r="F11" s="258"/>
    </row>
    <row r="12" spans="1:6" s="105" customFormat="1" ht="80.25" customHeight="1">
      <c r="A12" s="189">
        <v>11</v>
      </c>
      <c r="B12" s="191" t="str">
        <f>Estimate!B38</f>
        <v>16-190</v>
      </c>
      <c r="C12" s="192" t="str">
        <f>Estimate!C38</f>
        <v>Extra rate for every additional lead of 15 m or part thereof beyond the initial lead of 30m up to a maximum of 19 leads (3m neglected) for all kinds of earth work. 2 nos Lead (Quoted rate will be applicable for 2 nos lead)</v>
      </c>
      <c r="D12" s="243" t="s">
        <v>171</v>
      </c>
      <c r="E12" s="244">
        <f>Estimate!AF47</f>
        <v>50712.76</v>
      </c>
      <c r="F12" s="258"/>
    </row>
    <row r="13" spans="1:6" s="105" customFormat="1" ht="333.75" customHeight="1">
      <c r="A13" s="189">
        <v>12</v>
      </c>
      <c r="B13" s="191" t="str">
        <f>Estimate!B48</f>
        <v>16-650-10</v>
      </c>
      <c r="C13" s="192" t="str">
        <f>Estimate!C48</f>
        <v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0 to 4 m height with 85% compaction.
</v>
      </c>
      <c r="D13" s="243" t="s">
        <v>9</v>
      </c>
      <c r="E13" s="244">
        <f>Estimate!AF51</f>
        <v>101425.52</v>
      </c>
      <c r="F13" s="231"/>
    </row>
    <row r="14" spans="1:6" s="105" customFormat="1" ht="75" customHeight="1">
      <c r="A14" s="189">
        <v>13</v>
      </c>
      <c r="B14" s="191" t="str">
        <f>Estimate!B52</f>
        <v>16-300</v>
      </c>
      <c r="C14" s="192" t="str">
        <f>Estimate!C52</f>
        <v>Royalty of specified earth taken from private land (with prior permission of the Executive Engineer on production of royalty deeds with the land owner) from the area to be selected by the contractor with mutual agreement.</v>
      </c>
      <c r="D14" s="243" t="s">
        <v>9</v>
      </c>
      <c r="E14" s="244">
        <f>Estimate!AF56</f>
        <v>152138.26999999999</v>
      </c>
      <c r="F14" s="258"/>
    </row>
    <row r="15" spans="1:6" ht="105.75" customHeight="1">
      <c r="A15" s="189">
        <v>14</v>
      </c>
      <c r="B15" s="189" t="str">
        <f>Estimate!B57</f>
        <v>48-100</v>
      </c>
      <c r="C15" s="190" t="str">
        <f>Estimate!C57</f>
        <v>Fine dressing and close turfing of the slopes and the crest of embankment with 75 mm thick good quality durba or charkanta sods of size 200 mm x 200 mm with all leads and lifts including ramming watering until the turf grows properly, maintaining etc. complete (measurement will be given on well grown grass only) as per direction of Engineer in charge.</v>
      </c>
      <c r="D15" s="242" t="s">
        <v>0</v>
      </c>
      <c r="E15" s="239">
        <f>Estimate!AF65</f>
        <v>242672.5</v>
      </c>
      <c r="F15" s="195"/>
    </row>
    <row r="16" spans="1:6" ht="123" customHeight="1">
      <c r="A16" s="189">
        <v>15</v>
      </c>
      <c r="B16" s="189" t="str">
        <f>Estimate!B66</f>
        <v>36-150</v>
      </c>
      <c r="C16" s="190" t="str">
        <f>Estimate!C66</f>
        <v>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36-150-10: Vertical  and  inclined  walls,  columns,  piers  with  60-80mm  dia  barrack bamboo  props</v>
      </c>
      <c r="D16" s="242" t="s">
        <v>0</v>
      </c>
      <c r="E16" s="239">
        <f>Estimate!AF72</f>
        <v>17.05</v>
      </c>
      <c r="F16" s="195"/>
    </row>
    <row r="17" spans="1:22" ht="123" customHeight="1">
      <c r="A17" s="189">
        <v>16</v>
      </c>
      <c r="B17" s="189" t="str">
        <f>Estimate!B73</f>
        <v>76-120-10</v>
      </c>
      <c r="C17" s="190" t="str">
        <f>Estimate!C73</f>
        <v xml:space="preserve"> 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8mm  dia  to  30mm  dia</v>
      </c>
      <c r="D17" s="242" t="s">
        <v>108</v>
      </c>
      <c r="E17" s="239">
        <f>Estimate!AF79</f>
        <v>97.68</v>
      </c>
      <c r="F17" s="195"/>
    </row>
    <row r="18" spans="1:22" ht="123" customHeight="1">
      <c r="A18" s="189">
        <v>17</v>
      </c>
      <c r="B18" s="189" t="str">
        <f>Estimate!B80</f>
        <v>76-115-10</v>
      </c>
      <c r="C18" s="189" t="str">
        <f>Estimate!C80</f>
        <v xml:space="preserve"> M.S  Work  for  reinforcement  with  Standard  deformed  bar  fy=276  N/mm^2 in  RCC  works  including  local  handling,  cutting,  forging,bending,cleaning and  fabrication  with  supply  of  deformed  M.S.  bar  in  different  sizes  and bending  with  22  to  18  gages  G.I.  wire  etc.  complete  including  the  cost  of  all materials  as  per  direction  of  Engineer  in  charge. 6mm dia</v>
      </c>
      <c r="D18" s="242" t="s">
        <v>108</v>
      </c>
      <c r="E18" s="239">
        <f>Estimate!AF83</f>
        <v>16.95</v>
      </c>
      <c r="F18" s="195"/>
    </row>
    <row r="19" spans="1:22" ht="123" customHeight="1">
      <c r="A19" s="189">
        <v>18</v>
      </c>
      <c r="B19" s="189" t="str">
        <f>Estimate!B84</f>
        <v>28-200-10</v>
      </c>
      <c r="C19" s="190" t="str">
        <f>Estimate!C84</f>
        <v>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with  stone  chips .</v>
      </c>
      <c r="D19" s="242" t="s">
        <v>9</v>
      </c>
      <c r="E19" s="239">
        <f>Estimate!AF89</f>
        <v>17.05</v>
      </c>
      <c r="F19" s="195"/>
    </row>
    <row r="20" spans="1:22" s="104" customFormat="1" ht="198" customHeight="1">
      <c r="A20" s="189">
        <v>19</v>
      </c>
      <c r="B20" s="189" t="str">
        <f>Estimate!B90</f>
        <v>Approved Rate</v>
      </c>
      <c r="C20" s="190" t="str">
        <f>Estimate!C90</f>
        <v>Preparation and mobilization of the Site for Construction of Submersible Embankment or other Structural Components in c/w "Haor Flood Management and Livelihood Improved Improvement Project(BWDB Part) as per Technical Specifications, including land lease, rental charges, obtaining permissions for work, developing work area, preparation of platform for temporary semi pucca site office(40sqm), CI Sheet labour sheds(200sqm), CI Sheet Stores(200sqm), supply of wooden &amp; cane seated furniture etc. as specified and as per Contractor's Method Statement and as per direction of Engineer in charge.</v>
      </c>
      <c r="D20" s="242" t="s">
        <v>72</v>
      </c>
      <c r="E20" s="239">
        <f>Estimate!AF90</f>
        <v>1</v>
      </c>
      <c r="F20" s="239"/>
    </row>
    <row r="21" spans="1:22" s="104" customFormat="1" ht="107.25" customHeight="1">
      <c r="A21" s="189">
        <v>20</v>
      </c>
      <c r="B21" s="189" t="str">
        <f>Estimate!B91</f>
        <v>Approved Rate</v>
      </c>
      <c r="C21" s="190" t="str">
        <f>Estimate!C91</f>
        <v>Provide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v>
      </c>
      <c r="D21" s="242" t="s">
        <v>101</v>
      </c>
      <c r="E21" s="239">
        <f>Estimate!AF91</f>
        <v>60</v>
      </c>
      <c r="F21" s="239"/>
    </row>
    <row r="22" spans="1:22" s="104" customFormat="1" ht="63.75" customHeight="1">
      <c r="A22" s="189">
        <v>21</v>
      </c>
      <c r="B22" s="189" t="str">
        <f>Estimate!B92</f>
        <v>Approved Rate</v>
      </c>
      <c r="C22" s="190" t="str">
        <f>Estimate!C92</f>
        <v>Demobilization and clean-up of the site upon completion of the works, as per Specifications and Contractor's Method Statement and as per direction of Engineer in Charge</v>
      </c>
      <c r="D22" s="242" t="s">
        <v>72</v>
      </c>
      <c r="E22" s="239">
        <v>1</v>
      </c>
      <c r="F22" s="239"/>
    </row>
    <row r="23" spans="1:22" s="104" customFormat="1" ht="109.5" customHeight="1">
      <c r="A23" s="189">
        <v>22</v>
      </c>
      <c r="B23" s="189" t="str">
        <f>Estimate!B93</f>
        <v>Approved Rate</v>
      </c>
      <c r="C23" s="190" t="str">
        <f>Estimate!C93</f>
        <v xml:space="preserve">Providing and maintaining adequate portable water supply by installing 6 Nos. of tube well and sanitation facilities by installing 6 Nos. of sanitary latrines for usage of labours,officials and others for prevailing the hygenic and healthy environment at allover the working site As per direction of the Engineer in charge. </v>
      </c>
      <c r="D23" s="242" t="s">
        <v>72</v>
      </c>
      <c r="E23" s="239">
        <v>1</v>
      </c>
      <c r="F23" s="239"/>
    </row>
    <row r="24" spans="1:22" s="104" customFormat="1" ht="153" customHeight="1">
      <c r="A24" s="189">
        <v>23</v>
      </c>
      <c r="B24" s="189" t="str">
        <f>Estimate!B94</f>
        <v>Approved Rate</v>
      </c>
      <c r="C24" s="190" t="str">
        <f>Estimate!C94</f>
        <v xml:space="preserve">Mobilize, strengthen required land based construction equipment such as excavator, dump truck, chain dozer, vibro-compactor, and plants such as generator for site electrification, digital camera for taking photographs and digital video camera for recording/Taking photograph all sequences of works etc for keeping records of the Works by providing following information including transfer to site, complete for the purposes stated in the Technical Specification and Contractor’s Method Statement and as per direction of Engineer in charge. </v>
      </c>
      <c r="D24" s="242" t="s">
        <v>72</v>
      </c>
      <c r="E24" s="239">
        <v>1</v>
      </c>
      <c r="F24" s="239"/>
    </row>
    <row r="25" spans="1:22" s="104" customFormat="1" ht="75" customHeight="1">
      <c r="A25" s="189">
        <v>24</v>
      </c>
      <c r="B25" s="189" t="str">
        <f>Estimate!B95</f>
        <v>Approved Rate</v>
      </c>
      <c r="C25" s="190" t="str">
        <f>Estimate!C95</f>
        <v xml:space="preserve">Operate , maintain  of plant and equipment such as generator for site electrification, for the purpose stated in the Technical Specification and in the Contractor’s Method Statement and as per direction of Engineer in charge.  </v>
      </c>
      <c r="D25" s="242" t="s">
        <v>72</v>
      </c>
      <c r="E25" s="239">
        <v>1</v>
      </c>
      <c r="F25" s="239"/>
    </row>
    <row r="26" spans="1:22" s="51" customFormat="1" ht="17.25" customHeight="1">
      <c r="A26" s="354" t="s">
        <v>169</v>
      </c>
      <c r="B26" s="354"/>
      <c r="C26" s="354"/>
      <c r="D26" s="354"/>
      <c r="E26" s="354"/>
      <c r="F26" s="354"/>
      <c r="G26" s="49"/>
      <c r="H26" s="49"/>
      <c r="I26" s="49"/>
      <c r="J26" s="49"/>
      <c r="K26" s="49"/>
      <c r="L26" s="49"/>
      <c r="M26" s="49"/>
      <c r="N26" s="49"/>
      <c r="O26" s="49"/>
      <c r="P26" s="49"/>
      <c r="Q26" s="49"/>
      <c r="R26" s="49"/>
      <c r="S26" s="49"/>
      <c r="T26" s="49"/>
      <c r="U26" s="49"/>
      <c r="V26" s="49"/>
    </row>
    <row r="27" spans="1:22" s="105" customFormat="1" ht="63" customHeight="1">
      <c r="A27" s="191">
        <f>Estimate!A96</f>
        <v>25</v>
      </c>
      <c r="B27" s="191" t="str">
        <f>Estimate!B96</f>
        <v>56-100</v>
      </c>
      <c r="C27" s="192" t="str">
        <f>Estimate!C96</f>
        <v>Earth work in box cutting up to 1.00 m depth, in all kinds of soil with all leads, removing the spoils to a safe distance, including levelling and dressing, maintaining required cambering etc. complete, as per direction of Engineer in charge.</v>
      </c>
      <c r="D27" s="243" t="s">
        <v>9</v>
      </c>
      <c r="E27" s="244">
        <f>Estimate!AF101</f>
        <v>955.5</v>
      </c>
      <c r="F27" s="195"/>
    </row>
    <row r="28" spans="1:22" s="105" customFormat="1" ht="76.5" customHeight="1">
      <c r="A28" s="191">
        <f>Estimate!A102</f>
        <v>26</v>
      </c>
      <c r="B28" s="191" t="str">
        <f>Estimate!B102</f>
        <v>Approved Rate/LGED</v>
      </c>
      <c r="C28" s="192" t="str">
        <f>Estimate!C102</f>
        <v xml:space="preserve">BP: Preperation of bed by cutting and filling including watering to bring moisture content ±2% of OMC &amp; compacting by appropiate mechanical means etc to attain minimum compaction 98% of MDD (standard) to obtain a minimum soaked CBR 4% etc all complete as per direction of the E-I-C.      </v>
      </c>
      <c r="D28" s="243" t="s">
        <v>0</v>
      </c>
      <c r="E28" s="244">
        <f>Estimate!AF105</f>
        <v>1540</v>
      </c>
      <c r="F28" s="195"/>
    </row>
    <row r="29" spans="1:22" s="106" customFormat="1" ht="121.5" customHeight="1">
      <c r="A29" s="193">
        <f>Estimate!A106</f>
        <v>27</v>
      </c>
      <c r="B29" s="193" t="str">
        <f>Estimate!B106</f>
        <v>56-110</v>
      </c>
      <c r="C29" s="192" t="str">
        <f>Estimate!C106</f>
        <v>Construction of improved road sub-grade of sand (FM&gt;=0.8) in maximum 150mm thick layer including dressing, levelling, ramming, watering, cambering and compacting to attain minimum CBR-8% by manual labour using mallet/ vibro compactor including cost of all materials etc. complete as per design, drawing and direction of Engineer in charge (payment shall be made on compacted volume).</v>
      </c>
      <c r="D29" s="193" t="s">
        <v>9</v>
      </c>
      <c r="E29" s="194">
        <f>Estimate!AF109</f>
        <v>231</v>
      </c>
      <c r="F29" s="195"/>
    </row>
    <row r="30" spans="1:22" s="106" customFormat="1" ht="153" customHeight="1">
      <c r="A30" s="353">
        <f>Estimate!A110</f>
        <v>28</v>
      </c>
      <c r="B30" s="193"/>
      <c r="C30" s="190" t="str">
        <f>[1]Estimate!C84</f>
        <v xml:space="preserve">Manufacturing and supplying of CC blocks in leanest mix (1:2:4) in volume, with cement, sand (FM&gt;=1.5) and stone chips (40mmdown graded), to attain a minimum 28 days cylinder strength of 15.0 N/mm2 including grading, washing shingles, mixing, laying in forms, consolidation, curing for at least 21 days, including preparation of platform, shuttering in measureable stacks etc. complete including supply of all materials ( steel shutter to be used) as per direction of Enginnner in charge. </v>
      </c>
      <c r="D30" s="193"/>
      <c r="E30" s="194"/>
      <c r="F30" s="195"/>
    </row>
    <row r="31" spans="1:22" s="106" customFormat="1" ht="32.25" customHeight="1">
      <c r="A31" s="353"/>
      <c r="B31" s="197" t="str">
        <f>Estimate!B110</f>
        <v>Approved Rate</v>
      </c>
      <c r="C31" s="190" t="str">
        <f>Estimate!C111</f>
        <v xml:space="preserve">Block size: 30cm x 30cm x 30cm </v>
      </c>
      <c r="D31" s="193" t="s">
        <v>8</v>
      </c>
      <c r="E31" s="194">
        <f>Estimate!AF114</f>
        <v>17111</v>
      </c>
      <c r="F31" s="195"/>
    </row>
    <row r="32" spans="1:22" s="106" customFormat="1" ht="30.75" customHeight="1">
      <c r="A32" s="353"/>
      <c r="B32" s="197" t="str">
        <f>Estimate!B115</f>
        <v>Approved Rate</v>
      </c>
      <c r="C32" s="190" t="str">
        <f>Estimate!C115</f>
        <v xml:space="preserve">Block size: 100cm x 65cm x (10-15)cm </v>
      </c>
      <c r="D32" s="193" t="s">
        <v>8</v>
      </c>
      <c r="E32" s="194">
        <f>Estimate!AF119</f>
        <v>1100</v>
      </c>
      <c r="F32" s="195"/>
    </row>
    <row r="33" spans="1:6" s="106" customFormat="1" ht="76.5" customHeight="1">
      <c r="A33" s="193">
        <f>Estimate!A120</f>
        <v>29</v>
      </c>
      <c r="B33" s="193" t="str">
        <f>Estimate!B120</f>
        <v>24-310-10</v>
      </c>
      <c r="C33" s="190" t="str">
        <f>Estimate!C120</f>
        <v>Flush pointing to brick works, in sand cement mortar (sand of FM&gt;=1.3), including scaffolding, curing, raking out joints, clearing the surface etc. complete in all floors including the cost of all materials and as per direction of Engineer in charge.</v>
      </c>
      <c r="D33" s="193" t="s">
        <v>0</v>
      </c>
      <c r="E33" s="194">
        <f>Estimate!AF123</f>
        <v>1540</v>
      </c>
      <c r="F33" s="195"/>
    </row>
    <row r="34" spans="1:6" s="106" customFormat="1" ht="65.25" customHeight="1">
      <c r="A34" s="353">
        <f>Estimate!A124</f>
        <v>30</v>
      </c>
      <c r="B34" s="193" t="str">
        <f>Estimate!B124</f>
        <v>40-220-10</v>
      </c>
      <c r="C34" s="190" t="str">
        <f>Estimate!C124</f>
        <v xml:space="preserve">Labour charge for protective works in laying CC blocks of different sizes including preparation of base, watering and ramming of base etc. complete as per direction of Engineer in charge.Within 200m </v>
      </c>
      <c r="D34" s="193" t="s">
        <v>9</v>
      </c>
      <c r="E34" s="194">
        <f>Estimate!AF127</f>
        <v>275.69</v>
      </c>
      <c r="F34" s="194"/>
    </row>
    <row r="35" spans="1:6" s="106" customFormat="1" ht="16.5" customHeight="1">
      <c r="A35" s="353"/>
      <c r="B35" s="193" t="str">
        <f>Estimate!B128</f>
        <v>40-220-20</v>
      </c>
      <c r="C35" s="198" t="str">
        <f>Estimate!C128</f>
        <v>Beyond 200m</v>
      </c>
      <c r="D35" s="193" t="s">
        <v>9</v>
      </c>
      <c r="E35" s="194">
        <f>Estimate!AF129</f>
        <v>275.69</v>
      </c>
      <c r="F35" s="195"/>
    </row>
    <row r="36" spans="1:6" s="106" customFormat="1" ht="18.75" customHeight="1">
      <c r="A36" s="193">
        <f>Estimate!A130</f>
        <v>31</v>
      </c>
      <c r="B36" s="193" t="str">
        <f>Estimate!B130</f>
        <v>NSI</v>
      </c>
      <c r="C36" s="193"/>
      <c r="D36" s="193" t="s">
        <v>72</v>
      </c>
      <c r="E36" s="194">
        <v>1</v>
      </c>
      <c r="F36" s="194"/>
    </row>
  </sheetData>
  <mergeCells count="3">
    <mergeCell ref="A30:A32"/>
    <mergeCell ref="A34:A35"/>
    <mergeCell ref="A26:F26"/>
  </mergeCells>
  <pageMargins left="0.5" right="0.2" top="0.5" bottom="0.25" header="0.25" footer="0.15"/>
  <pageSetup paperSize="9" scale="95" orientation="portrait" r:id="rId1"/>
  <headerFooter alignWithMargins="0">
    <oddHeader>&amp;R&amp;F</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57"/>
  <sheetViews>
    <sheetView zoomScale="80" zoomScaleNormal="80" zoomScaleSheetLayoutView="90" workbookViewId="0">
      <selection activeCell="O3" sqref="O3"/>
    </sheetView>
  </sheetViews>
  <sheetFormatPr defaultColWidth="9.1796875" defaultRowHeight="13"/>
  <cols>
    <col min="1" max="1" width="7.7265625" style="103" customWidth="1"/>
    <col min="2" max="2" width="10.26953125" style="103" customWidth="1"/>
    <col min="3" max="3" width="45.1796875" style="107" customWidth="1"/>
    <col min="4" max="5" width="5.1796875" style="106" customWidth="1"/>
    <col min="6" max="6" width="10.81640625" style="255" customWidth="1"/>
    <col min="7" max="7" width="10.26953125" style="255" customWidth="1"/>
    <col min="8" max="8" width="17.54296875" style="101" customWidth="1"/>
    <col min="9" max="16384" width="9.1796875" style="101"/>
  </cols>
  <sheetData>
    <row r="1" spans="1:23" ht="36.75" customHeight="1">
      <c r="A1" s="102" t="s">
        <v>26</v>
      </c>
      <c r="B1" s="257" t="s">
        <v>4</v>
      </c>
      <c r="C1" s="102" t="s">
        <v>5</v>
      </c>
      <c r="D1" s="102" t="s">
        <v>23</v>
      </c>
      <c r="E1" s="230" t="s">
        <v>24</v>
      </c>
      <c r="F1" s="230" t="s">
        <v>318</v>
      </c>
      <c r="G1" s="230" t="s">
        <v>319</v>
      </c>
    </row>
    <row r="2" spans="1:23" s="51" customFormat="1" ht="17.25" customHeight="1">
      <c r="A2" s="355" t="s">
        <v>307</v>
      </c>
      <c r="B2" s="356"/>
      <c r="C2" s="356"/>
      <c r="D2" s="356"/>
      <c r="E2" s="356"/>
      <c r="F2" s="356"/>
      <c r="G2" s="357"/>
      <c r="H2" s="49"/>
      <c r="I2" s="49"/>
      <c r="J2" s="49"/>
      <c r="K2" s="49"/>
      <c r="L2" s="49"/>
      <c r="M2" s="49"/>
      <c r="N2" s="49"/>
      <c r="O2" s="49"/>
      <c r="P2" s="49"/>
      <c r="Q2" s="49"/>
      <c r="R2" s="49"/>
      <c r="S2" s="49"/>
      <c r="T2" s="49"/>
      <c r="U2" s="49"/>
      <c r="V2" s="49"/>
      <c r="W2" s="49"/>
    </row>
    <row r="3" spans="1:23" ht="135.75" customHeight="1">
      <c r="A3" s="207">
        <v>1</v>
      </c>
      <c r="B3" s="199" t="s">
        <v>193</v>
      </c>
      <c r="C3" s="210" t="s">
        <v>194</v>
      </c>
      <c r="D3" s="199" t="s">
        <v>195</v>
      </c>
      <c r="E3" s="199"/>
      <c r="F3" s="194">
        <v>4</v>
      </c>
      <c r="G3" s="203">
        <v>7</v>
      </c>
    </row>
    <row r="4" spans="1:23" ht="90">
      <c r="A4" s="259">
        <v>2</v>
      </c>
      <c r="B4" s="259" t="s">
        <v>111</v>
      </c>
      <c r="C4" s="211" t="s">
        <v>112</v>
      </c>
      <c r="D4" s="201" t="s">
        <v>0</v>
      </c>
      <c r="E4" s="201"/>
      <c r="F4" s="194">
        <v>8274.48</v>
      </c>
      <c r="G4" s="232">
        <v>6750</v>
      </c>
    </row>
    <row r="5" spans="1:23" ht="15">
      <c r="A5" s="207">
        <v>3</v>
      </c>
      <c r="B5" s="204" t="s">
        <v>196</v>
      </c>
      <c r="C5" s="210" t="s">
        <v>197</v>
      </c>
      <c r="D5" s="199" t="s">
        <v>0</v>
      </c>
      <c r="E5" s="199"/>
      <c r="F5" s="194">
        <v>11</v>
      </c>
      <c r="G5" s="203">
        <v>29.6</v>
      </c>
    </row>
    <row r="6" spans="1:23" ht="75">
      <c r="A6" s="259">
        <v>4</v>
      </c>
      <c r="B6" s="199" t="s">
        <v>115</v>
      </c>
      <c r="C6" s="210" t="s">
        <v>198</v>
      </c>
      <c r="D6" s="199" t="s">
        <v>199</v>
      </c>
      <c r="E6" s="199"/>
      <c r="F6" s="194">
        <v>6</v>
      </c>
      <c r="G6" s="203">
        <v>6</v>
      </c>
    </row>
    <row r="7" spans="1:23" ht="135">
      <c r="A7" s="207">
        <v>5</v>
      </c>
      <c r="B7" s="199" t="s">
        <v>117</v>
      </c>
      <c r="C7" s="210" t="s">
        <v>200</v>
      </c>
      <c r="D7" s="199" t="s">
        <v>25</v>
      </c>
      <c r="E7" s="199"/>
      <c r="F7" s="194">
        <v>2880.0000000000014</v>
      </c>
      <c r="G7" s="203">
        <v>1250</v>
      </c>
    </row>
    <row r="8" spans="1:23" ht="15">
      <c r="A8" s="259">
        <v>6</v>
      </c>
      <c r="B8" s="210" t="s">
        <v>120</v>
      </c>
      <c r="C8" s="204" t="s">
        <v>312</v>
      </c>
      <c r="D8" s="199" t="s">
        <v>195</v>
      </c>
      <c r="E8" s="199"/>
      <c r="F8" s="194">
        <v>1125</v>
      </c>
      <c r="G8" s="240">
        <v>8010.35</v>
      </c>
    </row>
    <row r="9" spans="1:23" ht="30">
      <c r="A9" s="207">
        <v>7</v>
      </c>
      <c r="B9" s="212" t="s">
        <v>119</v>
      </c>
      <c r="C9" s="213" t="s">
        <v>201</v>
      </c>
      <c r="D9" s="246" t="s">
        <v>25</v>
      </c>
      <c r="E9" s="246"/>
      <c r="F9" s="194">
        <v>5026.6899999999996</v>
      </c>
      <c r="G9" s="247"/>
    </row>
    <row r="10" spans="1:23" ht="75">
      <c r="A10" s="259">
        <v>8</v>
      </c>
      <c r="B10" s="204" t="s">
        <v>202</v>
      </c>
      <c r="C10" s="204" t="s">
        <v>203</v>
      </c>
      <c r="D10" s="203" t="s">
        <v>21</v>
      </c>
      <c r="E10" s="203"/>
      <c r="F10" s="194">
        <v>300</v>
      </c>
      <c r="G10" s="203">
        <v>447.2</v>
      </c>
    </row>
    <row r="11" spans="1:23" ht="75">
      <c r="A11" s="207">
        <v>9</v>
      </c>
      <c r="B11" s="204" t="s">
        <v>118</v>
      </c>
      <c r="C11" s="204" t="s">
        <v>204</v>
      </c>
      <c r="D11" s="203" t="s">
        <v>21</v>
      </c>
      <c r="E11" s="203"/>
      <c r="F11" s="194">
        <v>273.60000000000002</v>
      </c>
      <c r="G11" s="203">
        <v>114188.62</v>
      </c>
    </row>
    <row r="12" spans="1:23" ht="15">
      <c r="A12" s="259">
        <v>10</v>
      </c>
      <c r="B12" s="199" t="s">
        <v>141</v>
      </c>
      <c r="C12" s="210" t="s">
        <v>206</v>
      </c>
      <c r="D12" s="199" t="s">
        <v>9</v>
      </c>
      <c r="E12" s="199"/>
      <c r="F12" s="194">
        <v>51384.88</v>
      </c>
      <c r="G12" s="203">
        <v>22.27</v>
      </c>
    </row>
    <row r="13" spans="1:23" ht="60">
      <c r="A13" s="207">
        <v>11</v>
      </c>
      <c r="B13" s="201" t="s">
        <v>124</v>
      </c>
      <c r="C13" s="214" t="s">
        <v>125</v>
      </c>
      <c r="D13" s="205" t="s">
        <v>207</v>
      </c>
      <c r="E13" s="205"/>
      <c r="F13" s="194">
        <v>18.05</v>
      </c>
      <c r="G13" s="234">
        <v>126.21</v>
      </c>
    </row>
    <row r="14" spans="1:23" ht="15">
      <c r="A14" s="259">
        <v>12</v>
      </c>
      <c r="B14" s="207" t="s">
        <v>126</v>
      </c>
      <c r="C14" s="216" t="s">
        <v>127</v>
      </c>
      <c r="D14" s="207" t="s">
        <v>22</v>
      </c>
      <c r="E14" s="207"/>
      <c r="F14" s="194">
        <v>102.27</v>
      </c>
      <c r="G14" s="235">
        <v>6</v>
      </c>
    </row>
    <row r="15" spans="1:23" ht="165">
      <c r="A15" s="207">
        <v>13</v>
      </c>
      <c r="B15" s="199" t="s">
        <v>116</v>
      </c>
      <c r="C15" s="210" t="s">
        <v>208</v>
      </c>
      <c r="D15" s="203" t="s">
        <v>199</v>
      </c>
      <c r="E15" s="203"/>
      <c r="F15" s="194">
        <v>4</v>
      </c>
      <c r="G15" s="203">
        <v>169.36</v>
      </c>
    </row>
    <row r="16" spans="1:23" ht="15">
      <c r="A16" s="259">
        <v>14</v>
      </c>
      <c r="B16" s="259" t="s">
        <v>130</v>
      </c>
      <c r="C16" s="216" t="s">
        <v>131</v>
      </c>
      <c r="D16" s="259" t="s">
        <v>21</v>
      </c>
      <c r="E16" s="259"/>
      <c r="F16" s="194">
        <v>137.24</v>
      </c>
      <c r="G16" s="235">
        <v>144.87</v>
      </c>
    </row>
    <row r="17" spans="1:7" ht="105">
      <c r="A17" s="207">
        <v>15</v>
      </c>
      <c r="B17" s="207" t="s">
        <v>128</v>
      </c>
      <c r="C17" s="215" t="s">
        <v>129</v>
      </c>
      <c r="D17" s="206" t="s">
        <v>0</v>
      </c>
      <c r="E17" s="206"/>
      <c r="F17" s="194">
        <v>441.11</v>
      </c>
      <c r="G17" s="233">
        <v>59.16</v>
      </c>
    </row>
    <row r="18" spans="1:7" ht="60">
      <c r="A18" s="259">
        <v>16</v>
      </c>
      <c r="B18" s="207" t="s">
        <v>132</v>
      </c>
      <c r="C18" s="215" t="s">
        <v>133</v>
      </c>
      <c r="D18" s="206" t="s">
        <v>0</v>
      </c>
      <c r="E18" s="206"/>
      <c r="F18" s="194">
        <v>29.68</v>
      </c>
      <c r="G18" s="235"/>
    </row>
    <row r="19" spans="1:7" ht="15">
      <c r="A19" s="207">
        <v>17</v>
      </c>
      <c r="B19" s="199" t="s">
        <v>135</v>
      </c>
      <c r="C19" s="210" t="s">
        <v>210</v>
      </c>
      <c r="D19" s="203" t="s">
        <v>0</v>
      </c>
      <c r="E19" s="203"/>
      <c r="F19" s="194">
        <v>182.95</v>
      </c>
      <c r="G19" s="235">
        <v>447.69</v>
      </c>
    </row>
    <row r="20" spans="1:7" ht="120">
      <c r="A20" s="259">
        <v>18</v>
      </c>
      <c r="B20" s="199" t="s">
        <v>211</v>
      </c>
      <c r="C20" s="210" t="s">
        <v>212</v>
      </c>
      <c r="D20" s="199" t="s">
        <v>25</v>
      </c>
      <c r="E20" s="199"/>
      <c r="F20" s="194">
        <v>0.73</v>
      </c>
      <c r="G20" s="203">
        <v>2.556</v>
      </c>
    </row>
    <row r="21" spans="1:7" ht="15">
      <c r="A21" s="207">
        <v>19</v>
      </c>
      <c r="B21" s="199" t="s">
        <v>143</v>
      </c>
      <c r="C21" s="210" t="s">
        <v>144</v>
      </c>
      <c r="D21" s="199" t="s">
        <v>25</v>
      </c>
      <c r="E21" s="199"/>
      <c r="F21" s="194">
        <v>25.25</v>
      </c>
      <c r="G21" s="203">
        <v>59.64</v>
      </c>
    </row>
    <row r="22" spans="1:7" ht="45">
      <c r="A22" s="259">
        <v>20</v>
      </c>
      <c r="B22" s="199" t="s">
        <v>113</v>
      </c>
      <c r="C22" s="210" t="s">
        <v>214</v>
      </c>
      <c r="D22" s="199" t="s">
        <v>195</v>
      </c>
      <c r="E22" s="199"/>
      <c r="F22" s="194">
        <v>120</v>
      </c>
      <c r="G22" s="203">
        <v>160</v>
      </c>
    </row>
    <row r="23" spans="1:7" ht="45">
      <c r="A23" s="207">
        <v>21</v>
      </c>
      <c r="B23" s="199" t="s">
        <v>114</v>
      </c>
      <c r="C23" s="210" t="s">
        <v>215</v>
      </c>
      <c r="D23" s="199" t="s">
        <v>195</v>
      </c>
      <c r="E23" s="199"/>
      <c r="F23" s="194">
        <v>120</v>
      </c>
      <c r="G23" s="203">
        <v>160</v>
      </c>
    </row>
    <row r="24" spans="1:7" ht="15">
      <c r="A24" s="259">
        <v>22</v>
      </c>
      <c r="B24" s="199" t="s">
        <v>150</v>
      </c>
      <c r="C24" s="210" t="s">
        <v>217</v>
      </c>
      <c r="D24" s="199" t="s">
        <v>108</v>
      </c>
      <c r="E24" s="199"/>
      <c r="F24" s="194">
        <v>18361.919999999998</v>
      </c>
      <c r="G24" s="203">
        <v>32245.47</v>
      </c>
    </row>
    <row r="25" spans="1:7" ht="15">
      <c r="A25" s="207">
        <v>23</v>
      </c>
      <c r="B25" s="199" t="s">
        <v>151</v>
      </c>
      <c r="C25" s="210" t="s">
        <v>218</v>
      </c>
      <c r="D25" s="199" t="s">
        <v>108</v>
      </c>
      <c r="E25" s="199"/>
      <c r="F25" s="194">
        <v>33.83</v>
      </c>
      <c r="G25" s="203">
        <v>105.3</v>
      </c>
    </row>
    <row r="26" spans="1:7" ht="15">
      <c r="A26" s="259">
        <v>24</v>
      </c>
      <c r="B26" s="261" t="s">
        <v>156</v>
      </c>
      <c r="C26" s="217" t="s">
        <v>157</v>
      </c>
      <c r="D26" s="261" t="s">
        <v>25</v>
      </c>
      <c r="E26" s="261"/>
      <c r="F26" s="194">
        <v>225.56</v>
      </c>
      <c r="G26" s="203">
        <v>354.81</v>
      </c>
    </row>
    <row r="27" spans="1:7" ht="30">
      <c r="A27" s="207">
        <v>25</v>
      </c>
      <c r="B27" s="199" t="s">
        <v>148</v>
      </c>
      <c r="C27" s="210" t="s">
        <v>221</v>
      </c>
      <c r="D27" s="199" t="s">
        <v>0</v>
      </c>
      <c r="E27" s="199"/>
      <c r="F27" s="194">
        <v>269.36</v>
      </c>
      <c r="G27" s="231">
        <v>356.88</v>
      </c>
    </row>
    <row r="28" spans="1:7" ht="30">
      <c r="A28" s="259">
        <v>26</v>
      </c>
      <c r="B28" s="199" t="s">
        <v>146</v>
      </c>
      <c r="C28" s="210" t="s">
        <v>222</v>
      </c>
      <c r="D28" s="199" t="s">
        <v>0</v>
      </c>
      <c r="E28" s="199"/>
      <c r="F28" s="194">
        <v>696.97</v>
      </c>
      <c r="G28" s="203">
        <v>777.53</v>
      </c>
    </row>
    <row r="29" spans="1:7" ht="45">
      <c r="A29" s="207">
        <v>27</v>
      </c>
      <c r="B29" s="199" t="s">
        <v>147</v>
      </c>
      <c r="C29" s="210" t="s">
        <v>223</v>
      </c>
      <c r="D29" s="199" t="s">
        <v>0</v>
      </c>
      <c r="E29" s="199"/>
      <c r="F29" s="194">
        <v>32.979999999999997</v>
      </c>
      <c r="G29" s="203">
        <v>116.73</v>
      </c>
    </row>
    <row r="30" spans="1:7" ht="15">
      <c r="A30" s="259">
        <v>28</v>
      </c>
      <c r="B30" s="199" t="s">
        <v>162</v>
      </c>
      <c r="C30" s="210" t="s">
        <v>224</v>
      </c>
      <c r="D30" s="199" t="s">
        <v>225</v>
      </c>
      <c r="E30" s="199"/>
      <c r="F30" s="194">
        <v>17.600000000000001</v>
      </c>
      <c r="G30" s="203">
        <v>29.9</v>
      </c>
    </row>
    <row r="31" spans="1:7" ht="15">
      <c r="A31" s="207">
        <v>29</v>
      </c>
      <c r="B31" s="199" t="s">
        <v>138</v>
      </c>
      <c r="C31" s="210" t="s">
        <v>226</v>
      </c>
      <c r="D31" s="199" t="s">
        <v>25</v>
      </c>
      <c r="E31" s="199"/>
      <c r="F31" s="194">
        <v>36.97</v>
      </c>
      <c r="G31" s="203">
        <v>33.72</v>
      </c>
    </row>
    <row r="32" spans="1:7" ht="15">
      <c r="A32" s="259">
        <v>30</v>
      </c>
      <c r="B32" s="199" t="s">
        <v>139</v>
      </c>
      <c r="C32" s="210" t="s">
        <v>228</v>
      </c>
      <c r="D32" s="199" t="s">
        <v>25</v>
      </c>
      <c r="E32" s="199"/>
      <c r="F32" s="194">
        <v>6.59</v>
      </c>
      <c r="G32" s="203">
        <v>10.07</v>
      </c>
    </row>
    <row r="33" spans="1:7" ht="15">
      <c r="A33" s="207">
        <v>31</v>
      </c>
      <c r="B33" s="204" t="s">
        <v>122</v>
      </c>
      <c r="C33" s="210" t="s">
        <v>230</v>
      </c>
      <c r="D33" s="199" t="s">
        <v>25</v>
      </c>
      <c r="E33" s="199"/>
      <c r="F33" s="194">
        <v>47.91</v>
      </c>
      <c r="G33" s="203">
        <v>147.35</v>
      </c>
    </row>
    <row r="34" spans="1:7" ht="15">
      <c r="A34" s="259">
        <v>32</v>
      </c>
      <c r="B34" s="199" t="s">
        <v>231</v>
      </c>
      <c r="C34" s="210" t="s">
        <v>232</v>
      </c>
      <c r="D34" s="199" t="s">
        <v>25</v>
      </c>
      <c r="E34" s="199"/>
      <c r="F34" s="194">
        <v>45.3</v>
      </c>
      <c r="G34" s="203">
        <v>91.140295449164725</v>
      </c>
    </row>
    <row r="35" spans="1:7" ht="45">
      <c r="A35" s="207">
        <v>33</v>
      </c>
      <c r="B35" s="199" t="s">
        <v>137</v>
      </c>
      <c r="C35" s="210" t="s">
        <v>233</v>
      </c>
      <c r="D35" s="199" t="s">
        <v>25</v>
      </c>
      <c r="E35" s="199"/>
      <c r="F35" s="194">
        <v>45.3</v>
      </c>
      <c r="G35" s="203">
        <v>91.14</v>
      </c>
    </row>
    <row r="36" spans="1:7" ht="15">
      <c r="A36" s="259">
        <v>34</v>
      </c>
      <c r="B36" s="199" t="s">
        <v>160</v>
      </c>
      <c r="C36" s="210" t="s">
        <v>234</v>
      </c>
      <c r="D36" s="199" t="s">
        <v>199</v>
      </c>
      <c r="E36" s="199"/>
      <c r="F36" s="194">
        <v>6477</v>
      </c>
      <c r="G36" s="203">
        <v>10878</v>
      </c>
    </row>
    <row r="37" spans="1:7" ht="15">
      <c r="A37" s="207">
        <v>35</v>
      </c>
      <c r="B37" s="199" t="s">
        <v>161</v>
      </c>
      <c r="C37" s="210" t="s">
        <v>235</v>
      </c>
      <c r="D37" s="199" t="s">
        <v>199</v>
      </c>
      <c r="E37" s="199"/>
      <c r="F37" s="194">
        <v>1541</v>
      </c>
      <c r="G37" s="203">
        <v>5276</v>
      </c>
    </row>
    <row r="38" spans="1:7" ht="15">
      <c r="A38" s="259">
        <v>36</v>
      </c>
      <c r="B38" s="199" t="s">
        <v>95</v>
      </c>
      <c r="C38" s="210" t="s">
        <v>238</v>
      </c>
      <c r="D38" s="260" t="s">
        <v>9</v>
      </c>
      <c r="E38" s="260"/>
      <c r="F38" s="203">
        <v>101.49</v>
      </c>
      <c r="G38" s="203">
        <v>231.26</v>
      </c>
    </row>
    <row r="39" spans="1:7" ht="15">
      <c r="A39" s="207">
        <v>37</v>
      </c>
      <c r="B39" s="199" t="s">
        <v>70</v>
      </c>
      <c r="C39" s="210" t="s">
        <v>99</v>
      </c>
      <c r="D39" s="260" t="s">
        <v>9</v>
      </c>
      <c r="E39" s="260"/>
      <c r="F39" s="203">
        <v>101.49</v>
      </c>
      <c r="G39" s="203">
        <v>231.26</v>
      </c>
    </row>
    <row r="40" spans="1:7" ht="120">
      <c r="A40" s="259">
        <v>38</v>
      </c>
      <c r="B40" s="199" t="s">
        <v>154</v>
      </c>
      <c r="C40" s="210" t="s">
        <v>239</v>
      </c>
      <c r="D40" s="199" t="s">
        <v>108</v>
      </c>
      <c r="E40" s="199"/>
      <c r="F40" s="194">
        <v>2158.79</v>
      </c>
      <c r="G40" s="203">
        <v>7571.72</v>
      </c>
    </row>
    <row r="41" spans="1:7" ht="15">
      <c r="A41" s="207">
        <v>39</v>
      </c>
      <c r="B41" s="207" t="s">
        <v>152</v>
      </c>
      <c r="C41" s="216" t="s">
        <v>153</v>
      </c>
      <c r="D41" s="199" t="s">
        <v>104</v>
      </c>
      <c r="E41" s="199"/>
      <c r="F41" s="194">
        <v>4.5</v>
      </c>
      <c r="G41" s="233">
        <v>4.5</v>
      </c>
    </row>
    <row r="42" spans="1:7" ht="15">
      <c r="A42" s="259">
        <v>40</v>
      </c>
      <c r="B42" s="199" t="s">
        <v>240</v>
      </c>
      <c r="C42" s="210" t="s">
        <v>241</v>
      </c>
      <c r="D42" s="199" t="s">
        <v>104</v>
      </c>
      <c r="E42" s="199"/>
      <c r="F42" s="194">
        <v>4.7</v>
      </c>
      <c r="G42" s="203">
        <v>18.8</v>
      </c>
    </row>
    <row r="43" spans="1:7" ht="15">
      <c r="A43" s="207">
        <v>41</v>
      </c>
      <c r="B43" s="199" t="s">
        <v>109</v>
      </c>
      <c r="C43" s="210" t="s">
        <v>110</v>
      </c>
      <c r="D43" s="199" t="s">
        <v>199</v>
      </c>
      <c r="E43" s="199"/>
      <c r="F43" s="194">
        <v>2</v>
      </c>
      <c r="G43" s="203">
        <v>8</v>
      </c>
    </row>
    <row r="44" spans="1:7" ht="15">
      <c r="A44" s="259">
        <v>42</v>
      </c>
      <c r="B44" s="199" t="s">
        <v>164</v>
      </c>
      <c r="C44" s="210" t="s">
        <v>245</v>
      </c>
      <c r="D44" s="199" t="s">
        <v>199</v>
      </c>
      <c r="E44" s="199"/>
      <c r="F44" s="194">
        <v>2</v>
      </c>
      <c r="G44" s="203">
        <v>8</v>
      </c>
    </row>
    <row r="45" spans="1:7" ht="135">
      <c r="A45" s="207">
        <v>43</v>
      </c>
      <c r="B45" s="199" t="s">
        <v>165</v>
      </c>
      <c r="C45" s="210" t="s">
        <v>246</v>
      </c>
      <c r="D45" s="199" t="s">
        <v>199</v>
      </c>
      <c r="E45" s="199"/>
      <c r="F45" s="194">
        <v>2</v>
      </c>
      <c r="G45" s="203">
        <v>8</v>
      </c>
    </row>
    <row r="46" spans="1:7" ht="90">
      <c r="A46" s="259">
        <v>44</v>
      </c>
      <c r="B46" s="199" t="s">
        <v>168</v>
      </c>
      <c r="C46" s="210" t="s">
        <v>247</v>
      </c>
      <c r="D46" s="199" t="s">
        <v>25</v>
      </c>
      <c r="E46" s="199"/>
      <c r="F46" s="194">
        <v>1.72</v>
      </c>
      <c r="G46" s="203">
        <v>6.89</v>
      </c>
    </row>
    <row r="47" spans="1:7" ht="15">
      <c r="A47" s="207">
        <v>45</v>
      </c>
      <c r="B47" s="204" t="s">
        <v>250</v>
      </c>
      <c r="C47" s="204" t="s">
        <v>251</v>
      </c>
      <c r="D47" s="199" t="s">
        <v>25</v>
      </c>
      <c r="E47" s="199"/>
      <c r="F47" s="194">
        <v>2640.0000000000005</v>
      </c>
      <c r="G47" s="233">
        <v>7112</v>
      </c>
    </row>
    <row r="48" spans="1:7" ht="120">
      <c r="A48" s="259">
        <v>46</v>
      </c>
      <c r="B48" s="259" t="s">
        <v>252</v>
      </c>
      <c r="C48" s="216" t="s">
        <v>253</v>
      </c>
      <c r="D48" s="259" t="s">
        <v>25</v>
      </c>
      <c r="E48" s="259"/>
      <c r="F48" s="194">
        <v>7558.5</v>
      </c>
      <c r="G48" s="203">
        <v>10120.5</v>
      </c>
    </row>
    <row r="49" spans="1:7" ht="60">
      <c r="A49" s="207">
        <v>47</v>
      </c>
      <c r="B49" s="199" t="s">
        <v>32</v>
      </c>
      <c r="C49" s="210" t="s">
        <v>254</v>
      </c>
      <c r="D49" s="199" t="s">
        <v>255</v>
      </c>
      <c r="E49" s="199"/>
      <c r="F49" s="194">
        <v>1320.0000000000002</v>
      </c>
      <c r="G49" s="233">
        <v>4978.3999999999996</v>
      </c>
    </row>
    <row r="50" spans="1:7" ht="60">
      <c r="A50" s="259">
        <v>48</v>
      </c>
      <c r="B50" s="199" t="s">
        <v>256</v>
      </c>
      <c r="C50" s="210" t="s">
        <v>257</v>
      </c>
      <c r="D50" s="199" t="s">
        <v>258</v>
      </c>
      <c r="E50" s="199"/>
      <c r="F50" s="194">
        <v>3779.25</v>
      </c>
      <c r="G50" s="203">
        <v>5060.25</v>
      </c>
    </row>
    <row r="51" spans="1:7" ht="75">
      <c r="A51" s="207">
        <v>49</v>
      </c>
      <c r="B51" s="199" t="s">
        <v>43</v>
      </c>
      <c r="C51" s="210" t="s">
        <v>259</v>
      </c>
      <c r="D51" s="199" t="s">
        <v>25</v>
      </c>
      <c r="E51" s="199"/>
      <c r="F51" s="194">
        <v>2640.0000000000005</v>
      </c>
      <c r="G51" s="203">
        <v>4934.26</v>
      </c>
    </row>
    <row r="52" spans="1:7" ht="15">
      <c r="A52" s="259">
        <v>50</v>
      </c>
      <c r="B52" s="199" t="s">
        <v>158</v>
      </c>
      <c r="C52" s="210" t="s">
        <v>260</v>
      </c>
      <c r="D52" s="199" t="s">
        <v>22</v>
      </c>
      <c r="E52" s="199"/>
      <c r="F52" s="194">
        <v>6.4</v>
      </c>
      <c r="G52" s="203">
        <v>6.4</v>
      </c>
    </row>
    <row r="53" spans="1:7" ht="75">
      <c r="A53" s="207">
        <v>51</v>
      </c>
      <c r="B53" s="199" t="s">
        <v>261</v>
      </c>
      <c r="C53" s="210" t="s">
        <v>262</v>
      </c>
      <c r="D53" s="199" t="s">
        <v>25</v>
      </c>
      <c r="E53" s="199"/>
      <c r="F53" s="194">
        <v>2016.0000000000009</v>
      </c>
      <c r="G53" s="203">
        <v>2177.7399999999998</v>
      </c>
    </row>
    <row r="54" spans="1:7" ht="15">
      <c r="A54" s="259">
        <v>52</v>
      </c>
      <c r="B54" s="218" t="s">
        <v>123</v>
      </c>
      <c r="C54" s="218" t="s">
        <v>265</v>
      </c>
      <c r="D54" s="199" t="s">
        <v>25</v>
      </c>
      <c r="E54" s="199"/>
      <c r="F54" s="194">
        <v>982.58</v>
      </c>
      <c r="G54" s="203">
        <v>625.76</v>
      </c>
    </row>
    <row r="55" spans="1:7" ht="90">
      <c r="A55" s="207">
        <v>53</v>
      </c>
      <c r="B55" s="199" t="s">
        <v>266</v>
      </c>
      <c r="C55" s="210" t="s">
        <v>267</v>
      </c>
      <c r="D55" s="199" t="s">
        <v>25</v>
      </c>
      <c r="E55" s="199"/>
      <c r="F55" s="194">
        <v>2455.84</v>
      </c>
      <c r="G55" s="203">
        <v>5784.57</v>
      </c>
    </row>
    <row r="56" spans="1:7" ht="75">
      <c r="A56" s="259">
        <v>54</v>
      </c>
      <c r="B56" s="199" t="s">
        <v>268</v>
      </c>
      <c r="C56" s="210" t="s">
        <v>269</v>
      </c>
      <c r="D56" s="199" t="s">
        <v>0</v>
      </c>
      <c r="E56" s="199"/>
      <c r="F56" s="194">
        <v>2600</v>
      </c>
      <c r="G56" s="203">
        <v>4220</v>
      </c>
    </row>
    <row r="57" spans="1:7" ht="63" customHeight="1">
      <c r="A57" s="207">
        <v>55</v>
      </c>
      <c r="B57" s="210" t="s">
        <v>270</v>
      </c>
      <c r="C57" s="210" t="s">
        <v>271</v>
      </c>
      <c r="D57" s="199" t="s">
        <v>0</v>
      </c>
      <c r="E57" s="199"/>
      <c r="F57" s="194">
        <v>369.2</v>
      </c>
      <c r="G57" s="203">
        <v>1052.242</v>
      </c>
    </row>
  </sheetData>
  <mergeCells count="1">
    <mergeCell ref="A2:G2"/>
  </mergeCells>
  <pageMargins left="0.5" right="0.2" top="0.5" bottom="0.25" header="0.25" footer="0.15"/>
  <pageSetup paperSize="9" scale="95" orientation="portrait" r:id="rId1"/>
  <headerFooter alignWithMargins="0">
    <oddHeader>&amp;R&amp;F</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1"/>
  <sheetViews>
    <sheetView topLeftCell="A86" zoomScaleNormal="100" zoomScaleSheetLayoutView="90" workbookViewId="0">
      <selection activeCell="A2" sqref="A2:G89"/>
    </sheetView>
  </sheetViews>
  <sheetFormatPr defaultColWidth="9.1796875" defaultRowHeight="13"/>
  <cols>
    <col min="1" max="1" width="7.7265625" style="103" customWidth="1"/>
    <col min="2" max="2" width="10.26953125" style="103" customWidth="1"/>
    <col min="3" max="3" width="45.1796875" style="107" customWidth="1"/>
    <col min="4" max="4" width="6.26953125" style="106" customWidth="1"/>
    <col min="5" max="5" width="10.81640625" style="255" customWidth="1"/>
    <col min="6" max="6" width="10.26953125" style="255" customWidth="1"/>
    <col min="7" max="7" width="14.7265625" style="256" customWidth="1"/>
    <col min="8" max="8" width="17.54296875" style="101" customWidth="1"/>
    <col min="9" max="16384" width="9.1796875" style="101"/>
  </cols>
  <sheetData>
    <row r="1" spans="1:7" ht="36.75" customHeight="1">
      <c r="A1" s="102" t="s">
        <v>26</v>
      </c>
      <c r="B1" s="257" t="s">
        <v>4</v>
      </c>
      <c r="C1" s="102" t="s">
        <v>5</v>
      </c>
      <c r="D1" s="102" t="s">
        <v>23</v>
      </c>
      <c r="E1" s="230" t="s">
        <v>6</v>
      </c>
      <c r="F1" s="230" t="s">
        <v>24</v>
      </c>
      <c r="G1" s="229" t="s">
        <v>7</v>
      </c>
    </row>
    <row r="2" spans="1:7" ht="60">
      <c r="A2" s="261">
        <v>127</v>
      </c>
      <c r="B2" s="236" t="s">
        <v>111</v>
      </c>
      <c r="C2" s="210" t="s">
        <v>273</v>
      </c>
      <c r="D2" s="200" t="s">
        <v>0</v>
      </c>
      <c r="E2" s="231">
        <v>5000</v>
      </c>
      <c r="F2" s="231">
        <v>27.72</v>
      </c>
      <c r="G2" s="245">
        <f>ROUND(E2*F2,3)</f>
        <v>138600</v>
      </c>
    </row>
    <row r="3" spans="1:7" ht="135">
      <c r="A3" s="261">
        <v>128</v>
      </c>
      <c r="B3" s="219" t="s">
        <v>117</v>
      </c>
      <c r="C3" s="210" t="s">
        <v>200</v>
      </c>
      <c r="D3" s="200" t="s">
        <v>25</v>
      </c>
      <c r="E3" s="231">
        <v>10080</v>
      </c>
      <c r="F3" s="231">
        <v>142.41999999999999</v>
      </c>
      <c r="G3" s="245">
        <f t="shared" ref="G3:G39" si="0">ROUND(E3*F3,3)</f>
        <v>1435593.6</v>
      </c>
    </row>
    <row r="4" spans="1:7" ht="135">
      <c r="A4" s="207">
        <v>129</v>
      </c>
      <c r="B4" s="199" t="s">
        <v>272</v>
      </c>
      <c r="C4" s="210" t="s">
        <v>194</v>
      </c>
      <c r="D4" s="208" t="s">
        <v>199</v>
      </c>
      <c r="E4" s="203">
        <v>100</v>
      </c>
      <c r="F4" s="231">
        <v>1203.77</v>
      </c>
      <c r="G4" s="245">
        <f t="shared" si="0"/>
        <v>120377</v>
      </c>
    </row>
    <row r="5" spans="1:7" ht="75">
      <c r="A5" s="261">
        <v>130</v>
      </c>
      <c r="B5" s="219" t="s">
        <v>274</v>
      </c>
      <c r="C5" s="210" t="s">
        <v>275</v>
      </c>
      <c r="D5" s="248" t="s">
        <v>25</v>
      </c>
      <c r="E5" s="249">
        <v>15793.036250000001</v>
      </c>
      <c r="F5" s="231">
        <v>172.85</v>
      </c>
      <c r="G5" s="245">
        <f t="shared" si="0"/>
        <v>2729826.3160000001</v>
      </c>
    </row>
    <row r="6" spans="1:7" ht="105">
      <c r="A6" s="261">
        <v>131</v>
      </c>
      <c r="B6" s="236" t="s">
        <v>121</v>
      </c>
      <c r="C6" s="210" t="s">
        <v>229</v>
      </c>
      <c r="D6" s="200"/>
      <c r="E6" s="231"/>
      <c r="F6" s="231"/>
      <c r="G6" s="245">
        <f t="shared" si="0"/>
        <v>0</v>
      </c>
    </row>
    <row r="7" spans="1:7" ht="15">
      <c r="A7" s="261"/>
      <c r="B7" s="236" t="s">
        <v>276</v>
      </c>
      <c r="C7" s="210" t="s">
        <v>277</v>
      </c>
      <c r="D7" s="200" t="s">
        <v>25</v>
      </c>
      <c r="E7" s="231">
        <v>91.399999999999991</v>
      </c>
      <c r="F7" s="231">
        <v>858.01</v>
      </c>
      <c r="G7" s="245">
        <f t="shared" si="0"/>
        <v>78422.114000000001</v>
      </c>
    </row>
    <row r="8" spans="1:7" ht="60">
      <c r="A8" s="261">
        <v>132</v>
      </c>
      <c r="B8" s="219" t="s">
        <v>134</v>
      </c>
      <c r="C8" s="210" t="s">
        <v>209</v>
      </c>
      <c r="D8" s="200"/>
      <c r="E8" s="231"/>
      <c r="F8" s="231"/>
      <c r="G8" s="245">
        <f t="shared" si="0"/>
        <v>0</v>
      </c>
    </row>
    <row r="9" spans="1:7" ht="15">
      <c r="A9" s="261"/>
      <c r="B9" s="219" t="s">
        <v>135</v>
      </c>
      <c r="C9" s="210" t="s">
        <v>210</v>
      </c>
      <c r="D9" s="200" t="s">
        <v>0</v>
      </c>
      <c r="E9" s="231">
        <v>455.99999999999994</v>
      </c>
      <c r="F9" s="231">
        <v>31.22</v>
      </c>
      <c r="G9" s="245">
        <f t="shared" si="0"/>
        <v>14236.32</v>
      </c>
    </row>
    <row r="10" spans="1:7" ht="120">
      <c r="A10" s="261">
        <v>133</v>
      </c>
      <c r="B10" s="236" t="s">
        <v>142</v>
      </c>
      <c r="C10" s="210" t="s">
        <v>213</v>
      </c>
      <c r="D10" s="200"/>
      <c r="E10" s="231"/>
      <c r="F10" s="231"/>
      <c r="G10" s="245">
        <f t="shared" si="0"/>
        <v>0</v>
      </c>
    </row>
    <row r="11" spans="1:7" ht="15">
      <c r="A11" s="261"/>
      <c r="B11" s="236" t="s">
        <v>143</v>
      </c>
      <c r="C11" s="204" t="s">
        <v>144</v>
      </c>
      <c r="D11" s="200" t="s">
        <v>25</v>
      </c>
      <c r="E11" s="231">
        <v>34.200000000000003</v>
      </c>
      <c r="F11" s="233">
        <v>10954.48</v>
      </c>
      <c r="G11" s="245">
        <f t="shared" si="0"/>
        <v>374643.21600000001</v>
      </c>
    </row>
    <row r="12" spans="1:7" ht="120">
      <c r="A12" s="261">
        <v>134</v>
      </c>
      <c r="B12" s="219" t="s">
        <v>149</v>
      </c>
      <c r="C12" s="210" t="s">
        <v>216</v>
      </c>
      <c r="D12" s="200"/>
      <c r="E12" s="231"/>
      <c r="F12" s="231"/>
      <c r="G12" s="245">
        <f t="shared" si="0"/>
        <v>0</v>
      </c>
    </row>
    <row r="13" spans="1:7" ht="15">
      <c r="A13" s="261" t="s">
        <v>278</v>
      </c>
      <c r="B13" s="219" t="s">
        <v>150</v>
      </c>
      <c r="C13" s="210" t="s">
        <v>217</v>
      </c>
      <c r="D13" s="200" t="s">
        <v>279</v>
      </c>
      <c r="E13" s="231">
        <v>41397.754999999997</v>
      </c>
      <c r="F13" s="231">
        <v>77.34</v>
      </c>
      <c r="G13" s="245">
        <f t="shared" si="0"/>
        <v>3201702.372</v>
      </c>
    </row>
    <row r="14" spans="1:7" ht="150">
      <c r="A14" s="261">
        <v>135</v>
      </c>
      <c r="B14" s="236" t="s">
        <v>155</v>
      </c>
      <c r="C14" s="210" t="s">
        <v>219</v>
      </c>
      <c r="D14" s="200"/>
      <c r="E14" s="231"/>
      <c r="F14" s="231"/>
      <c r="G14" s="245">
        <f t="shared" si="0"/>
        <v>0</v>
      </c>
    </row>
    <row r="15" spans="1:7" ht="15">
      <c r="A15" s="261"/>
      <c r="B15" s="261" t="s">
        <v>156</v>
      </c>
      <c r="C15" s="218" t="s">
        <v>157</v>
      </c>
      <c r="D15" s="200" t="s">
        <v>25</v>
      </c>
      <c r="E15" s="231">
        <v>456.2119642857142</v>
      </c>
      <c r="F15" s="231">
        <v>11674.49</v>
      </c>
      <c r="G15" s="245">
        <f t="shared" si="0"/>
        <v>5326042.0149999997</v>
      </c>
    </row>
    <row r="16" spans="1:7" ht="165">
      <c r="A16" s="261">
        <v>136</v>
      </c>
      <c r="B16" s="236" t="s">
        <v>145</v>
      </c>
      <c r="C16" s="210" t="s">
        <v>220</v>
      </c>
      <c r="D16" s="200"/>
      <c r="E16" s="231"/>
      <c r="F16" s="231"/>
      <c r="G16" s="245">
        <f t="shared" si="0"/>
        <v>0</v>
      </c>
    </row>
    <row r="17" spans="1:7" ht="30">
      <c r="A17" s="261" t="s">
        <v>278</v>
      </c>
      <c r="B17" s="236" t="s">
        <v>148</v>
      </c>
      <c r="C17" s="210" t="s">
        <v>221</v>
      </c>
      <c r="D17" s="200" t="s">
        <v>0</v>
      </c>
      <c r="E17" s="231">
        <v>971.24999999999989</v>
      </c>
      <c r="F17" s="231">
        <v>735.35</v>
      </c>
      <c r="G17" s="245">
        <f t="shared" si="0"/>
        <v>714208.68799999997</v>
      </c>
    </row>
    <row r="18" spans="1:7" ht="30">
      <c r="A18" s="261" t="s">
        <v>227</v>
      </c>
      <c r="B18" s="236" t="s">
        <v>146</v>
      </c>
      <c r="C18" s="204" t="s">
        <v>222</v>
      </c>
      <c r="D18" s="200" t="s">
        <v>0</v>
      </c>
      <c r="E18" s="231">
        <v>935.94571428571442</v>
      </c>
      <c r="F18" s="231">
        <v>909.69</v>
      </c>
      <c r="G18" s="245">
        <f t="shared" si="0"/>
        <v>851420.45700000005</v>
      </c>
    </row>
    <row r="19" spans="1:7" ht="105">
      <c r="A19" s="261">
        <v>137</v>
      </c>
      <c r="B19" s="219" t="s">
        <v>136</v>
      </c>
      <c r="C19" s="210" t="s">
        <v>313</v>
      </c>
      <c r="D19" s="200"/>
      <c r="E19" s="231"/>
      <c r="F19" s="231"/>
      <c r="G19" s="245">
        <f t="shared" si="0"/>
        <v>0</v>
      </c>
    </row>
    <row r="20" spans="1:7" ht="45">
      <c r="A20" s="261"/>
      <c r="B20" s="219" t="s">
        <v>137</v>
      </c>
      <c r="C20" s="210" t="s">
        <v>233</v>
      </c>
      <c r="D20" s="200" t="s">
        <v>25</v>
      </c>
      <c r="E20" s="231">
        <v>23</v>
      </c>
      <c r="F20" s="231">
        <v>4076.09</v>
      </c>
      <c r="G20" s="245">
        <f t="shared" si="0"/>
        <v>93750.07</v>
      </c>
    </row>
    <row r="21" spans="1:7" ht="105">
      <c r="A21" s="261">
        <v>138</v>
      </c>
      <c r="B21" s="236" t="s">
        <v>140</v>
      </c>
      <c r="C21" s="210" t="s">
        <v>205</v>
      </c>
      <c r="D21" s="200"/>
      <c r="E21" s="231"/>
      <c r="F21" s="231"/>
      <c r="G21" s="245">
        <f t="shared" si="0"/>
        <v>0</v>
      </c>
    </row>
    <row r="22" spans="1:7" ht="15">
      <c r="A22" s="261"/>
      <c r="B22" s="236" t="s">
        <v>141</v>
      </c>
      <c r="C22" s="204" t="s">
        <v>206</v>
      </c>
      <c r="D22" s="200" t="s">
        <v>25</v>
      </c>
      <c r="E22" s="231">
        <v>24978.75955819881</v>
      </c>
      <c r="F22" s="231">
        <v>6.13</v>
      </c>
      <c r="G22" s="245">
        <f t="shared" si="0"/>
        <v>153119.796</v>
      </c>
    </row>
    <row r="23" spans="1:7" ht="120">
      <c r="A23" s="261">
        <v>139</v>
      </c>
      <c r="B23" s="219" t="s">
        <v>154</v>
      </c>
      <c r="C23" s="210" t="s">
        <v>239</v>
      </c>
      <c r="D23" s="200" t="s">
        <v>279</v>
      </c>
      <c r="E23" s="231">
        <v>3962.5574999999999</v>
      </c>
      <c r="F23" s="231">
        <v>144.41999999999999</v>
      </c>
      <c r="G23" s="245">
        <f t="shared" si="0"/>
        <v>572272.554</v>
      </c>
    </row>
    <row r="24" spans="1:7" ht="165">
      <c r="A24" s="261">
        <v>140</v>
      </c>
      <c r="B24" s="236" t="s">
        <v>159</v>
      </c>
      <c r="C24" s="210" t="s">
        <v>314</v>
      </c>
      <c r="D24" s="200"/>
      <c r="E24" s="231"/>
      <c r="F24" s="231"/>
      <c r="G24" s="245">
        <f t="shared" si="0"/>
        <v>0</v>
      </c>
    </row>
    <row r="25" spans="1:7" ht="15">
      <c r="A25" s="261"/>
      <c r="B25" s="236" t="s">
        <v>160</v>
      </c>
      <c r="C25" s="210" t="s">
        <v>234</v>
      </c>
      <c r="D25" s="200" t="s">
        <v>280</v>
      </c>
      <c r="E25" s="231">
        <v>2400</v>
      </c>
      <c r="F25" s="231">
        <v>317.01</v>
      </c>
      <c r="G25" s="245">
        <f t="shared" si="0"/>
        <v>760824</v>
      </c>
    </row>
    <row r="26" spans="1:7" ht="60">
      <c r="A26" s="261">
        <v>141</v>
      </c>
      <c r="B26" s="219" t="s">
        <v>236</v>
      </c>
      <c r="C26" s="210" t="s">
        <v>237</v>
      </c>
      <c r="D26" s="200"/>
      <c r="E26" s="231"/>
      <c r="F26" s="231"/>
      <c r="G26" s="245">
        <f t="shared" si="0"/>
        <v>0</v>
      </c>
    </row>
    <row r="27" spans="1:7" ht="15">
      <c r="A27" s="261"/>
      <c r="B27" s="219" t="s">
        <v>95</v>
      </c>
      <c r="C27" s="210" t="s">
        <v>238</v>
      </c>
      <c r="D27" s="200" t="s">
        <v>25</v>
      </c>
      <c r="E27" s="231">
        <v>64.8</v>
      </c>
      <c r="F27" s="231">
        <v>1145.8800000000001</v>
      </c>
      <c r="G27" s="245">
        <f t="shared" si="0"/>
        <v>74253.024000000005</v>
      </c>
    </row>
    <row r="28" spans="1:7" ht="195">
      <c r="A28" s="261">
        <v>142</v>
      </c>
      <c r="B28" s="199" t="s">
        <v>281</v>
      </c>
      <c r="C28" s="210" t="s">
        <v>282</v>
      </c>
      <c r="D28" s="250"/>
      <c r="E28" s="251"/>
      <c r="F28" s="251"/>
      <c r="G28" s="245">
        <f t="shared" si="0"/>
        <v>0</v>
      </c>
    </row>
    <row r="29" spans="1:7" ht="45">
      <c r="A29" s="261"/>
      <c r="B29" s="199" t="s">
        <v>283</v>
      </c>
      <c r="C29" s="210" t="s">
        <v>284</v>
      </c>
      <c r="D29" s="200" t="s">
        <v>22</v>
      </c>
      <c r="E29" s="231">
        <v>405</v>
      </c>
      <c r="F29" s="231">
        <v>2636.65</v>
      </c>
      <c r="G29" s="245">
        <f t="shared" si="0"/>
        <v>1067843.25</v>
      </c>
    </row>
    <row r="30" spans="1:7" ht="105">
      <c r="A30" s="261">
        <v>143</v>
      </c>
      <c r="B30" s="199">
        <v>60.3</v>
      </c>
      <c r="C30" s="210" t="s">
        <v>285</v>
      </c>
      <c r="D30" s="250"/>
      <c r="E30" s="251"/>
      <c r="F30" s="251"/>
      <c r="G30" s="245">
        <f t="shared" si="0"/>
        <v>0</v>
      </c>
    </row>
    <row r="31" spans="1:7" ht="15">
      <c r="A31" s="261"/>
      <c r="B31" s="199" t="s">
        <v>286</v>
      </c>
      <c r="C31" s="210" t="s">
        <v>287</v>
      </c>
      <c r="D31" s="200" t="s">
        <v>22</v>
      </c>
      <c r="E31" s="231">
        <v>405</v>
      </c>
      <c r="F31" s="231">
        <v>66.31</v>
      </c>
      <c r="G31" s="245">
        <f t="shared" si="0"/>
        <v>26855.55</v>
      </c>
    </row>
    <row r="32" spans="1:7" ht="75">
      <c r="A32" s="261">
        <v>144</v>
      </c>
      <c r="B32" s="199" t="s">
        <v>263</v>
      </c>
      <c r="C32" s="210" t="s">
        <v>264</v>
      </c>
      <c r="D32" s="208"/>
      <c r="E32" s="203"/>
      <c r="F32" s="231"/>
      <c r="G32" s="245">
        <f t="shared" si="0"/>
        <v>0</v>
      </c>
    </row>
    <row r="33" spans="1:7" ht="15">
      <c r="A33" s="261"/>
      <c r="B33" s="218" t="s">
        <v>123</v>
      </c>
      <c r="C33" s="218" t="s">
        <v>265</v>
      </c>
      <c r="D33" s="208" t="s">
        <v>25</v>
      </c>
      <c r="E33" s="203">
        <v>1100.476142857143</v>
      </c>
      <c r="F33" s="231">
        <v>757.75</v>
      </c>
      <c r="G33" s="245">
        <f t="shared" si="0"/>
        <v>833885.79700000002</v>
      </c>
    </row>
    <row r="34" spans="1:7" ht="105">
      <c r="A34" s="261">
        <v>145</v>
      </c>
      <c r="B34" s="219" t="s">
        <v>266</v>
      </c>
      <c r="C34" s="210" t="s">
        <v>267</v>
      </c>
      <c r="D34" s="200" t="s">
        <v>25</v>
      </c>
      <c r="E34" s="231">
        <v>18483.198142857142</v>
      </c>
      <c r="F34" s="233">
        <v>159.49</v>
      </c>
      <c r="G34" s="245">
        <f t="shared" si="0"/>
        <v>2947885.2719999999</v>
      </c>
    </row>
    <row r="35" spans="1:7" ht="75">
      <c r="A35" s="261">
        <v>146</v>
      </c>
      <c r="B35" s="199" t="s">
        <v>261</v>
      </c>
      <c r="C35" s="210" t="s">
        <v>262</v>
      </c>
      <c r="D35" s="200" t="s">
        <v>25</v>
      </c>
      <c r="E35" s="231">
        <v>7055.9999999999991</v>
      </c>
      <c r="F35" s="231">
        <v>142.47</v>
      </c>
      <c r="G35" s="245">
        <f t="shared" si="0"/>
        <v>1005268.32</v>
      </c>
    </row>
    <row r="36" spans="1:7" ht="135">
      <c r="A36" s="261">
        <v>147</v>
      </c>
      <c r="B36" s="199" t="s">
        <v>288</v>
      </c>
      <c r="C36" s="210" t="s">
        <v>289</v>
      </c>
      <c r="D36" s="200" t="s">
        <v>279</v>
      </c>
      <c r="E36" s="231">
        <v>5538</v>
      </c>
      <c r="F36" s="231">
        <v>292.74</v>
      </c>
      <c r="G36" s="245">
        <f t="shared" si="0"/>
        <v>1621194.12</v>
      </c>
    </row>
    <row r="37" spans="1:7" ht="135">
      <c r="A37" s="261">
        <v>148</v>
      </c>
      <c r="B37" s="199" t="s">
        <v>290</v>
      </c>
      <c r="C37" s="210" t="s">
        <v>291</v>
      </c>
      <c r="D37" s="200" t="s">
        <v>280</v>
      </c>
      <c r="E37" s="231">
        <v>25</v>
      </c>
      <c r="F37" s="231">
        <v>46820.84</v>
      </c>
      <c r="G37" s="245">
        <f t="shared" si="0"/>
        <v>1170521</v>
      </c>
    </row>
    <row r="38" spans="1:7" ht="135">
      <c r="A38" s="261">
        <v>149</v>
      </c>
      <c r="B38" s="199" t="s">
        <v>292</v>
      </c>
      <c r="C38" s="210" t="s">
        <v>244</v>
      </c>
      <c r="D38" s="200" t="s">
        <v>280</v>
      </c>
      <c r="E38" s="231"/>
      <c r="F38" s="231"/>
      <c r="G38" s="245">
        <f t="shared" si="0"/>
        <v>0</v>
      </c>
    </row>
    <row r="39" spans="1:7" ht="15">
      <c r="A39" s="224"/>
      <c r="B39" s="199" t="s">
        <v>293</v>
      </c>
      <c r="C39" s="210" t="s">
        <v>294</v>
      </c>
      <c r="D39" s="200" t="s">
        <v>280</v>
      </c>
      <c r="E39" s="200">
        <v>50</v>
      </c>
      <c r="F39" s="231">
        <v>8463.3799999999992</v>
      </c>
      <c r="G39" s="245">
        <f t="shared" si="0"/>
        <v>423169</v>
      </c>
    </row>
    <row r="40" spans="1:7" ht="15">
      <c r="A40" s="226"/>
      <c r="B40" s="237"/>
      <c r="C40" s="226"/>
      <c r="D40" s="260"/>
      <c r="E40" s="252"/>
      <c r="F40" s="252"/>
      <c r="G40" s="253">
        <f>SUM(G2:G39)</f>
        <v>25735913.851000004</v>
      </c>
    </row>
    <row r="41" spans="1:7" ht="15">
      <c r="A41" s="227" t="s">
        <v>315</v>
      </c>
      <c r="B41" s="202"/>
      <c r="C41" s="209"/>
      <c r="D41" s="225"/>
      <c r="E41" s="252"/>
      <c r="F41" s="252"/>
      <c r="G41" s="253"/>
    </row>
    <row r="42" spans="1:7" ht="135">
      <c r="A42" s="207">
        <v>150</v>
      </c>
      <c r="B42" s="199" t="s">
        <v>193</v>
      </c>
      <c r="C42" s="210" t="s">
        <v>194</v>
      </c>
      <c r="D42" s="208" t="s">
        <v>195</v>
      </c>
      <c r="E42" s="203">
        <v>20</v>
      </c>
      <c r="F42" s="231">
        <v>1203.77</v>
      </c>
      <c r="G42" s="245">
        <f t="shared" ref="G42:G89" si="1">ROUND(E42*F42,3)</f>
        <v>24075.4</v>
      </c>
    </row>
    <row r="43" spans="1:7" ht="90">
      <c r="A43" s="259">
        <v>151</v>
      </c>
      <c r="B43" s="259" t="s">
        <v>111</v>
      </c>
      <c r="C43" s="211" t="s">
        <v>112</v>
      </c>
      <c r="D43" s="221" t="s">
        <v>0</v>
      </c>
      <c r="E43" s="232">
        <v>6540</v>
      </c>
      <c r="F43" s="231">
        <v>27.72</v>
      </c>
      <c r="G43" s="245">
        <f t="shared" si="1"/>
        <v>181288.8</v>
      </c>
    </row>
    <row r="44" spans="1:7" ht="135">
      <c r="A44" s="259">
        <v>152</v>
      </c>
      <c r="B44" s="199" t="s">
        <v>117</v>
      </c>
      <c r="C44" s="210" t="s">
        <v>200</v>
      </c>
      <c r="D44" s="208" t="s">
        <v>25</v>
      </c>
      <c r="E44" s="203">
        <v>14000</v>
      </c>
      <c r="F44" s="231">
        <v>142.41999999999999</v>
      </c>
      <c r="G44" s="245">
        <f t="shared" si="1"/>
        <v>1993880</v>
      </c>
    </row>
    <row r="45" spans="1:7" ht="75">
      <c r="A45" s="259">
        <v>153</v>
      </c>
      <c r="B45" s="199" t="s">
        <v>295</v>
      </c>
      <c r="C45" s="210" t="s">
        <v>275</v>
      </c>
      <c r="D45" s="208" t="s">
        <v>25</v>
      </c>
      <c r="E45" s="203">
        <v>8640.6299999999992</v>
      </c>
      <c r="F45" s="231">
        <v>172.85</v>
      </c>
      <c r="G45" s="245">
        <f t="shared" si="1"/>
        <v>1493532.8959999999</v>
      </c>
    </row>
    <row r="46" spans="1:7" ht="105">
      <c r="A46" s="259">
        <v>154</v>
      </c>
      <c r="B46" s="199" t="s">
        <v>140</v>
      </c>
      <c r="C46" s="210" t="s">
        <v>205</v>
      </c>
      <c r="D46" s="208"/>
      <c r="E46" s="203"/>
      <c r="F46" s="231"/>
      <c r="G46" s="245">
        <f t="shared" si="1"/>
        <v>0</v>
      </c>
    </row>
    <row r="47" spans="1:7" ht="15">
      <c r="A47" s="259"/>
      <c r="B47" s="199" t="s">
        <v>141</v>
      </c>
      <c r="C47" s="210" t="s">
        <v>206</v>
      </c>
      <c r="D47" s="208" t="s">
        <v>9</v>
      </c>
      <c r="E47" s="231">
        <v>10705.18266779949</v>
      </c>
      <c r="F47" s="231">
        <v>6.13</v>
      </c>
      <c r="G47" s="245">
        <f t="shared" si="1"/>
        <v>65622.77</v>
      </c>
    </row>
    <row r="48" spans="1:7" ht="60">
      <c r="A48" s="259">
        <v>155</v>
      </c>
      <c r="B48" s="199" t="s">
        <v>134</v>
      </c>
      <c r="C48" s="210" t="s">
        <v>209</v>
      </c>
      <c r="D48" s="208"/>
      <c r="E48" s="203"/>
      <c r="F48" s="231"/>
      <c r="G48" s="245">
        <f t="shared" si="1"/>
        <v>0</v>
      </c>
    </row>
    <row r="49" spans="1:7" ht="15">
      <c r="A49" s="259"/>
      <c r="B49" s="199" t="s">
        <v>135</v>
      </c>
      <c r="C49" s="210" t="s">
        <v>210</v>
      </c>
      <c r="D49" s="208" t="s">
        <v>0</v>
      </c>
      <c r="E49" s="203">
        <v>378.84999999999997</v>
      </c>
      <c r="F49" s="231">
        <v>31.22</v>
      </c>
      <c r="G49" s="245">
        <f t="shared" si="1"/>
        <v>11827.697</v>
      </c>
    </row>
    <row r="50" spans="1:7" ht="120">
      <c r="A50" s="259">
        <v>156</v>
      </c>
      <c r="B50" s="199" t="s">
        <v>211</v>
      </c>
      <c r="C50" s="210" t="s">
        <v>212</v>
      </c>
      <c r="D50" s="254"/>
      <c r="E50" s="240"/>
      <c r="F50" s="240"/>
      <c r="G50" s="245">
        <f t="shared" si="1"/>
        <v>0</v>
      </c>
    </row>
    <row r="51" spans="1:7" ht="15">
      <c r="A51" s="259"/>
      <c r="B51" s="236" t="s">
        <v>296</v>
      </c>
      <c r="C51" s="204" t="s">
        <v>297</v>
      </c>
      <c r="D51" s="208" t="s">
        <v>25</v>
      </c>
      <c r="E51" s="203">
        <v>1.9244996147917592</v>
      </c>
      <c r="F51" s="231">
        <v>10601.19</v>
      </c>
      <c r="G51" s="245">
        <f t="shared" si="1"/>
        <v>20401.986000000001</v>
      </c>
    </row>
    <row r="52" spans="1:7" ht="120">
      <c r="A52" s="259">
        <v>157</v>
      </c>
      <c r="B52" s="199" t="s">
        <v>142</v>
      </c>
      <c r="C52" s="210" t="s">
        <v>213</v>
      </c>
      <c r="D52" s="208"/>
      <c r="E52" s="203"/>
      <c r="F52" s="231"/>
      <c r="G52" s="245">
        <f t="shared" si="1"/>
        <v>0</v>
      </c>
    </row>
    <row r="53" spans="1:7" ht="15">
      <c r="A53" s="261"/>
      <c r="B53" s="199" t="s">
        <v>143</v>
      </c>
      <c r="C53" s="210" t="s">
        <v>144</v>
      </c>
      <c r="D53" s="208" t="s">
        <v>25</v>
      </c>
      <c r="E53" s="203">
        <v>43.718921244219651</v>
      </c>
      <c r="F53" s="231">
        <v>10954.48</v>
      </c>
      <c r="G53" s="245">
        <f t="shared" si="1"/>
        <v>478918.04800000001</v>
      </c>
    </row>
    <row r="54" spans="1:7" ht="120">
      <c r="A54" s="261">
        <v>158</v>
      </c>
      <c r="B54" s="199" t="s">
        <v>149</v>
      </c>
      <c r="C54" s="210" t="s">
        <v>216</v>
      </c>
      <c r="D54" s="200"/>
      <c r="E54" s="231"/>
      <c r="F54" s="231"/>
      <c r="G54" s="245">
        <f t="shared" si="1"/>
        <v>0</v>
      </c>
    </row>
    <row r="55" spans="1:7" ht="15">
      <c r="A55" s="261"/>
      <c r="B55" s="199" t="s">
        <v>150</v>
      </c>
      <c r="C55" s="210" t="s">
        <v>217</v>
      </c>
      <c r="D55" s="208" t="s">
        <v>108</v>
      </c>
      <c r="E55" s="203">
        <v>26201.061909484666</v>
      </c>
      <c r="F55" s="231">
        <v>77.34</v>
      </c>
      <c r="G55" s="245">
        <f t="shared" si="1"/>
        <v>2026390.128</v>
      </c>
    </row>
    <row r="56" spans="1:7" ht="150">
      <c r="A56" s="261">
        <v>159</v>
      </c>
      <c r="B56" s="199" t="s">
        <v>155</v>
      </c>
      <c r="C56" s="210" t="s">
        <v>219</v>
      </c>
      <c r="D56" s="208"/>
      <c r="E56" s="203"/>
      <c r="F56" s="231"/>
      <c r="G56" s="245">
        <f t="shared" si="1"/>
        <v>0</v>
      </c>
    </row>
    <row r="57" spans="1:7" ht="15">
      <c r="A57" s="261"/>
      <c r="B57" s="261" t="s">
        <v>156</v>
      </c>
      <c r="C57" s="217" t="s">
        <v>157</v>
      </c>
      <c r="D57" s="200" t="s">
        <v>25</v>
      </c>
      <c r="E57" s="231">
        <v>244.405</v>
      </c>
      <c r="F57" s="231">
        <v>11674.49</v>
      </c>
      <c r="G57" s="245">
        <f t="shared" si="1"/>
        <v>2853303.7280000001</v>
      </c>
    </row>
    <row r="58" spans="1:7" ht="165">
      <c r="A58" s="261">
        <v>160</v>
      </c>
      <c r="B58" s="199" t="s">
        <v>145</v>
      </c>
      <c r="C58" s="210" t="s">
        <v>220</v>
      </c>
      <c r="D58" s="208"/>
      <c r="E58" s="203"/>
      <c r="F58" s="231"/>
      <c r="G58" s="245">
        <f t="shared" si="1"/>
        <v>0</v>
      </c>
    </row>
    <row r="59" spans="1:7" ht="30">
      <c r="A59" s="261" t="s">
        <v>278</v>
      </c>
      <c r="B59" s="199" t="s">
        <v>148</v>
      </c>
      <c r="C59" s="210" t="s">
        <v>221</v>
      </c>
      <c r="D59" s="208" t="s">
        <v>0</v>
      </c>
      <c r="E59" s="203">
        <v>964.27492681043418</v>
      </c>
      <c r="F59" s="231">
        <v>735.35</v>
      </c>
      <c r="G59" s="245">
        <f t="shared" si="1"/>
        <v>709079.56700000004</v>
      </c>
    </row>
    <row r="60" spans="1:7" ht="30">
      <c r="A60" s="261" t="s">
        <v>227</v>
      </c>
      <c r="B60" s="199" t="s">
        <v>146</v>
      </c>
      <c r="C60" s="210" t="s">
        <v>222</v>
      </c>
      <c r="D60" s="208" t="s">
        <v>0</v>
      </c>
      <c r="E60" s="203">
        <v>683.16200000000003</v>
      </c>
      <c r="F60" s="231">
        <v>909.69</v>
      </c>
      <c r="G60" s="245">
        <f t="shared" si="1"/>
        <v>621465.64</v>
      </c>
    </row>
    <row r="61" spans="1:7" ht="45">
      <c r="A61" s="261" t="s">
        <v>298</v>
      </c>
      <c r="B61" s="199" t="s">
        <v>147</v>
      </c>
      <c r="C61" s="210" t="s">
        <v>223</v>
      </c>
      <c r="D61" s="208" t="s">
        <v>0</v>
      </c>
      <c r="E61" s="203">
        <v>83.72</v>
      </c>
      <c r="F61" s="231">
        <v>921.99</v>
      </c>
      <c r="G61" s="245">
        <f t="shared" si="1"/>
        <v>77189.002999999997</v>
      </c>
    </row>
    <row r="62" spans="1:7" ht="105">
      <c r="A62" s="261">
        <v>161</v>
      </c>
      <c r="B62" s="204" t="s">
        <v>121</v>
      </c>
      <c r="C62" s="210" t="s">
        <v>229</v>
      </c>
      <c r="D62" s="208"/>
      <c r="E62" s="203"/>
      <c r="F62" s="231"/>
      <c r="G62" s="245">
        <f t="shared" si="1"/>
        <v>0</v>
      </c>
    </row>
    <row r="63" spans="1:7" ht="15">
      <c r="A63" s="261"/>
      <c r="B63" s="204" t="s">
        <v>122</v>
      </c>
      <c r="C63" s="210" t="s">
        <v>230</v>
      </c>
      <c r="D63" s="208" t="s">
        <v>25</v>
      </c>
      <c r="E63" s="203">
        <v>376.12757698140842</v>
      </c>
      <c r="F63" s="231">
        <v>1420.06</v>
      </c>
      <c r="G63" s="245">
        <f t="shared" si="1"/>
        <v>534123.72699999996</v>
      </c>
    </row>
    <row r="64" spans="1:7" ht="105">
      <c r="A64" s="261">
        <v>162</v>
      </c>
      <c r="B64" s="199" t="s">
        <v>136</v>
      </c>
      <c r="C64" s="210" t="s">
        <v>313</v>
      </c>
      <c r="D64" s="208"/>
      <c r="E64" s="203"/>
      <c r="F64" s="231"/>
      <c r="G64" s="245">
        <f t="shared" si="1"/>
        <v>0</v>
      </c>
    </row>
    <row r="65" spans="1:7" ht="15">
      <c r="A65" s="261" t="s">
        <v>278</v>
      </c>
      <c r="B65" s="199" t="s">
        <v>231</v>
      </c>
      <c r="C65" s="210" t="s">
        <v>232</v>
      </c>
      <c r="D65" s="208" t="s">
        <v>25</v>
      </c>
      <c r="E65" s="203">
        <v>77.549000000000007</v>
      </c>
      <c r="F65" s="231">
        <v>3730.47</v>
      </c>
      <c r="G65" s="245">
        <f t="shared" si="1"/>
        <v>289294.21799999999</v>
      </c>
    </row>
    <row r="66" spans="1:7" ht="45">
      <c r="A66" s="261" t="s">
        <v>227</v>
      </c>
      <c r="B66" s="199" t="s">
        <v>137</v>
      </c>
      <c r="C66" s="210" t="s">
        <v>233</v>
      </c>
      <c r="D66" s="208" t="s">
        <v>25</v>
      </c>
      <c r="E66" s="203">
        <v>77.549000000000007</v>
      </c>
      <c r="F66" s="231">
        <v>4076.09</v>
      </c>
      <c r="G66" s="245">
        <f t="shared" si="1"/>
        <v>316096.70299999998</v>
      </c>
    </row>
    <row r="67" spans="1:7" ht="165">
      <c r="A67" s="261">
        <v>163</v>
      </c>
      <c r="B67" s="199" t="s">
        <v>159</v>
      </c>
      <c r="C67" s="210" t="s">
        <v>314</v>
      </c>
      <c r="D67" s="208"/>
      <c r="E67" s="203"/>
      <c r="F67" s="231"/>
      <c r="G67" s="245">
        <f t="shared" si="1"/>
        <v>0</v>
      </c>
    </row>
    <row r="68" spans="1:7" ht="15">
      <c r="A68" s="261"/>
      <c r="B68" s="199" t="s">
        <v>160</v>
      </c>
      <c r="C68" s="210" t="s">
        <v>234</v>
      </c>
      <c r="D68" s="208" t="s">
        <v>195</v>
      </c>
      <c r="E68" s="203">
        <v>4212</v>
      </c>
      <c r="F68" s="231">
        <v>317.01</v>
      </c>
      <c r="G68" s="245">
        <f t="shared" si="1"/>
        <v>1335246.1200000001</v>
      </c>
    </row>
    <row r="69" spans="1:7" ht="60">
      <c r="A69" s="261">
        <v>164</v>
      </c>
      <c r="B69" s="199" t="s">
        <v>236</v>
      </c>
      <c r="C69" s="210" t="s">
        <v>237</v>
      </c>
      <c r="D69" s="208"/>
      <c r="E69" s="203"/>
      <c r="F69" s="231"/>
      <c r="G69" s="245">
        <f t="shared" si="1"/>
        <v>0</v>
      </c>
    </row>
    <row r="70" spans="1:7" ht="15">
      <c r="A70" s="261"/>
      <c r="B70" s="199" t="s">
        <v>95</v>
      </c>
      <c r="C70" s="210" t="s">
        <v>238</v>
      </c>
      <c r="D70" s="208" t="s">
        <v>25</v>
      </c>
      <c r="E70" s="203">
        <v>113.72399999999999</v>
      </c>
      <c r="F70" s="231">
        <v>1145.8800000000001</v>
      </c>
      <c r="G70" s="245">
        <f t="shared" si="1"/>
        <v>130314.057</v>
      </c>
    </row>
    <row r="71" spans="1:7" ht="120">
      <c r="A71" s="261">
        <v>165</v>
      </c>
      <c r="B71" s="199" t="s">
        <v>154</v>
      </c>
      <c r="C71" s="210" t="s">
        <v>239</v>
      </c>
      <c r="D71" s="208" t="s">
        <v>108</v>
      </c>
      <c r="E71" s="203">
        <v>826.47450000000003</v>
      </c>
      <c r="F71" s="231">
        <v>144.41999999999999</v>
      </c>
      <c r="G71" s="245">
        <f t="shared" si="1"/>
        <v>119359.447</v>
      </c>
    </row>
    <row r="72" spans="1:7" ht="195">
      <c r="A72" s="261">
        <v>166</v>
      </c>
      <c r="B72" s="199" t="s">
        <v>163</v>
      </c>
      <c r="C72" s="210" t="s">
        <v>242</v>
      </c>
      <c r="D72" s="208"/>
      <c r="E72" s="203"/>
      <c r="F72" s="231"/>
      <c r="G72" s="245">
        <f t="shared" si="1"/>
        <v>0</v>
      </c>
    </row>
    <row r="73" spans="1:7" ht="15">
      <c r="A73" s="261"/>
      <c r="B73" s="238" t="s">
        <v>299</v>
      </c>
      <c r="C73" s="222" t="s">
        <v>300</v>
      </c>
      <c r="D73" s="208" t="s">
        <v>195</v>
      </c>
      <c r="E73" s="203">
        <v>5</v>
      </c>
      <c r="F73" s="231">
        <v>47702.43</v>
      </c>
      <c r="G73" s="245">
        <f t="shared" si="1"/>
        <v>238512.15</v>
      </c>
    </row>
    <row r="74" spans="1:7" ht="214.5" customHeight="1">
      <c r="A74" s="224">
        <v>167</v>
      </c>
      <c r="B74" s="210" t="s">
        <v>301</v>
      </c>
      <c r="C74" s="210" t="s">
        <v>302</v>
      </c>
      <c r="D74" s="208"/>
      <c r="E74" s="203"/>
      <c r="F74" s="203"/>
      <c r="G74" s="245">
        <f t="shared" si="1"/>
        <v>0</v>
      </c>
    </row>
    <row r="75" spans="1:7" ht="15">
      <c r="A75" s="224"/>
      <c r="B75" s="210" t="s">
        <v>303</v>
      </c>
      <c r="C75" s="210" t="s">
        <v>300</v>
      </c>
      <c r="D75" s="208" t="s">
        <v>195</v>
      </c>
      <c r="E75" s="203">
        <v>5</v>
      </c>
      <c r="F75" s="231">
        <v>59678.51</v>
      </c>
      <c r="G75" s="245">
        <f t="shared" si="1"/>
        <v>298392.55</v>
      </c>
    </row>
    <row r="76" spans="1:7" ht="135">
      <c r="A76" s="261">
        <v>168</v>
      </c>
      <c r="B76" s="199" t="s">
        <v>243</v>
      </c>
      <c r="C76" s="210" t="s">
        <v>244</v>
      </c>
      <c r="D76" s="208"/>
      <c r="E76" s="203"/>
      <c r="F76" s="231"/>
      <c r="G76" s="245">
        <f t="shared" si="1"/>
        <v>0</v>
      </c>
    </row>
    <row r="77" spans="1:7" ht="15">
      <c r="A77" s="261"/>
      <c r="B77" s="222" t="s">
        <v>293</v>
      </c>
      <c r="C77" s="228" t="s">
        <v>304</v>
      </c>
      <c r="D77" s="208" t="s">
        <v>195</v>
      </c>
      <c r="E77" s="203">
        <v>10</v>
      </c>
      <c r="F77" s="231">
        <v>8463.3799999999992</v>
      </c>
      <c r="G77" s="245">
        <f t="shared" si="1"/>
        <v>84633.8</v>
      </c>
    </row>
    <row r="78" spans="1:7" ht="135">
      <c r="A78" s="261">
        <v>169</v>
      </c>
      <c r="B78" s="199" t="s">
        <v>290</v>
      </c>
      <c r="C78" s="210" t="s">
        <v>291</v>
      </c>
      <c r="D78" s="200" t="s">
        <v>280</v>
      </c>
      <c r="E78" s="231">
        <v>5</v>
      </c>
      <c r="F78" s="231">
        <v>46820.84</v>
      </c>
      <c r="G78" s="245">
        <f t="shared" si="1"/>
        <v>234104.2</v>
      </c>
    </row>
    <row r="79" spans="1:7" ht="185.25" customHeight="1">
      <c r="A79" s="261">
        <v>170</v>
      </c>
      <c r="B79" s="204" t="s">
        <v>248</v>
      </c>
      <c r="C79" s="210" t="s">
        <v>249</v>
      </c>
      <c r="D79" s="223"/>
      <c r="E79" s="233"/>
      <c r="F79" s="231"/>
      <c r="G79" s="245">
        <f t="shared" si="1"/>
        <v>0</v>
      </c>
    </row>
    <row r="80" spans="1:7" ht="15">
      <c r="A80" s="261"/>
      <c r="B80" s="204" t="s">
        <v>250</v>
      </c>
      <c r="C80" s="204" t="s">
        <v>251</v>
      </c>
      <c r="D80" s="208" t="s">
        <v>25</v>
      </c>
      <c r="E80" s="203">
        <v>3090</v>
      </c>
      <c r="F80" s="231">
        <v>187.79</v>
      </c>
      <c r="G80" s="245">
        <f t="shared" si="1"/>
        <v>580271.1</v>
      </c>
    </row>
    <row r="81" spans="1:7" ht="90">
      <c r="A81" s="261">
        <v>171</v>
      </c>
      <c r="B81" s="259" t="s">
        <v>166</v>
      </c>
      <c r="C81" s="216" t="s">
        <v>167</v>
      </c>
      <c r="D81" s="223"/>
      <c r="E81" s="233">
        <v>866.25</v>
      </c>
      <c r="F81" s="231">
        <v>142.27000000000001</v>
      </c>
      <c r="G81" s="245">
        <f t="shared" si="1"/>
        <v>123241.38800000001</v>
      </c>
    </row>
    <row r="82" spans="1:7" ht="60">
      <c r="A82" s="261">
        <v>172</v>
      </c>
      <c r="B82" s="199" t="s">
        <v>32</v>
      </c>
      <c r="C82" s="210" t="s">
        <v>305</v>
      </c>
      <c r="D82" s="208" t="s">
        <v>255</v>
      </c>
      <c r="E82" s="203">
        <v>1545</v>
      </c>
      <c r="F82" s="231">
        <v>14.57</v>
      </c>
      <c r="G82" s="245">
        <f t="shared" si="1"/>
        <v>22510.65</v>
      </c>
    </row>
    <row r="83" spans="1:7" ht="45">
      <c r="A83" s="261">
        <v>173</v>
      </c>
      <c r="B83" s="199" t="s">
        <v>256</v>
      </c>
      <c r="C83" s="210" t="s">
        <v>306</v>
      </c>
      <c r="D83" s="208" t="s">
        <v>258</v>
      </c>
      <c r="E83" s="203">
        <v>433.125</v>
      </c>
      <c r="F83" s="231">
        <v>10.99</v>
      </c>
      <c r="G83" s="245">
        <f t="shared" si="1"/>
        <v>4760.0439999999999</v>
      </c>
    </row>
    <row r="84" spans="1:7" ht="75">
      <c r="A84" s="261">
        <v>174</v>
      </c>
      <c r="B84" s="199" t="s">
        <v>43</v>
      </c>
      <c r="C84" s="210" t="s">
        <v>259</v>
      </c>
      <c r="D84" s="208" t="s">
        <v>25</v>
      </c>
      <c r="E84" s="203">
        <v>3090</v>
      </c>
      <c r="F84" s="231">
        <v>14.27</v>
      </c>
      <c r="G84" s="245">
        <f t="shared" si="1"/>
        <v>44094.3</v>
      </c>
    </row>
    <row r="85" spans="1:7" ht="65.25" customHeight="1">
      <c r="A85" s="261">
        <v>175</v>
      </c>
      <c r="B85" s="199" t="s">
        <v>261</v>
      </c>
      <c r="C85" s="210" t="s">
        <v>262</v>
      </c>
      <c r="D85" s="208" t="s">
        <v>25</v>
      </c>
      <c r="E85" s="203">
        <v>7000</v>
      </c>
      <c r="F85" s="231">
        <v>142.47</v>
      </c>
      <c r="G85" s="245">
        <f t="shared" si="1"/>
        <v>997290</v>
      </c>
    </row>
    <row r="86" spans="1:7" ht="75">
      <c r="A86" s="261">
        <v>176</v>
      </c>
      <c r="B86" s="199" t="s">
        <v>263</v>
      </c>
      <c r="C86" s="210" t="s">
        <v>264</v>
      </c>
      <c r="D86" s="208"/>
      <c r="E86" s="203"/>
      <c r="F86" s="231"/>
      <c r="G86" s="245">
        <f t="shared" si="1"/>
        <v>0</v>
      </c>
    </row>
    <row r="87" spans="1:7" ht="15">
      <c r="A87" s="261"/>
      <c r="B87" s="218" t="s">
        <v>123</v>
      </c>
      <c r="C87" s="218" t="s">
        <v>265</v>
      </c>
      <c r="D87" s="208" t="s">
        <v>25</v>
      </c>
      <c r="E87" s="203">
        <v>235.56650000000002</v>
      </c>
      <c r="F87" s="231">
        <v>757.75</v>
      </c>
      <c r="G87" s="245">
        <f t="shared" si="1"/>
        <v>178500.51500000001</v>
      </c>
    </row>
    <row r="88" spans="1:7" ht="89.25" customHeight="1">
      <c r="A88" s="261">
        <v>177</v>
      </c>
      <c r="B88" s="199" t="s">
        <v>266</v>
      </c>
      <c r="C88" s="210" t="s">
        <v>267</v>
      </c>
      <c r="D88" s="208" t="s">
        <v>25</v>
      </c>
      <c r="E88" s="203">
        <v>3699.6289999999999</v>
      </c>
      <c r="F88" s="231">
        <v>159.49</v>
      </c>
      <c r="G88" s="245">
        <f t="shared" si="1"/>
        <v>590053.82900000003</v>
      </c>
    </row>
    <row r="89" spans="1:7" ht="75">
      <c r="A89" s="261">
        <v>178</v>
      </c>
      <c r="B89" s="199" t="s">
        <v>268</v>
      </c>
      <c r="C89" s="210" t="s">
        <v>269</v>
      </c>
      <c r="D89" s="208" t="s">
        <v>0</v>
      </c>
      <c r="E89" s="203">
        <v>2475</v>
      </c>
      <c r="F89" s="231">
        <v>26.17</v>
      </c>
      <c r="G89" s="245">
        <f t="shared" si="1"/>
        <v>64770.75</v>
      </c>
    </row>
    <row r="90" spans="1:7" ht="14.5">
      <c r="A90" s="358" t="s">
        <v>316</v>
      </c>
      <c r="B90" s="358"/>
      <c r="C90" s="358"/>
      <c r="D90" s="358"/>
      <c r="E90" s="358"/>
      <c r="F90" s="358"/>
      <c r="G90" s="253">
        <f>SUM(G42:G89)</f>
        <v>16742545.211000005</v>
      </c>
    </row>
    <row r="91" spans="1:7" ht="15">
      <c r="A91" s="359" t="s">
        <v>317</v>
      </c>
      <c r="B91" s="359"/>
      <c r="C91" s="359"/>
      <c r="D91" s="359"/>
      <c r="E91" s="359"/>
      <c r="F91" s="359"/>
      <c r="G91" s="220" t="e">
        <f>G90+G40+#REF!+#REF!+#REF!+#REF!</f>
        <v>#REF!</v>
      </c>
    </row>
  </sheetData>
  <mergeCells count="2">
    <mergeCell ref="A90:F90"/>
    <mergeCell ref="A91:F91"/>
  </mergeCells>
  <pageMargins left="0.5" right="0.2" top="0.5" bottom="0.25" header="0.25" footer="0.15"/>
  <pageSetup paperSize="9" scale="95" orientation="portrait" r:id="rId1"/>
  <headerFooter alignWithMargins="0">
    <oddHeader>&amp;R&amp;F</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7"/>
  <sheetViews>
    <sheetView topLeftCell="B25" zoomScale="85" zoomScaleNormal="85" workbookViewId="0">
      <selection activeCell="K35" sqref="K35"/>
    </sheetView>
  </sheetViews>
  <sheetFormatPr defaultColWidth="9.1796875" defaultRowHeight="14.5"/>
  <cols>
    <col min="1" max="1" width="9.1796875" style="265"/>
    <col min="2" max="2" width="12.7265625" style="265" customWidth="1"/>
    <col min="3" max="3" width="40.81640625" style="265" bestFit="1" customWidth="1"/>
    <col min="4" max="4" width="8" style="265" bestFit="1" customWidth="1"/>
    <col min="5" max="5" width="10.1796875" style="265" bestFit="1" customWidth="1"/>
    <col min="6" max="10" width="15.453125" style="265" bestFit="1" customWidth="1"/>
    <col min="11" max="12" width="9.1796875" style="265"/>
    <col min="13" max="13" width="17.6328125" style="265" customWidth="1"/>
    <col min="14" max="16384" width="9.1796875" style="265"/>
  </cols>
  <sheetData>
    <row r="1" spans="1:11" ht="18.75" customHeight="1">
      <c r="A1" s="262" t="s">
        <v>320</v>
      </c>
      <c r="B1" s="262" t="s">
        <v>4</v>
      </c>
      <c r="C1" s="263" t="s">
        <v>321</v>
      </c>
      <c r="D1" s="262" t="s">
        <v>23</v>
      </c>
      <c r="E1" s="262" t="s">
        <v>322</v>
      </c>
      <c r="F1" s="264" t="s">
        <v>323</v>
      </c>
      <c r="G1" s="264" t="s">
        <v>324</v>
      </c>
      <c r="H1" s="264" t="s">
        <v>325</v>
      </c>
      <c r="I1" s="264" t="s">
        <v>326</v>
      </c>
      <c r="J1" s="264" t="s">
        <v>327</v>
      </c>
    </row>
    <row r="2" spans="1:11" ht="18.75" customHeight="1">
      <c r="A2" s="266"/>
      <c r="B2" s="266"/>
      <c r="C2" s="266"/>
      <c r="D2" s="266"/>
      <c r="E2" s="266"/>
      <c r="F2" s="264" t="s">
        <v>6</v>
      </c>
      <c r="G2" s="264" t="s">
        <v>6</v>
      </c>
      <c r="H2" s="264" t="s">
        <v>6</v>
      </c>
      <c r="I2" s="264" t="s">
        <v>6</v>
      </c>
      <c r="J2" s="264" t="s">
        <v>6</v>
      </c>
    </row>
    <row r="3" spans="1:11" ht="18.75" customHeight="1">
      <c r="A3" s="267">
        <v>1</v>
      </c>
      <c r="B3" s="264" t="s">
        <v>272</v>
      </c>
      <c r="C3" s="268" t="s">
        <v>328</v>
      </c>
      <c r="D3" s="264" t="s">
        <v>199</v>
      </c>
      <c r="E3" s="264"/>
      <c r="F3" s="269">
        <v>4</v>
      </c>
      <c r="G3" s="269">
        <f t="shared" ref="G3:G34" si="0">K3/5</f>
        <v>0</v>
      </c>
      <c r="H3" s="269">
        <v>4</v>
      </c>
      <c r="I3" s="269">
        <v>4</v>
      </c>
      <c r="J3" s="269">
        <v>4</v>
      </c>
      <c r="K3" s="272"/>
    </row>
    <row r="4" spans="1:11" ht="25.5" customHeight="1">
      <c r="A4" s="264">
        <v>2</v>
      </c>
      <c r="B4" s="264" t="s">
        <v>111</v>
      </c>
      <c r="C4" s="268" t="s">
        <v>329</v>
      </c>
      <c r="D4" s="264" t="s">
        <v>21</v>
      </c>
      <c r="E4" s="264"/>
      <c r="F4" s="269">
        <v>1308</v>
      </c>
      <c r="G4" s="269">
        <f t="shared" si="0"/>
        <v>0</v>
      </c>
      <c r="H4" s="269">
        <v>1308</v>
      </c>
      <c r="I4" s="269">
        <v>1308</v>
      </c>
      <c r="J4" s="269">
        <v>1308</v>
      </c>
      <c r="K4" s="272"/>
    </row>
    <row r="5" spans="1:11" ht="25.5" customHeight="1">
      <c r="A5" s="267">
        <v>3</v>
      </c>
      <c r="B5" s="264" t="s">
        <v>117</v>
      </c>
      <c r="C5" s="268"/>
      <c r="D5" s="264" t="s">
        <v>9</v>
      </c>
      <c r="E5" s="264"/>
      <c r="F5" s="269">
        <v>2800</v>
      </c>
      <c r="G5" s="269">
        <f t="shared" si="0"/>
        <v>0</v>
      </c>
      <c r="H5" s="269">
        <v>2800</v>
      </c>
      <c r="I5" s="269">
        <v>2800</v>
      </c>
      <c r="J5" s="269">
        <v>2800</v>
      </c>
      <c r="K5" s="272"/>
    </row>
    <row r="6" spans="1:11" ht="25.5" customHeight="1">
      <c r="A6" s="264">
        <v>4</v>
      </c>
      <c r="B6" s="264" t="s">
        <v>295</v>
      </c>
      <c r="C6" s="268"/>
      <c r="D6" s="264" t="s">
        <v>9</v>
      </c>
      <c r="E6" s="264"/>
      <c r="F6" s="269">
        <v>1728.1259999999997</v>
      </c>
      <c r="G6" s="269">
        <f t="shared" si="0"/>
        <v>0</v>
      </c>
      <c r="H6" s="269">
        <v>1728.1259999999997</v>
      </c>
      <c r="I6" s="269">
        <v>1728.1259999999997</v>
      </c>
      <c r="J6" s="269">
        <v>1728.1259999999997</v>
      </c>
      <c r="K6" s="272"/>
    </row>
    <row r="7" spans="1:11" ht="25.5" customHeight="1">
      <c r="A7" s="267">
        <v>5</v>
      </c>
      <c r="B7" s="264" t="s">
        <v>141</v>
      </c>
      <c r="C7" s="268" t="s">
        <v>330</v>
      </c>
      <c r="D7" s="264" t="s">
        <v>9</v>
      </c>
      <c r="E7" s="264"/>
      <c r="F7" s="269">
        <v>2141.0360000000001</v>
      </c>
      <c r="G7" s="269">
        <f t="shared" si="0"/>
        <v>0</v>
      </c>
      <c r="H7" s="269">
        <v>2141.0360000000001</v>
      </c>
      <c r="I7" s="269">
        <v>2141.0360000000001</v>
      </c>
      <c r="J7" s="269">
        <v>2141.0360000000001</v>
      </c>
      <c r="K7" s="272"/>
    </row>
    <row r="8" spans="1:11" ht="25.5" customHeight="1">
      <c r="A8" s="264">
        <v>6</v>
      </c>
      <c r="B8" s="270" t="s">
        <v>135</v>
      </c>
      <c r="C8" s="268" t="s">
        <v>331</v>
      </c>
      <c r="D8" s="264" t="s">
        <v>108</v>
      </c>
      <c r="E8" s="264"/>
      <c r="F8" s="269">
        <v>75.77000000000001</v>
      </c>
      <c r="G8" s="269">
        <f t="shared" si="0"/>
        <v>0</v>
      </c>
      <c r="H8" s="269">
        <v>75.77000000000001</v>
      </c>
      <c r="I8" s="269">
        <v>75.77000000000001</v>
      </c>
      <c r="J8" s="269">
        <v>75.77000000000001</v>
      </c>
      <c r="K8" s="272"/>
    </row>
    <row r="9" spans="1:11" ht="25.5" customHeight="1">
      <c r="A9" s="267">
        <v>7</v>
      </c>
      <c r="B9" s="264" t="s">
        <v>296</v>
      </c>
      <c r="C9" s="268" t="s">
        <v>332</v>
      </c>
      <c r="D9" s="264" t="s">
        <v>9</v>
      </c>
      <c r="E9" s="264"/>
      <c r="F9" s="269">
        <v>0.38400000000000001</v>
      </c>
      <c r="G9" s="269">
        <f t="shared" si="0"/>
        <v>0</v>
      </c>
      <c r="H9" s="269">
        <v>0.38400000000000001</v>
      </c>
      <c r="I9" s="269">
        <v>0.38400000000000001</v>
      </c>
      <c r="J9" s="269">
        <v>0.38400000000000001</v>
      </c>
      <c r="K9" s="272"/>
    </row>
    <row r="10" spans="1:11" ht="25.5" customHeight="1">
      <c r="A10" s="264">
        <v>8</v>
      </c>
      <c r="B10" s="264" t="s">
        <v>143</v>
      </c>
      <c r="C10" s="268" t="s">
        <v>333</v>
      </c>
      <c r="D10" s="264" t="s">
        <v>9</v>
      </c>
      <c r="E10" s="264"/>
      <c r="F10" s="269">
        <v>8.7439999999999998</v>
      </c>
      <c r="G10" s="269">
        <f t="shared" si="0"/>
        <v>0</v>
      </c>
      <c r="H10" s="269">
        <v>8.7439999999999998</v>
      </c>
      <c r="I10" s="269">
        <v>8.7439999999999998</v>
      </c>
      <c r="J10" s="269">
        <v>8.7439999999999998</v>
      </c>
      <c r="K10" s="272"/>
    </row>
    <row r="11" spans="1:11" ht="25.5" customHeight="1">
      <c r="A11" s="267">
        <v>9</v>
      </c>
      <c r="B11" s="264" t="s">
        <v>150</v>
      </c>
      <c r="C11" s="268" t="s">
        <v>334</v>
      </c>
      <c r="D11" s="264" t="s">
        <v>108</v>
      </c>
      <c r="E11" s="264"/>
      <c r="F11" s="269">
        <v>5240.2120000000004</v>
      </c>
      <c r="G11" s="269">
        <f t="shared" si="0"/>
        <v>0</v>
      </c>
      <c r="H11" s="269">
        <v>5240.2120000000004</v>
      </c>
      <c r="I11" s="269">
        <v>5240.2120000000004</v>
      </c>
      <c r="J11" s="269">
        <v>5240.2120000000004</v>
      </c>
      <c r="K11" s="272"/>
    </row>
    <row r="12" spans="1:11" ht="25.5" customHeight="1">
      <c r="A12" s="264">
        <v>10</v>
      </c>
      <c r="B12" s="264" t="s">
        <v>156</v>
      </c>
      <c r="C12" s="268" t="s">
        <v>335</v>
      </c>
      <c r="D12" s="264" t="s">
        <v>9</v>
      </c>
      <c r="E12" s="264"/>
      <c r="F12" s="269">
        <v>48.881999999999998</v>
      </c>
      <c r="G12" s="269">
        <f t="shared" si="0"/>
        <v>0</v>
      </c>
      <c r="H12" s="269">
        <v>48.881999999999998</v>
      </c>
      <c r="I12" s="269">
        <v>48.881999999999998</v>
      </c>
      <c r="J12" s="269">
        <v>48.881999999999998</v>
      </c>
      <c r="K12" s="272"/>
    </row>
    <row r="13" spans="1:11" ht="31">
      <c r="A13" s="267">
        <v>11</v>
      </c>
      <c r="B13" s="264" t="s">
        <v>148</v>
      </c>
      <c r="C13" s="271" t="s">
        <v>336</v>
      </c>
      <c r="D13" s="264" t="s">
        <v>21</v>
      </c>
      <c r="E13" s="264"/>
      <c r="F13" s="269">
        <v>192.85399999999998</v>
      </c>
      <c r="G13" s="269">
        <f t="shared" si="0"/>
        <v>0</v>
      </c>
      <c r="H13" s="269">
        <v>192.85399999999998</v>
      </c>
      <c r="I13" s="269">
        <v>192.85399999999998</v>
      </c>
      <c r="J13" s="269">
        <v>192.85399999999998</v>
      </c>
      <c r="K13" s="272"/>
    </row>
    <row r="14" spans="1:11" ht="15.5">
      <c r="A14" s="264">
        <v>12</v>
      </c>
      <c r="B14" s="264" t="s">
        <v>146</v>
      </c>
      <c r="C14" s="271" t="s">
        <v>337</v>
      </c>
      <c r="D14" s="264" t="s">
        <v>21</v>
      </c>
      <c r="E14" s="264"/>
      <c r="F14" s="269">
        <v>136.63200000000001</v>
      </c>
      <c r="G14" s="269">
        <f t="shared" si="0"/>
        <v>0</v>
      </c>
      <c r="H14" s="269">
        <v>136.63200000000001</v>
      </c>
      <c r="I14" s="269">
        <v>136.63200000000001</v>
      </c>
      <c r="J14" s="269">
        <v>136.63200000000001</v>
      </c>
      <c r="K14" s="272"/>
    </row>
    <row r="15" spans="1:11" ht="25.5" customHeight="1">
      <c r="A15" s="267">
        <v>13</v>
      </c>
      <c r="B15" s="264" t="s">
        <v>147</v>
      </c>
      <c r="C15" s="271" t="s">
        <v>338</v>
      </c>
      <c r="D15" s="264" t="s">
        <v>0</v>
      </c>
      <c r="E15" s="264"/>
      <c r="F15" s="269">
        <v>16.744</v>
      </c>
      <c r="G15" s="269">
        <f t="shared" si="0"/>
        <v>0</v>
      </c>
      <c r="H15" s="269">
        <v>16.744</v>
      </c>
      <c r="I15" s="269">
        <v>16.744</v>
      </c>
      <c r="J15" s="269">
        <v>16.744</v>
      </c>
      <c r="K15" s="272"/>
    </row>
    <row r="16" spans="1:11" ht="15.5">
      <c r="A16" s="264">
        <v>14</v>
      </c>
      <c r="B16" s="264" t="s">
        <v>122</v>
      </c>
      <c r="C16" s="268" t="s">
        <v>339</v>
      </c>
      <c r="D16" s="264" t="s">
        <v>9</v>
      </c>
      <c r="E16" s="272"/>
      <c r="F16" s="269">
        <v>75.225999999999999</v>
      </c>
      <c r="G16" s="269">
        <f t="shared" si="0"/>
        <v>0</v>
      </c>
      <c r="H16" s="269">
        <v>75.225999999999999</v>
      </c>
      <c r="I16" s="269">
        <v>75.225999999999999</v>
      </c>
      <c r="J16" s="269">
        <v>75.225999999999999</v>
      </c>
      <c r="K16" s="272"/>
    </row>
    <row r="17" spans="1:13" ht="25.5" customHeight="1">
      <c r="A17" s="267">
        <v>15</v>
      </c>
      <c r="B17" s="272" t="s">
        <v>340</v>
      </c>
      <c r="C17" s="268" t="s">
        <v>341</v>
      </c>
      <c r="D17" s="272" t="s">
        <v>9</v>
      </c>
      <c r="E17" s="272"/>
      <c r="F17" s="269">
        <v>15.51</v>
      </c>
      <c r="G17" s="269">
        <f t="shared" si="0"/>
        <v>0</v>
      </c>
      <c r="H17" s="269">
        <v>15.51</v>
      </c>
      <c r="I17" s="269">
        <v>15.51</v>
      </c>
      <c r="J17" s="269">
        <v>15.51</v>
      </c>
      <c r="K17" s="272"/>
      <c r="M17" s="281">
        <v>21753240.973000001</v>
      </c>
    </row>
    <row r="18" spans="1:13" ht="25.5" customHeight="1">
      <c r="A18" s="264">
        <v>16</v>
      </c>
      <c r="B18" s="272" t="s">
        <v>137</v>
      </c>
      <c r="C18" s="268" t="s">
        <v>342</v>
      </c>
      <c r="D18" s="272" t="s">
        <v>9</v>
      </c>
      <c r="E18" s="272"/>
      <c r="F18" s="269">
        <v>15.51</v>
      </c>
      <c r="G18" s="269">
        <f t="shared" si="0"/>
        <v>0</v>
      </c>
      <c r="H18" s="269">
        <v>15.51</v>
      </c>
      <c r="I18" s="269">
        <v>15.51</v>
      </c>
      <c r="J18" s="269">
        <v>15.51</v>
      </c>
      <c r="K18" s="272"/>
      <c r="M18" s="265">
        <f>M17/100000</f>
        <v>217.53240973000001</v>
      </c>
    </row>
    <row r="19" spans="1:13" ht="25.5" customHeight="1">
      <c r="A19" s="267">
        <v>17</v>
      </c>
      <c r="B19" s="273" t="s">
        <v>160</v>
      </c>
      <c r="C19" s="268" t="s">
        <v>343</v>
      </c>
      <c r="D19" s="272" t="s">
        <v>199</v>
      </c>
      <c r="E19" s="272"/>
      <c r="F19" s="269">
        <v>842.4</v>
      </c>
      <c r="G19" s="269">
        <f t="shared" si="0"/>
        <v>0</v>
      </c>
      <c r="H19" s="269">
        <v>842.4</v>
      </c>
      <c r="I19" s="269">
        <v>842.4</v>
      </c>
      <c r="J19" s="269">
        <v>842.4</v>
      </c>
      <c r="K19" s="272"/>
    </row>
    <row r="20" spans="1:13" ht="25.5" customHeight="1">
      <c r="A20" s="264">
        <v>18</v>
      </c>
      <c r="B20" s="270" t="s">
        <v>95</v>
      </c>
      <c r="C20" s="268" t="s">
        <v>344</v>
      </c>
      <c r="D20" s="272" t="s">
        <v>199</v>
      </c>
      <c r="E20" s="272"/>
      <c r="F20" s="269">
        <v>22.744</v>
      </c>
      <c r="G20" s="269">
        <f t="shared" si="0"/>
        <v>0</v>
      </c>
      <c r="H20" s="269">
        <v>22.744</v>
      </c>
      <c r="I20" s="269">
        <v>22.744</v>
      </c>
      <c r="J20" s="269">
        <v>22.744</v>
      </c>
      <c r="K20" s="272"/>
    </row>
    <row r="21" spans="1:13" ht="25.5" customHeight="1">
      <c r="A21" s="267">
        <v>19</v>
      </c>
      <c r="B21" s="273" t="s">
        <v>154</v>
      </c>
      <c r="C21" s="268" t="s">
        <v>345</v>
      </c>
      <c r="D21" s="272" t="s">
        <v>199</v>
      </c>
      <c r="E21" s="272"/>
      <c r="F21" s="269">
        <v>165.29400000000001</v>
      </c>
      <c r="G21" s="269">
        <f t="shared" si="0"/>
        <v>0</v>
      </c>
      <c r="H21" s="269">
        <v>165.29400000000001</v>
      </c>
      <c r="I21" s="269">
        <v>165.29400000000001</v>
      </c>
      <c r="J21" s="269">
        <v>165.29400000000001</v>
      </c>
      <c r="K21" s="272"/>
    </row>
    <row r="22" spans="1:13" ht="25.5" customHeight="1">
      <c r="A22" s="264">
        <v>20</v>
      </c>
      <c r="B22" s="273" t="s">
        <v>299</v>
      </c>
      <c r="C22" s="268" t="s">
        <v>346</v>
      </c>
      <c r="D22" s="272" t="s">
        <v>195</v>
      </c>
      <c r="E22" s="272"/>
      <c r="F22" s="269">
        <v>1</v>
      </c>
      <c r="G22" s="269">
        <f t="shared" si="0"/>
        <v>0</v>
      </c>
      <c r="H22" s="269">
        <v>1</v>
      </c>
      <c r="I22" s="269">
        <v>1</v>
      </c>
      <c r="J22" s="269">
        <v>1</v>
      </c>
      <c r="K22" s="272"/>
    </row>
    <row r="23" spans="1:13" ht="25.5" customHeight="1">
      <c r="A23" s="267">
        <v>21</v>
      </c>
      <c r="B23" s="273" t="s">
        <v>303</v>
      </c>
      <c r="C23" s="268" t="s">
        <v>347</v>
      </c>
      <c r="D23" s="272" t="s">
        <v>199</v>
      </c>
      <c r="E23" s="272"/>
      <c r="F23" s="269">
        <v>1</v>
      </c>
      <c r="G23" s="269">
        <f t="shared" si="0"/>
        <v>0</v>
      </c>
      <c r="H23" s="269">
        <v>1</v>
      </c>
      <c r="I23" s="269">
        <v>1</v>
      </c>
      <c r="J23" s="269">
        <v>1</v>
      </c>
      <c r="K23" s="272"/>
    </row>
    <row r="24" spans="1:13" ht="25.5" customHeight="1">
      <c r="A24" s="264">
        <v>22</v>
      </c>
      <c r="B24" s="273" t="s">
        <v>293</v>
      </c>
      <c r="C24" s="268" t="s">
        <v>348</v>
      </c>
      <c r="D24" s="272" t="s">
        <v>199</v>
      </c>
      <c r="E24" s="272"/>
      <c r="F24" s="269">
        <v>2</v>
      </c>
      <c r="G24" s="269">
        <f t="shared" si="0"/>
        <v>0</v>
      </c>
      <c r="H24" s="269">
        <v>2</v>
      </c>
      <c r="I24" s="269">
        <v>2</v>
      </c>
      <c r="J24" s="269">
        <v>2</v>
      </c>
      <c r="K24" s="272"/>
    </row>
    <row r="25" spans="1:13" ht="25.5" customHeight="1">
      <c r="A25" s="267">
        <v>23</v>
      </c>
      <c r="B25" s="273" t="s">
        <v>349</v>
      </c>
      <c r="C25" s="268"/>
      <c r="D25" s="272" t="s">
        <v>199</v>
      </c>
      <c r="E25" s="272"/>
      <c r="F25" s="269">
        <v>1</v>
      </c>
      <c r="G25" s="269">
        <f t="shared" si="0"/>
        <v>0</v>
      </c>
      <c r="H25" s="269">
        <v>1</v>
      </c>
      <c r="I25" s="269">
        <v>1</v>
      </c>
      <c r="J25" s="269">
        <v>1</v>
      </c>
      <c r="K25" s="272"/>
      <c r="M25" s="282">
        <v>17744329.895</v>
      </c>
    </row>
    <row r="26" spans="1:13" ht="25.5" customHeight="1">
      <c r="A26" s="264">
        <v>24</v>
      </c>
      <c r="B26" s="273" t="s">
        <v>250</v>
      </c>
      <c r="C26" s="268" t="s">
        <v>350</v>
      </c>
      <c r="D26" s="272" t="s">
        <v>9</v>
      </c>
      <c r="E26" s="272"/>
      <c r="F26" s="269">
        <v>618</v>
      </c>
      <c r="G26" s="269">
        <f t="shared" si="0"/>
        <v>0</v>
      </c>
      <c r="H26" s="269">
        <v>618</v>
      </c>
      <c r="I26" s="269">
        <v>618</v>
      </c>
      <c r="J26" s="269">
        <v>618</v>
      </c>
      <c r="K26" s="272"/>
      <c r="M26" s="265">
        <f>M25/5</f>
        <v>3548865.9789999998</v>
      </c>
    </row>
    <row r="27" spans="1:13" ht="25.5" customHeight="1">
      <c r="A27" s="267">
        <v>25</v>
      </c>
      <c r="B27" s="273" t="s">
        <v>351</v>
      </c>
      <c r="C27" s="273" t="s">
        <v>352</v>
      </c>
      <c r="D27" s="274" t="s">
        <v>9</v>
      </c>
      <c r="E27" s="272"/>
      <c r="F27" s="269">
        <v>173.25</v>
      </c>
      <c r="G27" s="269">
        <f t="shared" si="0"/>
        <v>0</v>
      </c>
      <c r="H27" s="269">
        <v>173.25</v>
      </c>
      <c r="I27" s="269">
        <v>173.25</v>
      </c>
      <c r="J27" s="269">
        <v>173.25</v>
      </c>
      <c r="K27" s="272"/>
      <c r="M27" s="265">
        <f>M26/100000</f>
        <v>35.48865979</v>
      </c>
    </row>
    <row r="28" spans="1:13" ht="25.5" customHeight="1">
      <c r="A28" s="264">
        <v>26</v>
      </c>
      <c r="B28" s="273" t="s">
        <v>32</v>
      </c>
      <c r="C28" s="273"/>
      <c r="D28" s="275" t="s">
        <v>353</v>
      </c>
      <c r="E28" s="272"/>
      <c r="F28" s="269">
        <v>309</v>
      </c>
      <c r="G28" s="269">
        <f t="shared" si="0"/>
        <v>0</v>
      </c>
      <c r="H28" s="269">
        <v>309</v>
      </c>
      <c r="I28" s="269">
        <v>309</v>
      </c>
      <c r="J28" s="269">
        <v>309</v>
      </c>
      <c r="K28" s="272"/>
    </row>
    <row r="29" spans="1:13" ht="18.5">
      <c r="A29" s="267">
        <v>27</v>
      </c>
      <c r="B29" s="273" t="s">
        <v>256</v>
      </c>
      <c r="C29" s="264"/>
      <c r="D29" s="275" t="s">
        <v>354</v>
      </c>
      <c r="E29" s="274"/>
      <c r="F29" s="269">
        <v>86.626000000000005</v>
      </c>
      <c r="G29" s="269">
        <f t="shared" si="0"/>
        <v>0</v>
      </c>
      <c r="H29" s="269">
        <v>86.626000000000005</v>
      </c>
      <c r="I29" s="269">
        <v>86.626000000000005</v>
      </c>
      <c r="J29" s="269">
        <v>86.626000000000005</v>
      </c>
      <c r="K29" s="272"/>
    </row>
    <row r="30" spans="1:13" ht="27" customHeight="1">
      <c r="A30" s="264">
        <v>28</v>
      </c>
      <c r="B30" s="273" t="s">
        <v>43</v>
      </c>
      <c r="C30" s="264"/>
      <c r="D30" s="275" t="s">
        <v>9</v>
      </c>
      <c r="E30" s="274"/>
      <c r="F30" s="269">
        <v>618</v>
      </c>
      <c r="G30" s="269">
        <f t="shared" si="0"/>
        <v>0</v>
      </c>
      <c r="H30" s="269">
        <v>618</v>
      </c>
      <c r="I30" s="269">
        <v>618</v>
      </c>
      <c r="J30" s="269">
        <v>618</v>
      </c>
      <c r="K30" s="272"/>
    </row>
    <row r="31" spans="1:13" ht="22.5" customHeight="1">
      <c r="A31" s="267">
        <v>29</v>
      </c>
      <c r="B31" s="273" t="s">
        <v>355</v>
      </c>
      <c r="C31" s="273" t="s">
        <v>356</v>
      </c>
      <c r="D31" s="275" t="s">
        <v>9</v>
      </c>
      <c r="E31" s="274"/>
      <c r="F31" s="269">
        <v>1400</v>
      </c>
      <c r="G31" s="269">
        <f t="shared" si="0"/>
        <v>0</v>
      </c>
      <c r="H31" s="269">
        <v>1400</v>
      </c>
      <c r="I31" s="269">
        <v>1400</v>
      </c>
      <c r="J31" s="269">
        <v>1400</v>
      </c>
      <c r="K31" s="272"/>
    </row>
    <row r="32" spans="1:13" ht="24.75" customHeight="1">
      <c r="A32" s="264">
        <v>30</v>
      </c>
      <c r="B32" s="273" t="s">
        <v>123</v>
      </c>
      <c r="C32" s="264" t="s">
        <v>357</v>
      </c>
      <c r="D32" s="275" t="s">
        <v>9</v>
      </c>
      <c r="E32" s="274"/>
      <c r="F32" s="269">
        <v>47.113999999999997</v>
      </c>
      <c r="G32" s="269">
        <f t="shared" si="0"/>
        <v>0</v>
      </c>
      <c r="H32" s="269">
        <v>47.113999999999997</v>
      </c>
      <c r="I32" s="269">
        <v>47.113999999999997</v>
      </c>
      <c r="J32" s="269">
        <v>47.113999999999997</v>
      </c>
      <c r="K32" s="272"/>
    </row>
    <row r="33" spans="1:11" ht="18.5">
      <c r="A33" s="267">
        <v>31</v>
      </c>
      <c r="B33" s="273" t="s">
        <v>358</v>
      </c>
      <c r="C33" s="264" t="s">
        <v>359</v>
      </c>
      <c r="D33" s="275" t="s">
        <v>9</v>
      </c>
      <c r="E33" s="274"/>
      <c r="F33" s="269">
        <v>753.73800000000006</v>
      </c>
      <c r="G33" s="269">
        <f t="shared" si="0"/>
        <v>0</v>
      </c>
      <c r="H33" s="269">
        <v>753.73800000000006</v>
      </c>
      <c r="I33" s="269">
        <v>753.73800000000006</v>
      </c>
      <c r="J33" s="269">
        <v>753.73800000000006</v>
      </c>
      <c r="K33" s="272"/>
    </row>
    <row r="34" spans="1:11" ht="18.5">
      <c r="A34" s="267"/>
      <c r="B34" s="273" t="s">
        <v>28</v>
      </c>
      <c r="C34" s="264" t="s">
        <v>360</v>
      </c>
      <c r="D34" s="272" t="s">
        <v>21</v>
      </c>
      <c r="E34" s="274"/>
      <c r="F34" s="269">
        <v>495</v>
      </c>
      <c r="G34" s="269">
        <f t="shared" si="0"/>
        <v>0</v>
      </c>
      <c r="H34" s="269">
        <v>495</v>
      </c>
      <c r="I34" s="269">
        <v>495</v>
      </c>
      <c r="J34" s="269">
        <v>495</v>
      </c>
      <c r="K34" s="272"/>
    </row>
    <row r="35" spans="1:11" ht="18.5">
      <c r="A35" s="267"/>
      <c r="B35" s="273"/>
      <c r="C35" s="264"/>
      <c r="D35" s="272"/>
      <c r="E35" s="274"/>
      <c r="F35" s="269"/>
      <c r="G35" s="276"/>
      <c r="H35" s="269"/>
      <c r="I35" s="276"/>
      <c r="J35" s="269"/>
    </row>
    <row r="36" spans="1:11" ht="15.5">
      <c r="A36" s="360" t="s">
        <v>361</v>
      </c>
      <c r="B36" s="360"/>
      <c r="C36" s="360"/>
      <c r="D36" s="360"/>
      <c r="E36" s="360"/>
      <c r="F36" s="277"/>
      <c r="G36" s="278"/>
      <c r="H36" s="279"/>
      <c r="I36" s="277"/>
      <c r="J36" s="279"/>
    </row>
    <row r="37" spans="1:11">
      <c r="I37" s="280"/>
    </row>
  </sheetData>
  <mergeCells count="1">
    <mergeCell ref="A36:E36"/>
  </mergeCells>
  <pageMargins left="0.25" right="0.5" top="0.75" bottom="0.75" header="0.3" footer="0.3"/>
  <pageSetup paperSize="9" scale="9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7"/>
  <sheetViews>
    <sheetView topLeftCell="A13" zoomScale="130" zoomScaleNormal="130" workbookViewId="0">
      <selection activeCell="I26" sqref="I26"/>
    </sheetView>
  </sheetViews>
  <sheetFormatPr defaultRowHeight="12.5"/>
  <cols>
    <col min="1" max="1" width="8.7265625" style="361"/>
    <col min="9" max="9" width="12.453125" bestFit="1" customWidth="1"/>
  </cols>
  <sheetData>
    <row r="1" spans="1:10">
      <c r="A1" s="361">
        <v>1</v>
      </c>
      <c r="B1" t="s">
        <v>34</v>
      </c>
      <c r="C1" t="s">
        <v>34</v>
      </c>
      <c r="D1" t="s">
        <v>33</v>
      </c>
      <c r="E1" t="s">
        <v>362</v>
      </c>
      <c r="F1">
        <v>27</v>
      </c>
      <c r="G1">
        <v>599.95799999999997</v>
      </c>
      <c r="H1" t="s">
        <v>363</v>
      </c>
      <c r="I1" s="364">
        <v>16198.866</v>
      </c>
      <c r="J1" s="363" t="s">
        <v>400</v>
      </c>
    </row>
    <row r="2" spans="1:10">
      <c r="A2" s="361">
        <v>2</v>
      </c>
      <c r="B2" t="s">
        <v>38</v>
      </c>
      <c r="C2" t="s">
        <v>38</v>
      </c>
      <c r="D2" t="s">
        <v>39</v>
      </c>
      <c r="E2" t="s">
        <v>362</v>
      </c>
      <c r="F2">
        <v>41</v>
      </c>
      <c r="G2">
        <v>44.996000000000002</v>
      </c>
      <c r="H2" t="s">
        <v>364</v>
      </c>
      <c r="I2" s="364">
        <v>1844.836</v>
      </c>
      <c r="J2" s="363" t="s">
        <v>400</v>
      </c>
    </row>
    <row r="3" spans="1:10">
      <c r="A3" s="361">
        <v>3</v>
      </c>
      <c r="B3" t="s">
        <v>40</v>
      </c>
      <c r="C3" t="s">
        <v>40</v>
      </c>
      <c r="D3" t="s">
        <v>41</v>
      </c>
      <c r="E3" t="s">
        <v>22</v>
      </c>
      <c r="F3">
        <v>158040</v>
      </c>
      <c r="G3">
        <v>1.9990000000000001</v>
      </c>
      <c r="H3" t="s">
        <v>365</v>
      </c>
      <c r="I3" s="364">
        <v>315921.96000000002</v>
      </c>
      <c r="J3" s="363" t="s">
        <v>400</v>
      </c>
    </row>
    <row r="4" spans="1:10">
      <c r="A4" s="361">
        <v>4</v>
      </c>
      <c r="B4" t="s">
        <v>30</v>
      </c>
      <c r="C4" t="s">
        <v>30</v>
      </c>
      <c r="D4" t="s">
        <v>31</v>
      </c>
      <c r="E4" t="s">
        <v>8</v>
      </c>
      <c r="F4">
        <v>264</v>
      </c>
      <c r="G4">
        <v>290.45400000000001</v>
      </c>
      <c r="H4" t="s">
        <v>366</v>
      </c>
      <c r="I4" s="364">
        <v>76679.856</v>
      </c>
      <c r="J4" s="363" t="s">
        <v>400</v>
      </c>
    </row>
    <row r="5" spans="1:10">
      <c r="A5" s="361">
        <v>5</v>
      </c>
      <c r="B5" t="s">
        <v>188</v>
      </c>
      <c r="C5" t="s">
        <v>188</v>
      </c>
      <c r="D5" t="s">
        <v>189</v>
      </c>
      <c r="E5" t="s">
        <v>8</v>
      </c>
      <c r="F5">
        <v>12500</v>
      </c>
      <c r="G5">
        <v>234.98699999999999</v>
      </c>
      <c r="H5" t="s">
        <v>367</v>
      </c>
      <c r="I5" s="364">
        <v>2937337.5</v>
      </c>
      <c r="J5" s="363" t="s">
        <v>400</v>
      </c>
    </row>
    <row r="6" spans="1:10">
      <c r="A6" s="361">
        <v>6</v>
      </c>
      <c r="B6" t="s">
        <v>105</v>
      </c>
      <c r="C6" t="s">
        <v>105</v>
      </c>
      <c r="D6" t="s">
        <v>106</v>
      </c>
      <c r="E6" t="s">
        <v>22</v>
      </c>
      <c r="F6">
        <v>5000</v>
      </c>
      <c r="G6">
        <v>39.996000000000002</v>
      </c>
      <c r="H6" t="s">
        <v>368</v>
      </c>
      <c r="I6" s="364">
        <v>199980</v>
      </c>
      <c r="J6" s="363" t="s">
        <v>400</v>
      </c>
    </row>
    <row r="7" spans="1:10">
      <c r="A7" s="361">
        <v>7</v>
      </c>
      <c r="B7" t="s">
        <v>190</v>
      </c>
      <c r="C7" t="s">
        <v>190</v>
      </c>
      <c r="D7" t="s">
        <v>369</v>
      </c>
      <c r="E7" t="s">
        <v>22</v>
      </c>
      <c r="F7">
        <v>3751.2</v>
      </c>
      <c r="G7">
        <v>69.994</v>
      </c>
      <c r="H7" t="s">
        <v>370</v>
      </c>
      <c r="I7" s="364">
        <v>262561.49300000002</v>
      </c>
      <c r="J7" s="363" t="s">
        <v>400</v>
      </c>
    </row>
    <row r="8" spans="1:10">
      <c r="A8" s="361">
        <v>8</v>
      </c>
      <c r="B8" t="s">
        <v>80</v>
      </c>
      <c r="C8" t="s">
        <v>80</v>
      </c>
      <c r="D8" t="s">
        <v>81</v>
      </c>
      <c r="E8" t="s">
        <v>21</v>
      </c>
      <c r="F8">
        <v>15000</v>
      </c>
      <c r="G8">
        <v>139.98699999999999</v>
      </c>
      <c r="H8" t="s">
        <v>371</v>
      </c>
      <c r="I8" s="364">
        <v>2099805</v>
      </c>
      <c r="J8" s="363" t="s">
        <v>400</v>
      </c>
    </row>
    <row r="9" spans="1:10">
      <c r="A9" s="361">
        <v>9</v>
      </c>
      <c r="B9" t="s">
        <v>82</v>
      </c>
      <c r="C9" t="s">
        <v>82</v>
      </c>
      <c r="D9" t="s">
        <v>372</v>
      </c>
      <c r="E9" t="s">
        <v>9</v>
      </c>
      <c r="F9">
        <v>50712.76</v>
      </c>
      <c r="G9">
        <v>309.97199999999998</v>
      </c>
      <c r="H9" t="s">
        <v>373</v>
      </c>
      <c r="I9" s="364">
        <v>15719535.642999999</v>
      </c>
      <c r="J9" s="363" t="s">
        <v>400</v>
      </c>
    </row>
    <row r="10" spans="1:10">
      <c r="A10" s="361">
        <v>10</v>
      </c>
      <c r="B10" t="s">
        <v>84</v>
      </c>
      <c r="C10" t="s">
        <v>84</v>
      </c>
      <c r="D10" t="s">
        <v>85</v>
      </c>
      <c r="E10" t="s">
        <v>9</v>
      </c>
      <c r="F10">
        <v>50712.76</v>
      </c>
      <c r="G10">
        <v>141.98699999999999</v>
      </c>
      <c r="H10" t="s">
        <v>374</v>
      </c>
      <c r="I10" s="364">
        <v>7200552.6540000001</v>
      </c>
      <c r="J10" s="363" t="s">
        <v>400</v>
      </c>
    </row>
    <row r="11" spans="1:10">
      <c r="A11" s="361">
        <v>11</v>
      </c>
      <c r="B11" t="s">
        <v>32</v>
      </c>
      <c r="C11" t="s">
        <v>32</v>
      </c>
      <c r="D11" t="s">
        <v>375</v>
      </c>
      <c r="E11" t="s">
        <v>376</v>
      </c>
      <c r="F11">
        <v>50712.76</v>
      </c>
      <c r="G11">
        <v>19.998000000000001</v>
      </c>
      <c r="H11" t="s">
        <v>377</v>
      </c>
      <c r="I11" s="364">
        <v>1014153.774</v>
      </c>
      <c r="J11" s="363" t="s">
        <v>400</v>
      </c>
    </row>
    <row r="12" spans="1:10">
      <c r="A12" s="361">
        <v>12</v>
      </c>
      <c r="B12" t="s">
        <v>86</v>
      </c>
      <c r="C12" t="s">
        <v>86</v>
      </c>
      <c r="D12" t="s">
        <v>378</v>
      </c>
      <c r="E12" t="s">
        <v>9</v>
      </c>
      <c r="F12">
        <v>101425.52</v>
      </c>
      <c r="G12">
        <v>119.989</v>
      </c>
      <c r="H12" t="s">
        <v>379</v>
      </c>
      <c r="I12" s="364">
        <v>12169946.719000001</v>
      </c>
      <c r="J12" s="363" t="s">
        <v>400</v>
      </c>
    </row>
    <row r="13" spans="1:10">
      <c r="A13" s="361">
        <v>13</v>
      </c>
      <c r="B13" t="s">
        <v>43</v>
      </c>
      <c r="C13" t="s">
        <v>43</v>
      </c>
      <c r="D13" t="s">
        <v>44</v>
      </c>
      <c r="E13" t="s">
        <v>9</v>
      </c>
      <c r="F13">
        <v>152138.26999999999</v>
      </c>
      <c r="G13">
        <v>4.9989999999999997</v>
      </c>
      <c r="H13" t="s">
        <v>380</v>
      </c>
      <c r="I13" s="364">
        <v>760539.21200000006</v>
      </c>
      <c r="J13" s="363" t="s">
        <v>400</v>
      </c>
    </row>
    <row r="14" spans="1:10">
      <c r="A14" s="361">
        <v>14</v>
      </c>
      <c r="B14" t="s">
        <v>28</v>
      </c>
      <c r="C14" t="s">
        <v>28</v>
      </c>
      <c r="D14" t="s">
        <v>29</v>
      </c>
      <c r="E14" t="s">
        <v>21</v>
      </c>
      <c r="F14">
        <v>242672.5</v>
      </c>
      <c r="G14">
        <v>5.9989999999999997</v>
      </c>
      <c r="H14" t="s">
        <v>381</v>
      </c>
      <c r="I14" s="364">
        <v>1455792.328</v>
      </c>
      <c r="J14" s="363" t="s">
        <v>400</v>
      </c>
    </row>
    <row r="15" spans="1:10">
      <c r="A15" s="361">
        <v>15</v>
      </c>
      <c r="B15" t="s">
        <v>145</v>
      </c>
      <c r="C15" t="s">
        <v>146</v>
      </c>
      <c r="D15" t="s">
        <v>382</v>
      </c>
      <c r="E15" t="s">
        <v>21</v>
      </c>
      <c r="F15">
        <v>17.05</v>
      </c>
      <c r="G15">
        <v>849.92399999999998</v>
      </c>
      <c r="H15" t="s">
        <v>383</v>
      </c>
      <c r="I15" s="364">
        <v>14491.204</v>
      </c>
      <c r="J15" s="363" t="s">
        <v>400</v>
      </c>
    </row>
    <row r="16" spans="1:10">
      <c r="A16" s="361">
        <v>16</v>
      </c>
      <c r="B16" t="s">
        <v>149</v>
      </c>
      <c r="C16" t="s">
        <v>150</v>
      </c>
      <c r="D16" t="s">
        <v>384</v>
      </c>
      <c r="E16" t="s">
        <v>108</v>
      </c>
      <c r="F16">
        <v>97.68</v>
      </c>
      <c r="G16">
        <v>84.992000000000004</v>
      </c>
      <c r="H16" t="s">
        <v>385</v>
      </c>
      <c r="I16" s="364">
        <v>8302.0190000000002</v>
      </c>
      <c r="J16" s="363" t="s">
        <v>400</v>
      </c>
    </row>
    <row r="17" spans="1:10">
      <c r="A17" s="361">
        <v>17</v>
      </c>
      <c r="B17" t="s">
        <v>151</v>
      </c>
      <c r="C17" t="s">
        <v>151</v>
      </c>
      <c r="D17" t="s">
        <v>386</v>
      </c>
      <c r="E17" t="s">
        <v>108</v>
      </c>
      <c r="F17">
        <v>16.95</v>
      </c>
      <c r="G17">
        <v>84.992000000000004</v>
      </c>
      <c r="H17" t="s">
        <v>385</v>
      </c>
      <c r="I17" s="364">
        <v>1440.614</v>
      </c>
      <c r="J17" s="363" t="s">
        <v>400</v>
      </c>
    </row>
    <row r="18" spans="1:10">
      <c r="A18" s="361">
        <v>18</v>
      </c>
      <c r="B18" t="s">
        <v>156</v>
      </c>
      <c r="C18" t="s">
        <v>156</v>
      </c>
      <c r="D18" t="s">
        <v>387</v>
      </c>
      <c r="E18" t="s">
        <v>9</v>
      </c>
      <c r="F18">
        <v>17.05</v>
      </c>
      <c r="G18">
        <v>14998.648999999999</v>
      </c>
      <c r="H18" t="s">
        <v>388</v>
      </c>
      <c r="I18" s="364">
        <v>255726.965</v>
      </c>
      <c r="J18" s="363" t="s">
        <v>400</v>
      </c>
    </row>
    <row r="19" spans="1:10">
      <c r="A19" s="361">
        <v>19</v>
      </c>
      <c r="B19" t="s">
        <v>389</v>
      </c>
      <c r="C19" t="s">
        <v>389</v>
      </c>
      <c r="D19" t="s">
        <v>77</v>
      </c>
      <c r="E19" t="s">
        <v>72</v>
      </c>
      <c r="F19">
        <v>1</v>
      </c>
      <c r="G19">
        <v>966963.81499999994</v>
      </c>
      <c r="H19" t="s">
        <v>390</v>
      </c>
      <c r="I19" s="364">
        <v>966963.81499999994</v>
      </c>
      <c r="J19" s="363" t="s">
        <v>104</v>
      </c>
    </row>
    <row r="20" spans="1:10">
      <c r="A20" s="361">
        <v>20</v>
      </c>
      <c r="B20" t="s">
        <v>389</v>
      </c>
      <c r="C20" t="s">
        <v>389</v>
      </c>
      <c r="D20" t="s">
        <v>391</v>
      </c>
      <c r="E20" t="s">
        <v>101</v>
      </c>
      <c r="F20">
        <v>60</v>
      </c>
      <c r="G20">
        <v>2497.6350000000002</v>
      </c>
      <c r="H20" t="s">
        <v>392</v>
      </c>
      <c r="I20" s="364">
        <v>149858.1</v>
      </c>
      <c r="J20" s="363" t="s">
        <v>104</v>
      </c>
    </row>
    <row r="21" spans="1:10">
      <c r="A21" s="361">
        <v>21</v>
      </c>
      <c r="B21" t="s">
        <v>389</v>
      </c>
      <c r="C21" t="s">
        <v>389</v>
      </c>
      <c r="D21" t="s">
        <v>75</v>
      </c>
      <c r="E21" t="s">
        <v>72</v>
      </c>
      <c r="F21">
        <v>1</v>
      </c>
      <c r="G21">
        <v>112333.989</v>
      </c>
      <c r="H21" t="s">
        <v>393</v>
      </c>
      <c r="I21" s="364">
        <v>112333.989</v>
      </c>
      <c r="J21" s="363" t="s">
        <v>104</v>
      </c>
    </row>
    <row r="22" spans="1:10">
      <c r="A22" s="361">
        <v>22</v>
      </c>
      <c r="B22" t="s">
        <v>389</v>
      </c>
      <c r="C22" t="s">
        <v>389</v>
      </c>
      <c r="D22" t="s">
        <v>394</v>
      </c>
      <c r="E22" t="s">
        <v>72</v>
      </c>
      <c r="F22">
        <v>1</v>
      </c>
      <c r="G22">
        <v>111138.947</v>
      </c>
      <c r="H22" t="s">
        <v>395</v>
      </c>
      <c r="I22" s="364">
        <v>111138.947</v>
      </c>
      <c r="J22" s="363" t="s">
        <v>104</v>
      </c>
    </row>
    <row r="23" spans="1:10">
      <c r="A23" s="361">
        <v>23</v>
      </c>
      <c r="B23" t="s">
        <v>389</v>
      </c>
      <c r="C23" t="s">
        <v>389</v>
      </c>
      <c r="D23" t="s">
        <v>396</v>
      </c>
      <c r="E23" t="s">
        <v>72</v>
      </c>
      <c r="F23">
        <v>1</v>
      </c>
      <c r="G23">
        <v>92018.267999999996</v>
      </c>
      <c r="H23" t="s">
        <v>397</v>
      </c>
      <c r="I23" s="364">
        <v>92018.267999999996</v>
      </c>
      <c r="J23" s="363" t="s">
        <v>104</v>
      </c>
    </row>
    <row r="24" spans="1:10">
      <c r="A24" s="361">
        <v>24</v>
      </c>
      <c r="B24" t="s">
        <v>389</v>
      </c>
      <c r="C24" t="s">
        <v>389</v>
      </c>
      <c r="D24" t="s">
        <v>398</v>
      </c>
      <c r="E24" t="s">
        <v>72</v>
      </c>
      <c r="F24">
        <v>1</v>
      </c>
      <c r="G24">
        <v>110898.327</v>
      </c>
      <c r="H24" t="s">
        <v>399</v>
      </c>
      <c r="I24" s="364">
        <v>110898.327</v>
      </c>
      <c r="J24" s="363" t="s">
        <v>104</v>
      </c>
    </row>
    <row r="26" spans="1:10">
      <c r="E26" s="362" t="s">
        <v>104</v>
      </c>
      <c r="F26" s="362" t="s">
        <v>401</v>
      </c>
      <c r="I26" s="364">
        <f>SUMIF(J1:J24,E26,I1:I24)</f>
        <v>1543211.446</v>
      </c>
    </row>
    <row r="27" spans="1:10">
      <c r="E27" s="362" t="s">
        <v>400</v>
      </c>
      <c r="F27" s="362" t="s">
        <v>402</v>
      </c>
      <c r="I27" s="364">
        <f>SUMIF(J1:J24,E27,I1:I24)</f>
        <v>44510810.643000007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E0A47-9D6A-48AF-9A09-07CF1EC5364D}">
  <dimension ref="A1:I11"/>
  <sheetViews>
    <sheetView zoomScale="175" zoomScaleNormal="175" workbookViewId="0">
      <selection activeCell="I11" sqref="I11"/>
    </sheetView>
  </sheetViews>
  <sheetFormatPr defaultRowHeight="12.5"/>
  <cols>
    <col min="9" max="9" width="11.453125" bestFit="1" customWidth="1"/>
  </cols>
  <sheetData>
    <row r="1" spans="1:9">
      <c r="A1" s="365">
        <v>25</v>
      </c>
      <c r="B1" s="366" t="s">
        <v>56</v>
      </c>
      <c r="C1" s="366" t="s">
        <v>56</v>
      </c>
      <c r="D1" t="s">
        <v>55</v>
      </c>
      <c r="E1" t="s">
        <v>9</v>
      </c>
      <c r="F1" s="361">
        <v>955.5</v>
      </c>
      <c r="G1">
        <v>135.03800000000001</v>
      </c>
      <c r="H1" t="s">
        <v>403</v>
      </c>
      <c r="I1" s="364">
        <v>129028.80899999999</v>
      </c>
    </row>
    <row r="2" spans="1:9">
      <c r="A2" s="365">
        <v>26</v>
      </c>
      <c r="B2" s="366" t="s">
        <v>100</v>
      </c>
      <c r="C2" s="366" t="s">
        <v>100</v>
      </c>
      <c r="D2" t="s">
        <v>404</v>
      </c>
      <c r="E2" t="s">
        <v>21</v>
      </c>
      <c r="F2" s="361">
        <v>1540</v>
      </c>
      <c r="G2">
        <v>11.388999999999999</v>
      </c>
      <c r="H2" t="s">
        <v>405</v>
      </c>
      <c r="I2" s="364">
        <v>17539.060000000001</v>
      </c>
    </row>
    <row r="3" spans="1:9">
      <c r="A3" s="365">
        <v>27</v>
      </c>
      <c r="B3" s="366" t="s">
        <v>62</v>
      </c>
      <c r="C3" s="366" t="s">
        <v>62</v>
      </c>
      <c r="D3" t="s">
        <v>61</v>
      </c>
      <c r="E3" t="s">
        <v>9</v>
      </c>
      <c r="F3" s="361">
        <v>231</v>
      </c>
      <c r="G3">
        <v>733.05399999999997</v>
      </c>
      <c r="H3" t="s">
        <v>406</v>
      </c>
      <c r="I3" s="364">
        <v>169335.47399999999</v>
      </c>
    </row>
    <row r="4" spans="1:9">
      <c r="A4" s="365" t="s">
        <v>407</v>
      </c>
      <c r="B4" s="366" t="s">
        <v>100</v>
      </c>
      <c r="C4" s="366" t="s">
        <v>100</v>
      </c>
      <c r="D4" t="s">
        <v>408</v>
      </c>
      <c r="E4" t="s">
        <v>8</v>
      </c>
      <c r="F4" s="361">
        <v>17111</v>
      </c>
      <c r="G4">
        <v>359.96800000000002</v>
      </c>
      <c r="H4" t="s">
        <v>409</v>
      </c>
      <c r="I4" s="364">
        <v>6159412.4479999999</v>
      </c>
    </row>
    <row r="5" spans="1:9">
      <c r="A5" s="365" t="s">
        <v>410</v>
      </c>
      <c r="B5" s="366" t="s">
        <v>100</v>
      </c>
      <c r="C5" s="366" t="s">
        <v>100</v>
      </c>
      <c r="D5" t="s">
        <v>411</v>
      </c>
      <c r="E5" t="s">
        <v>8</v>
      </c>
      <c r="F5" s="361">
        <v>1100</v>
      </c>
      <c r="G5">
        <v>999.90899999999999</v>
      </c>
      <c r="H5" t="s">
        <v>412</v>
      </c>
      <c r="I5" s="364">
        <v>1099899.8999999999</v>
      </c>
    </row>
    <row r="6" spans="1:9">
      <c r="A6" s="365">
        <v>29</v>
      </c>
      <c r="B6" s="366" t="s">
        <v>67</v>
      </c>
      <c r="C6" s="366" t="s">
        <v>67</v>
      </c>
      <c r="D6" t="s">
        <v>68</v>
      </c>
      <c r="E6" t="s">
        <v>21</v>
      </c>
      <c r="F6" s="361">
        <v>1540</v>
      </c>
      <c r="G6">
        <v>162.45500000000001</v>
      </c>
      <c r="H6" t="s">
        <v>413</v>
      </c>
      <c r="I6" s="364">
        <v>250180.7</v>
      </c>
    </row>
    <row r="7" spans="1:9">
      <c r="A7" s="365" t="s">
        <v>414</v>
      </c>
      <c r="B7" s="366" t="s">
        <v>415</v>
      </c>
      <c r="C7" s="366" t="s">
        <v>95</v>
      </c>
      <c r="D7" t="s">
        <v>416</v>
      </c>
      <c r="E7" t="s">
        <v>9</v>
      </c>
      <c r="F7" s="361">
        <v>275.69</v>
      </c>
      <c r="G7">
        <v>1145.777</v>
      </c>
      <c r="H7" t="s">
        <v>417</v>
      </c>
      <c r="I7" s="364">
        <v>315879.261</v>
      </c>
    </row>
    <row r="8" spans="1:9">
      <c r="A8" s="365" t="s">
        <v>418</v>
      </c>
      <c r="B8" s="366" t="s">
        <v>415</v>
      </c>
      <c r="C8" s="366" t="s">
        <v>70</v>
      </c>
      <c r="D8" t="s">
        <v>99</v>
      </c>
      <c r="E8" t="s">
        <v>9</v>
      </c>
      <c r="F8" s="361">
        <v>275.69</v>
      </c>
      <c r="G8">
        <v>2026.8579999999999</v>
      </c>
      <c r="H8" t="s">
        <v>419</v>
      </c>
      <c r="I8" s="364">
        <v>558784.48199999996</v>
      </c>
    </row>
    <row r="9" spans="1:9">
      <c r="A9" s="365">
        <v>31</v>
      </c>
      <c r="B9" s="366" t="s">
        <v>308</v>
      </c>
      <c r="C9" s="366" t="s">
        <v>308</v>
      </c>
      <c r="D9" t="s">
        <v>420</v>
      </c>
      <c r="E9" t="s">
        <v>72</v>
      </c>
      <c r="F9" s="361">
        <v>1</v>
      </c>
      <c r="G9">
        <v>249977.49900000001</v>
      </c>
      <c r="H9" t="s">
        <v>421</v>
      </c>
      <c r="I9" s="364">
        <v>249977.49900000001</v>
      </c>
    </row>
    <row r="10" spans="1:9">
      <c r="I10" s="361">
        <f>ROUND((SUM(I1:I9)/100000),2)</f>
        <v>89.5</v>
      </c>
    </row>
    <row r="11" spans="1:9">
      <c r="G11" s="362" t="s">
        <v>422</v>
      </c>
      <c r="I11" s="361">
        <f>ROUND(((I4+I5)/100000),2)</f>
        <v>72.59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0FDF3-8591-4071-8B1C-93990DDD8AC4}">
  <dimension ref="A1:I53"/>
  <sheetViews>
    <sheetView topLeftCell="A37" workbookViewId="0">
      <selection activeCell="I53" sqref="I53"/>
    </sheetView>
  </sheetViews>
  <sheetFormatPr defaultRowHeight="12.5"/>
  <cols>
    <col min="9" max="9" width="14.36328125" customWidth="1"/>
  </cols>
  <sheetData>
    <row r="1" spans="1:9">
      <c r="A1">
        <v>0</v>
      </c>
      <c r="B1" t="s">
        <v>272</v>
      </c>
      <c r="C1" t="s">
        <v>272</v>
      </c>
      <c r="D1" t="s">
        <v>423</v>
      </c>
      <c r="E1" t="s">
        <v>362</v>
      </c>
      <c r="F1">
        <v>7</v>
      </c>
      <c r="G1">
        <v>1203.662</v>
      </c>
      <c r="H1" t="s">
        <v>424</v>
      </c>
      <c r="I1" s="367">
        <v>8425.634</v>
      </c>
    </row>
    <row r="2" spans="1:9">
      <c r="A2">
        <v>81</v>
      </c>
      <c r="B2" t="s">
        <v>111</v>
      </c>
      <c r="C2" t="s">
        <v>111</v>
      </c>
      <c r="D2" t="s">
        <v>112</v>
      </c>
      <c r="E2" t="s">
        <v>21</v>
      </c>
      <c r="F2">
        <v>6750</v>
      </c>
      <c r="G2">
        <v>27.718</v>
      </c>
      <c r="H2" t="s">
        <v>425</v>
      </c>
      <c r="I2" s="367">
        <v>187096.5</v>
      </c>
    </row>
    <row r="3" spans="1:9">
      <c r="A3">
        <v>82</v>
      </c>
      <c r="B3" t="s">
        <v>426</v>
      </c>
      <c r="C3" t="s">
        <v>196</v>
      </c>
      <c r="D3" t="s">
        <v>427</v>
      </c>
      <c r="E3" t="s">
        <v>21</v>
      </c>
      <c r="F3">
        <v>29.6</v>
      </c>
      <c r="G3">
        <v>69.534000000000006</v>
      </c>
      <c r="H3" t="s">
        <v>428</v>
      </c>
      <c r="I3" s="367">
        <v>2058.2060000000001</v>
      </c>
    </row>
    <row r="4" spans="1:9">
      <c r="A4">
        <v>83</v>
      </c>
      <c r="B4" t="s">
        <v>115</v>
      </c>
      <c r="C4" t="s">
        <v>115</v>
      </c>
      <c r="D4" t="s">
        <v>429</v>
      </c>
      <c r="E4" t="s">
        <v>199</v>
      </c>
      <c r="F4">
        <v>6</v>
      </c>
      <c r="G4">
        <v>2583.9870000000001</v>
      </c>
      <c r="H4" t="s">
        <v>430</v>
      </c>
      <c r="I4" s="367">
        <v>15503.922</v>
      </c>
    </row>
    <row r="5" spans="1:9">
      <c r="A5">
        <v>84</v>
      </c>
      <c r="B5" t="s">
        <v>431</v>
      </c>
      <c r="C5" t="s">
        <v>120</v>
      </c>
      <c r="D5" t="s">
        <v>432</v>
      </c>
      <c r="E5" t="s">
        <v>8</v>
      </c>
      <c r="F5">
        <v>1250</v>
      </c>
      <c r="G5">
        <v>32.506999999999998</v>
      </c>
      <c r="H5" t="s">
        <v>433</v>
      </c>
      <c r="I5" s="367">
        <v>40633.75</v>
      </c>
    </row>
    <row r="6" spans="1:9">
      <c r="A6">
        <v>85</v>
      </c>
      <c r="B6" t="s">
        <v>434</v>
      </c>
      <c r="C6" t="s">
        <v>119</v>
      </c>
      <c r="D6" t="s">
        <v>435</v>
      </c>
      <c r="E6" t="s">
        <v>9</v>
      </c>
      <c r="F6">
        <v>8010.35</v>
      </c>
      <c r="G6">
        <v>149.98699999999999</v>
      </c>
      <c r="H6" t="s">
        <v>436</v>
      </c>
      <c r="I6" s="367">
        <v>1201448.365</v>
      </c>
    </row>
    <row r="7" spans="1:9">
      <c r="A7">
        <v>86</v>
      </c>
      <c r="B7" t="s">
        <v>437</v>
      </c>
      <c r="C7" t="s">
        <v>118</v>
      </c>
      <c r="D7" t="s">
        <v>438</v>
      </c>
      <c r="E7" t="s">
        <v>21</v>
      </c>
      <c r="F7">
        <v>447.2</v>
      </c>
      <c r="G7">
        <v>913.60799999999995</v>
      </c>
      <c r="H7" t="s">
        <v>439</v>
      </c>
      <c r="I7" s="367">
        <v>408565.49800000002</v>
      </c>
    </row>
    <row r="8" spans="1:9">
      <c r="A8">
        <v>87</v>
      </c>
      <c r="B8" t="s">
        <v>140</v>
      </c>
      <c r="C8" t="s">
        <v>141</v>
      </c>
      <c r="D8" t="s">
        <v>440</v>
      </c>
      <c r="E8" t="s">
        <v>9</v>
      </c>
      <c r="F8">
        <v>114188.62</v>
      </c>
      <c r="G8">
        <v>6.1289999999999996</v>
      </c>
      <c r="H8" t="s">
        <v>441</v>
      </c>
      <c r="I8" s="367">
        <v>699862.05200000003</v>
      </c>
    </row>
    <row r="9" spans="1:9">
      <c r="A9">
        <v>88</v>
      </c>
      <c r="B9" t="s">
        <v>442</v>
      </c>
      <c r="C9" t="s">
        <v>124</v>
      </c>
      <c r="D9" t="s">
        <v>443</v>
      </c>
      <c r="E9" t="s">
        <v>444</v>
      </c>
      <c r="F9">
        <v>22.27</v>
      </c>
      <c r="G9">
        <v>299972.99900000001</v>
      </c>
      <c r="H9" t="s">
        <v>445</v>
      </c>
      <c r="I9" s="367">
        <v>6680398.6880000001</v>
      </c>
    </row>
    <row r="10" spans="1:9">
      <c r="A10">
        <v>89</v>
      </c>
      <c r="B10" t="s">
        <v>446</v>
      </c>
      <c r="C10" t="s">
        <v>126</v>
      </c>
      <c r="D10" t="s">
        <v>447</v>
      </c>
      <c r="E10" t="s">
        <v>22</v>
      </c>
      <c r="F10">
        <v>126.21</v>
      </c>
      <c r="G10">
        <v>39.155999999999999</v>
      </c>
      <c r="H10" t="s">
        <v>448</v>
      </c>
      <c r="I10" s="367">
        <v>4941.8789999999999</v>
      </c>
    </row>
    <row r="11" spans="1:9">
      <c r="A11">
        <v>90</v>
      </c>
      <c r="B11" t="s">
        <v>116</v>
      </c>
      <c r="C11" t="s">
        <v>116</v>
      </c>
      <c r="D11" t="s">
        <v>449</v>
      </c>
      <c r="E11" t="s">
        <v>199</v>
      </c>
      <c r="F11">
        <v>6</v>
      </c>
      <c r="G11">
        <v>17209.620999999999</v>
      </c>
      <c r="H11" t="s">
        <v>450</v>
      </c>
      <c r="I11" s="367">
        <v>103257.726</v>
      </c>
    </row>
    <row r="12" spans="1:9">
      <c r="A12">
        <v>91</v>
      </c>
      <c r="B12" t="s">
        <v>451</v>
      </c>
      <c r="C12" t="s">
        <v>130</v>
      </c>
      <c r="D12" t="s">
        <v>452</v>
      </c>
      <c r="E12" t="s">
        <v>21</v>
      </c>
      <c r="F12">
        <v>169.36</v>
      </c>
      <c r="G12">
        <v>1499.865</v>
      </c>
      <c r="H12" t="s">
        <v>453</v>
      </c>
      <c r="I12" s="367">
        <v>254017.136</v>
      </c>
    </row>
    <row r="13" spans="1:9">
      <c r="A13">
        <v>92</v>
      </c>
      <c r="B13" t="s">
        <v>128</v>
      </c>
      <c r="C13" t="s">
        <v>128</v>
      </c>
      <c r="D13" t="s">
        <v>129</v>
      </c>
      <c r="E13" t="s">
        <v>21</v>
      </c>
      <c r="F13">
        <v>144.87</v>
      </c>
      <c r="G13">
        <v>362.66699999999997</v>
      </c>
      <c r="H13" t="s">
        <v>454</v>
      </c>
      <c r="I13" s="367">
        <v>52539.567999999999</v>
      </c>
    </row>
    <row r="14" spans="1:9">
      <c r="A14">
        <v>93</v>
      </c>
      <c r="B14" t="s">
        <v>132</v>
      </c>
      <c r="C14" t="s">
        <v>132</v>
      </c>
      <c r="D14" t="s">
        <v>133</v>
      </c>
      <c r="E14" t="s">
        <v>21</v>
      </c>
      <c r="F14">
        <v>59.16</v>
      </c>
      <c r="G14">
        <v>461.75799999999998</v>
      </c>
      <c r="H14" t="s">
        <v>455</v>
      </c>
      <c r="I14" s="367">
        <v>27317.602999999999</v>
      </c>
    </row>
    <row r="15" spans="1:9">
      <c r="A15">
        <v>94</v>
      </c>
      <c r="B15" t="s">
        <v>134</v>
      </c>
      <c r="C15" t="s">
        <v>135</v>
      </c>
      <c r="D15" t="s">
        <v>456</v>
      </c>
      <c r="E15" t="s">
        <v>21</v>
      </c>
      <c r="F15">
        <v>447.69</v>
      </c>
      <c r="G15">
        <v>31.216999999999999</v>
      </c>
      <c r="H15" t="s">
        <v>457</v>
      </c>
      <c r="I15" s="367">
        <v>13975.539000000001</v>
      </c>
    </row>
    <row r="16" spans="1:9">
      <c r="A16">
        <v>95</v>
      </c>
      <c r="B16" t="s">
        <v>211</v>
      </c>
      <c r="C16" t="s">
        <v>211</v>
      </c>
      <c r="D16" t="s">
        <v>458</v>
      </c>
      <c r="E16" t="s">
        <v>9</v>
      </c>
      <c r="F16">
        <v>2.56</v>
      </c>
      <c r="G16">
        <v>11998.919</v>
      </c>
      <c r="H16" t="s">
        <v>459</v>
      </c>
      <c r="I16" s="367">
        <v>30717.233</v>
      </c>
    </row>
    <row r="17" spans="1:9">
      <c r="A17">
        <v>96</v>
      </c>
      <c r="B17" t="s">
        <v>142</v>
      </c>
      <c r="C17" t="s">
        <v>143</v>
      </c>
      <c r="D17" t="s">
        <v>460</v>
      </c>
      <c r="E17" t="s">
        <v>9</v>
      </c>
      <c r="F17">
        <v>59.64</v>
      </c>
      <c r="G17">
        <v>11998.919</v>
      </c>
      <c r="H17" t="s">
        <v>459</v>
      </c>
      <c r="I17" s="367">
        <v>715615.52899999998</v>
      </c>
    </row>
    <row r="18" spans="1:9">
      <c r="A18">
        <v>97</v>
      </c>
      <c r="B18" t="s">
        <v>113</v>
      </c>
      <c r="C18" t="s">
        <v>113</v>
      </c>
      <c r="D18" t="s">
        <v>214</v>
      </c>
      <c r="E18" t="s">
        <v>199</v>
      </c>
      <c r="F18">
        <v>160</v>
      </c>
      <c r="G18">
        <v>27.827000000000002</v>
      </c>
      <c r="H18" t="s">
        <v>461</v>
      </c>
      <c r="I18" s="367">
        <v>4452.32</v>
      </c>
    </row>
    <row r="19" spans="1:9">
      <c r="A19">
        <v>98</v>
      </c>
      <c r="B19" t="s">
        <v>114</v>
      </c>
      <c r="C19" t="s">
        <v>114</v>
      </c>
      <c r="D19" t="s">
        <v>462</v>
      </c>
      <c r="E19" t="s">
        <v>199</v>
      </c>
      <c r="F19">
        <v>160</v>
      </c>
      <c r="G19">
        <v>2.8290000000000002</v>
      </c>
      <c r="H19" t="s">
        <v>463</v>
      </c>
      <c r="I19" s="367">
        <v>452.64</v>
      </c>
    </row>
    <row r="20" spans="1:9">
      <c r="A20">
        <v>99</v>
      </c>
      <c r="B20" t="s">
        <v>149</v>
      </c>
      <c r="C20" t="s">
        <v>150</v>
      </c>
      <c r="D20" t="s">
        <v>216</v>
      </c>
      <c r="E20" t="s">
        <v>108</v>
      </c>
      <c r="F20">
        <v>32245.47</v>
      </c>
      <c r="G20">
        <v>84.992000000000004</v>
      </c>
      <c r="H20" t="s">
        <v>385</v>
      </c>
      <c r="I20" s="367">
        <v>2740606.986</v>
      </c>
    </row>
    <row r="21" spans="1:9">
      <c r="A21">
        <v>100</v>
      </c>
      <c r="B21" t="s">
        <v>464</v>
      </c>
      <c r="C21" t="s">
        <v>151</v>
      </c>
      <c r="D21" t="s">
        <v>465</v>
      </c>
      <c r="E21" t="s">
        <v>108</v>
      </c>
      <c r="F21">
        <v>105.3</v>
      </c>
      <c r="G21">
        <v>84.992000000000004</v>
      </c>
      <c r="H21" t="s">
        <v>385</v>
      </c>
      <c r="I21" s="367">
        <v>8949.6579999999994</v>
      </c>
    </row>
    <row r="22" spans="1:9">
      <c r="A22">
        <v>101</v>
      </c>
      <c r="B22" t="s">
        <v>155</v>
      </c>
      <c r="C22" t="s">
        <v>156</v>
      </c>
      <c r="D22" t="s">
        <v>466</v>
      </c>
      <c r="E22" t="s">
        <v>9</v>
      </c>
      <c r="F22">
        <v>354.81</v>
      </c>
      <c r="G22">
        <v>14998.648999999999</v>
      </c>
      <c r="H22" t="s">
        <v>388</v>
      </c>
      <c r="I22" s="367">
        <v>5321670.6519999998</v>
      </c>
    </row>
    <row r="23" spans="1:9">
      <c r="A23" t="s">
        <v>467</v>
      </c>
      <c r="B23" t="s">
        <v>145</v>
      </c>
      <c r="C23" t="s">
        <v>148</v>
      </c>
      <c r="D23" t="s">
        <v>468</v>
      </c>
      <c r="E23" t="s">
        <v>21</v>
      </c>
      <c r="F23">
        <v>356.88</v>
      </c>
      <c r="G23">
        <v>735.28399999999999</v>
      </c>
      <c r="H23" t="s">
        <v>469</v>
      </c>
      <c r="I23" s="367">
        <v>262408.15399999998</v>
      </c>
    </row>
    <row r="24" spans="1:9">
      <c r="A24" t="s">
        <v>470</v>
      </c>
      <c r="B24" t="s">
        <v>145</v>
      </c>
      <c r="C24" t="s">
        <v>146</v>
      </c>
      <c r="D24" t="s">
        <v>222</v>
      </c>
      <c r="E24" t="s">
        <v>21</v>
      </c>
      <c r="F24">
        <v>777.53</v>
      </c>
      <c r="G24">
        <v>849.92399999999998</v>
      </c>
      <c r="H24" t="s">
        <v>383</v>
      </c>
      <c r="I24" s="367">
        <v>660841.40800000005</v>
      </c>
    </row>
    <row r="25" spans="1:9">
      <c r="A25" t="s">
        <v>471</v>
      </c>
      <c r="B25" t="s">
        <v>145</v>
      </c>
      <c r="C25" t="s">
        <v>147</v>
      </c>
      <c r="D25" t="s">
        <v>223</v>
      </c>
      <c r="E25" t="s">
        <v>21</v>
      </c>
      <c r="F25">
        <v>116.73</v>
      </c>
      <c r="G25">
        <v>921.90700000000004</v>
      </c>
      <c r="H25" t="s">
        <v>472</v>
      </c>
      <c r="I25" s="367">
        <v>107614.204</v>
      </c>
    </row>
    <row r="26" spans="1:9">
      <c r="A26">
        <v>103</v>
      </c>
      <c r="B26" t="s">
        <v>473</v>
      </c>
      <c r="C26" t="s">
        <v>162</v>
      </c>
      <c r="D26" t="s">
        <v>474</v>
      </c>
      <c r="E26" t="s">
        <v>22</v>
      </c>
      <c r="F26">
        <v>29.9</v>
      </c>
      <c r="G26">
        <v>1133.6479999999999</v>
      </c>
      <c r="H26" t="s">
        <v>475</v>
      </c>
      <c r="I26" s="367">
        <v>33896.074999999997</v>
      </c>
    </row>
    <row r="27" spans="1:9">
      <c r="A27" t="s">
        <v>476</v>
      </c>
      <c r="B27" t="s">
        <v>477</v>
      </c>
      <c r="C27" t="s">
        <v>138</v>
      </c>
      <c r="D27" t="s">
        <v>478</v>
      </c>
      <c r="E27" t="s">
        <v>9</v>
      </c>
      <c r="F27">
        <v>33.72</v>
      </c>
      <c r="G27">
        <v>1070.194</v>
      </c>
      <c r="H27" t="s">
        <v>479</v>
      </c>
      <c r="I27" s="367">
        <v>36086.942000000003</v>
      </c>
    </row>
    <row r="28" spans="1:9">
      <c r="A28" t="s">
        <v>480</v>
      </c>
      <c r="B28" t="s">
        <v>477</v>
      </c>
      <c r="C28" t="s">
        <v>139</v>
      </c>
      <c r="D28" t="s">
        <v>228</v>
      </c>
      <c r="E28" t="s">
        <v>9</v>
      </c>
      <c r="F28">
        <v>10.07</v>
      </c>
      <c r="G28">
        <v>1575.2380000000001</v>
      </c>
      <c r="H28" t="s">
        <v>481</v>
      </c>
      <c r="I28" s="367">
        <v>15862.647000000001</v>
      </c>
    </row>
    <row r="29" spans="1:9">
      <c r="A29">
        <v>105</v>
      </c>
      <c r="B29" t="s">
        <v>121</v>
      </c>
      <c r="C29" t="s">
        <v>122</v>
      </c>
      <c r="D29" t="s">
        <v>482</v>
      </c>
      <c r="E29" t="s">
        <v>9</v>
      </c>
      <c r="F29">
        <v>147.35</v>
      </c>
      <c r="G29">
        <v>1419.932</v>
      </c>
      <c r="H29" t="s">
        <v>483</v>
      </c>
      <c r="I29" s="367">
        <v>209226.98</v>
      </c>
    </row>
    <row r="30" spans="1:9">
      <c r="A30" t="s">
        <v>484</v>
      </c>
      <c r="B30" t="s">
        <v>136</v>
      </c>
      <c r="C30" t="s">
        <v>340</v>
      </c>
      <c r="D30" t="s">
        <v>485</v>
      </c>
      <c r="E30" t="s">
        <v>9</v>
      </c>
      <c r="F30">
        <v>91.14</v>
      </c>
      <c r="G30">
        <v>3730.134</v>
      </c>
      <c r="H30" t="s">
        <v>486</v>
      </c>
      <c r="I30" s="367">
        <v>339964.413</v>
      </c>
    </row>
    <row r="31" spans="1:9">
      <c r="A31" t="s">
        <v>487</v>
      </c>
      <c r="B31" t="s">
        <v>136</v>
      </c>
      <c r="C31" t="s">
        <v>137</v>
      </c>
      <c r="D31" t="s">
        <v>233</v>
      </c>
      <c r="E31" t="s">
        <v>9</v>
      </c>
      <c r="F31">
        <v>91.14</v>
      </c>
      <c r="G31">
        <v>4075.723</v>
      </c>
      <c r="H31" t="s">
        <v>488</v>
      </c>
      <c r="I31" s="367">
        <v>371461.39399999997</v>
      </c>
    </row>
    <row r="32" spans="1:9">
      <c r="A32" t="s">
        <v>489</v>
      </c>
      <c r="B32" t="s">
        <v>159</v>
      </c>
      <c r="C32" t="s">
        <v>160</v>
      </c>
      <c r="D32" t="s">
        <v>314</v>
      </c>
      <c r="E32" t="s">
        <v>199</v>
      </c>
      <c r="F32">
        <v>10878</v>
      </c>
      <c r="G32">
        <v>349.96899999999999</v>
      </c>
      <c r="H32" t="s">
        <v>490</v>
      </c>
      <c r="I32" s="367">
        <v>3806962.7820000001</v>
      </c>
    </row>
    <row r="33" spans="1:9">
      <c r="A33" t="s">
        <v>491</v>
      </c>
      <c r="B33" t="s">
        <v>159</v>
      </c>
      <c r="C33" t="s">
        <v>161</v>
      </c>
      <c r="D33" t="s">
        <v>235</v>
      </c>
      <c r="E33" t="s">
        <v>199</v>
      </c>
      <c r="F33">
        <v>5276</v>
      </c>
      <c r="G33">
        <v>399.964</v>
      </c>
      <c r="H33" t="s">
        <v>492</v>
      </c>
      <c r="I33" s="367">
        <v>2110210.0639999998</v>
      </c>
    </row>
    <row r="34" spans="1:9">
      <c r="A34" t="s">
        <v>493</v>
      </c>
      <c r="B34" t="s">
        <v>415</v>
      </c>
      <c r="C34" t="s">
        <v>95</v>
      </c>
      <c r="D34" t="s">
        <v>494</v>
      </c>
      <c r="E34" t="s">
        <v>9</v>
      </c>
      <c r="F34">
        <v>231.26</v>
      </c>
      <c r="G34">
        <v>1145.777</v>
      </c>
      <c r="H34" t="s">
        <v>417</v>
      </c>
      <c r="I34" s="367">
        <v>264972.38900000002</v>
      </c>
    </row>
    <row r="35" spans="1:9">
      <c r="A35" t="s">
        <v>495</v>
      </c>
      <c r="B35" t="s">
        <v>415</v>
      </c>
      <c r="C35" t="s">
        <v>70</v>
      </c>
      <c r="D35" t="s">
        <v>99</v>
      </c>
      <c r="E35" t="s">
        <v>9</v>
      </c>
      <c r="F35">
        <v>231.26</v>
      </c>
      <c r="G35">
        <v>2026.8579999999999</v>
      </c>
      <c r="H35" t="s">
        <v>419</v>
      </c>
      <c r="I35" s="367">
        <v>468731.18099999998</v>
      </c>
    </row>
    <row r="36" spans="1:9">
      <c r="A36">
        <v>109</v>
      </c>
      <c r="B36" t="s">
        <v>154</v>
      </c>
      <c r="C36" t="s">
        <v>154</v>
      </c>
      <c r="D36" t="s">
        <v>496</v>
      </c>
      <c r="E36" t="s">
        <v>108</v>
      </c>
      <c r="F36">
        <v>7571.72</v>
      </c>
      <c r="G36">
        <v>124.989</v>
      </c>
      <c r="H36" t="s">
        <v>497</v>
      </c>
      <c r="I36" s="367">
        <v>946381.71100000001</v>
      </c>
    </row>
    <row r="37" spans="1:9">
      <c r="A37">
        <v>110</v>
      </c>
      <c r="B37" t="s">
        <v>498</v>
      </c>
      <c r="C37" t="s">
        <v>152</v>
      </c>
      <c r="D37" t="s">
        <v>499</v>
      </c>
      <c r="E37" t="s">
        <v>22</v>
      </c>
      <c r="F37">
        <v>4.5</v>
      </c>
      <c r="G37">
        <v>232.90899999999999</v>
      </c>
      <c r="H37" t="s">
        <v>500</v>
      </c>
      <c r="I37" s="367">
        <v>1048.0909999999999</v>
      </c>
    </row>
    <row r="38" spans="1:9">
      <c r="A38">
        <v>111</v>
      </c>
      <c r="B38" t="s">
        <v>501</v>
      </c>
      <c r="C38" t="s">
        <v>240</v>
      </c>
      <c r="D38" t="s">
        <v>502</v>
      </c>
      <c r="E38" t="s">
        <v>22</v>
      </c>
      <c r="F38">
        <v>18.8</v>
      </c>
      <c r="G38">
        <v>338.98899999999998</v>
      </c>
      <c r="H38" t="s">
        <v>503</v>
      </c>
      <c r="I38" s="367">
        <v>6372.9930000000004</v>
      </c>
    </row>
    <row r="39" spans="1:9">
      <c r="A39">
        <v>112</v>
      </c>
      <c r="B39" t="s">
        <v>163</v>
      </c>
      <c r="C39" t="s">
        <v>109</v>
      </c>
      <c r="D39" t="s">
        <v>504</v>
      </c>
      <c r="E39" t="s">
        <v>199</v>
      </c>
      <c r="F39">
        <v>8</v>
      </c>
      <c r="G39">
        <v>96790.918000000005</v>
      </c>
      <c r="H39" t="s">
        <v>505</v>
      </c>
      <c r="I39" s="367">
        <v>774327.34400000004</v>
      </c>
    </row>
    <row r="40" spans="1:9">
      <c r="A40">
        <v>113</v>
      </c>
      <c r="B40" t="s">
        <v>243</v>
      </c>
      <c r="C40" t="s">
        <v>164</v>
      </c>
      <c r="D40" t="s">
        <v>506</v>
      </c>
      <c r="E40" t="s">
        <v>199</v>
      </c>
      <c r="F40">
        <v>8</v>
      </c>
      <c r="G40">
        <v>9991.0110000000004</v>
      </c>
      <c r="H40" t="s">
        <v>507</v>
      </c>
      <c r="I40" s="367">
        <v>79928.088000000003</v>
      </c>
    </row>
    <row r="41" spans="1:9">
      <c r="A41">
        <v>114</v>
      </c>
      <c r="B41" t="s">
        <v>165</v>
      </c>
      <c r="C41" t="s">
        <v>165</v>
      </c>
      <c r="D41" t="s">
        <v>508</v>
      </c>
      <c r="E41" t="s">
        <v>199</v>
      </c>
      <c r="F41">
        <v>8</v>
      </c>
      <c r="G41">
        <v>84128.278000000006</v>
      </c>
      <c r="H41" t="s">
        <v>509</v>
      </c>
      <c r="I41" s="367">
        <v>673026.22400000005</v>
      </c>
    </row>
    <row r="42" spans="1:9">
      <c r="A42">
        <v>115</v>
      </c>
      <c r="B42" t="s">
        <v>168</v>
      </c>
      <c r="C42" t="s">
        <v>168</v>
      </c>
      <c r="D42" t="s">
        <v>510</v>
      </c>
      <c r="E42" t="s">
        <v>9</v>
      </c>
      <c r="F42">
        <v>6.89</v>
      </c>
      <c r="G42">
        <v>60960.913</v>
      </c>
      <c r="H42" t="s">
        <v>511</v>
      </c>
      <c r="I42" s="367">
        <v>420020.69099999999</v>
      </c>
    </row>
    <row r="43" spans="1:9">
      <c r="A43">
        <v>116</v>
      </c>
      <c r="B43" t="s">
        <v>248</v>
      </c>
      <c r="C43" t="s">
        <v>250</v>
      </c>
      <c r="D43" t="s">
        <v>512</v>
      </c>
      <c r="E43" t="s">
        <v>9</v>
      </c>
      <c r="F43">
        <v>7112</v>
      </c>
      <c r="G43">
        <v>169.98500000000001</v>
      </c>
      <c r="H43" t="s">
        <v>513</v>
      </c>
      <c r="I43" s="367">
        <v>1208933.32</v>
      </c>
    </row>
    <row r="44" spans="1:9">
      <c r="A44">
        <v>117</v>
      </c>
      <c r="B44" t="s">
        <v>514</v>
      </c>
      <c r="C44" t="s">
        <v>514</v>
      </c>
      <c r="D44" t="s">
        <v>253</v>
      </c>
      <c r="E44" t="s">
        <v>9</v>
      </c>
      <c r="F44">
        <v>10120.5</v>
      </c>
      <c r="G44">
        <v>142.45699999999999</v>
      </c>
      <c r="H44" t="s">
        <v>515</v>
      </c>
      <c r="I44" s="367">
        <v>1441736.068</v>
      </c>
    </row>
    <row r="45" spans="1:9">
      <c r="A45">
        <v>118</v>
      </c>
      <c r="B45" t="s">
        <v>32</v>
      </c>
      <c r="C45" t="s">
        <v>32</v>
      </c>
      <c r="D45" t="s">
        <v>516</v>
      </c>
      <c r="E45" t="s">
        <v>517</v>
      </c>
      <c r="F45">
        <v>4978.3999999999996</v>
      </c>
      <c r="G45">
        <v>19.998000000000001</v>
      </c>
      <c r="H45" t="s">
        <v>377</v>
      </c>
      <c r="I45" s="367">
        <v>99558.043000000005</v>
      </c>
    </row>
    <row r="46" spans="1:9">
      <c r="A46">
        <v>119</v>
      </c>
      <c r="B46" t="s">
        <v>256</v>
      </c>
      <c r="C46" t="s">
        <v>256</v>
      </c>
      <c r="D46" t="s">
        <v>518</v>
      </c>
      <c r="E46" t="s">
        <v>519</v>
      </c>
      <c r="F46">
        <v>5060.25</v>
      </c>
      <c r="G46">
        <v>10.989000000000001</v>
      </c>
      <c r="H46" t="s">
        <v>520</v>
      </c>
      <c r="I46" s="367">
        <v>55607.087</v>
      </c>
    </row>
    <row r="47" spans="1:9">
      <c r="A47">
        <v>120</v>
      </c>
      <c r="B47" t="s">
        <v>43</v>
      </c>
      <c r="C47" t="s">
        <v>43</v>
      </c>
      <c r="D47" t="s">
        <v>259</v>
      </c>
      <c r="E47" t="s">
        <v>9</v>
      </c>
      <c r="F47">
        <v>4934.26</v>
      </c>
      <c r="G47">
        <v>4.9989999999999997</v>
      </c>
      <c r="H47" t="s">
        <v>380</v>
      </c>
      <c r="I47" s="367">
        <v>24666.366000000002</v>
      </c>
    </row>
    <row r="48" spans="1:9">
      <c r="A48">
        <v>121</v>
      </c>
      <c r="B48" t="s">
        <v>521</v>
      </c>
      <c r="C48" t="s">
        <v>158</v>
      </c>
      <c r="D48" t="s">
        <v>522</v>
      </c>
      <c r="E48" t="s">
        <v>22</v>
      </c>
      <c r="F48">
        <v>6.4</v>
      </c>
      <c r="G48">
        <v>77.722999999999999</v>
      </c>
      <c r="H48" t="s">
        <v>523</v>
      </c>
      <c r="I48" s="367">
        <v>497.42700000000002</v>
      </c>
    </row>
    <row r="49" spans="1:9">
      <c r="A49">
        <v>122</v>
      </c>
      <c r="B49" t="s">
        <v>355</v>
      </c>
      <c r="C49" t="s">
        <v>355</v>
      </c>
      <c r="D49" t="s">
        <v>524</v>
      </c>
      <c r="E49" t="s">
        <v>9</v>
      </c>
      <c r="F49">
        <v>2177.7399999999998</v>
      </c>
      <c r="G49">
        <v>142.45699999999999</v>
      </c>
      <c r="H49" t="s">
        <v>515</v>
      </c>
      <c r="I49" s="367">
        <v>310234.30699999997</v>
      </c>
    </row>
    <row r="50" spans="1:9">
      <c r="A50">
        <v>123</v>
      </c>
      <c r="B50" t="s">
        <v>263</v>
      </c>
      <c r="C50" t="s">
        <v>123</v>
      </c>
      <c r="D50" t="s">
        <v>525</v>
      </c>
      <c r="E50" t="s">
        <v>9</v>
      </c>
      <c r="F50">
        <v>625.76</v>
      </c>
      <c r="G50">
        <v>757.68200000000002</v>
      </c>
      <c r="H50" t="s">
        <v>526</v>
      </c>
      <c r="I50" s="367">
        <v>474127.08799999999</v>
      </c>
    </row>
    <row r="51" spans="1:9">
      <c r="A51">
        <v>124</v>
      </c>
      <c r="B51" t="s">
        <v>358</v>
      </c>
      <c r="C51" t="s">
        <v>358</v>
      </c>
      <c r="D51" t="s">
        <v>527</v>
      </c>
      <c r="E51" t="s">
        <v>9</v>
      </c>
      <c r="F51">
        <v>5784.57</v>
      </c>
      <c r="G51">
        <v>154.98599999999999</v>
      </c>
      <c r="H51" t="s">
        <v>528</v>
      </c>
      <c r="I51" s="367">
        <v>896527.36600000004</v>
      </c>
    </row>
    <row r="52" spans="1:9">
      <c r="A52">
        <v>125</v>
      </c>
      <c r="B52" t="s">
        <v>28</v>
      </c>
      <c r="C52" t="s">
        <v>28</v>
      </c>
      <c r="D52" t="s">
        <v>529</v>
      </c>
      <c r="E52" t="s">
        <v>21</v>
      </c>
      <c r="F52">
        <v>4220</v>
      </c>
      <c r="G52">
        <v>9.9990000000000006</v>
      </c>
      <c r="H52" t="s">
        <v>530</v>
      </c>
      <c r="I52" s="367">
        <v>42195.78</v>
      </c>
    </row>
    <row r="53" spans="1:9">
      <c r="A53">
        <v>126</v>
      </c>
      <c r="B53" t="s">
        <v>531</v>
      </c>
      <c r="C53" t="s">
        <v>270</v>
      </c>
      <c r="D53" t="s">
        <v>532</v>
      </c>
      <c r="E53" t="s">
        <v>21</v>
      </c>
      <c r="F53">
        <v>1052.24</v>
      </c>
      <c r="G53">
        <v>190.453</v>
      </c>
      <c r="H53" t="s">
        <v>533</v>
      </c>
      <c r="I53" s="367">
        <v>200402.26500000001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8B8B-8062-499F-8B86-6EA6E95B4481}">
  <dimension ref="A1:I36"/>
  <sheetViews>
    <sheetView topLeftCell="A22" zoomScale="130" zoomScaleNormal="130" workbookViewId="0">
      <selection activeCell="I36" sqref="I36"/>
    </sheetView>
  </sheetViews>
  <sheetFormatPr defaultRowHeight="12.5"/>
  <sheetData>
    <row r="1" spans="1:9">
      <c r="A1">
        <v>150</v>
      </c>
      <c r="B1" t="s">
        <v>272</v>
      </c>
      <c r="C1" t="s">
        <v>272</v>
      </c>
      <c r="D1" t="s">
        <v>534</v>
      </c>
      <c r="E1" t="s">
        <v>8</v>
      </c>
      <c r="F1">
        <v>20</v>
      </c>
      <c r="G1">
        <v>1199.8920000000001</v>
      </c>
      <c r="H1" t="s">
        <v>535</v>
      </c>
      <c r="I1">
        <v>23997.84</v>
      </c>
    </row>
    <row r="2" spans="1:9">
      <c r="A2">
        <v>151</v>
      </c>
      <c r="B2" t="s">
        <v>111</v>
      </c>
      <c r="C2" t="s">
        <v>111</v>
      </c>
      <c r="D2" t="s">
        <v>112</v>
      </c>
      <c r="E2" t="s">
        <v>21</v>
      </c>
      <c r="F2">
        <v>6540</v>
      </c>
      <c r="G2">
        <v>27.718</v>
      </c>
      <c r="H2" t="s">
        <v>425</v>
      </c>
      <c r="I2">
        <v>181275.72</v>
      </c>
    </row>
    <row r="3" spans="1:9">
      <c r="A3">
        <v>152</v>
      </c>
      <c r="B3" t="s">
        <v>117</v>
      </c>
      <c r="C3" t="s">
        <v>117</v>
      </c>
      <c r="D3" t="s">
        <v>536</v>
      </c>
      <c r="E3" t="s">
        <v>9</v>
      </c>
      <c r="F3">
        <v>14000</v>
      </c>
      <c r="G3">
        <v>139.98699999999999</v>
      </c>
      <c r="H3" t="s">
        <v>371</v>
      </c>
      <c r="I3">
        <v>1959818</v>
      </c>
    </row>
    <row r="4" spans="1:9">
      <c r="A4">
        <v>153</v>
      </c>
      <c r="B4" t="s">
        <v>295</v>
      </c>
      <c r="C4" t="s">
        <v>295</v>
      </c>
      <c r="D4" t="s">
        <v>537</v>
      </c>
      <c r="E4" t="s">
        <v>9</v>
      </c>
      <c r="F4">
        <v>8640.6299999999992</v>
      </c>
      <c r="G4">
        <v>172.834</v>
      </c>
      <c r="H4" t="s">
        <v>538</v>
      </c>
      <c r="I4">
        <v>1493394.645</v>
      </c>
    </row>
    <row r="5" spans="1:9">
      <c r="A5">
        <v>154</v>
      </c>
      <c r="B5" t="s">
        <v>140</v>
      </c>
      <c r="C5" t="s">
        <v>141</v>
      </c>
      <c r="D5" t="s">
        <v>440</v>
      </c>
      <c r="E5" t="s">
        <v>9</v>
      </c>
      <c r="F5">
        <v>10705.18</v>
      </c>
      <c r="G5">
        <v>6.1289999999999996</v>
      </c>
      <c r="H5" t="s">
        <v>441</v>
      </c>
      <c r="I5">
        <v>65612.047999999995</v>
      </c>
    </row>
    <row r="6" spans="1:9">
      <c r="A6">
        <v>155</v>
      </c>
      <c r="B6" t="s">
        <v>134</v>
      </c>
      <c r="C6" t="s">
        <v>135</v>
      </c>
      <c r="D6" t="s">
        <v>456</v>
      </c>
      <c r="E6" t="s">
        <v>21</v>
      </c>
      <c r="F6">
        <v>378.85</v>
      </c>
      <c r="G6">
        <v>31.216999999999999</v>
      </c>
      <c r="H6" t="s">
        <v>457</v>
      </c>
      <c r="I6">
        <v>11826.56</v>
      </c>
    </row>
    <row r="7" spans="1:9">
      <c r="A7">
        <v>156</v>
      </c>
      <c r="B7" t="s">
        <v>211</v>
      </c>
      <c r="C7" t="s">
        <v>296</v>
      </c>
      <c r="D7" t="s">
        <v>458</v>
      </c>
      <c r="E7" t="s">
        <v>9</v>
      </c>
      <c r="F7">
        <v>1.92</v>
      </c>
      <c r="G7">
        <v>11998.919</v>
      </c>
      <c r="H7" t="s">
        <v>459</v>
      </c>
      <c r="I7">
        <v>23037.923999999999</v>
      </c>
    </row>
    <row r="8" spans="1:9">
      <c r="A8">
        <v>157</v>
      </c>
      <c r="B8" t="s">
        <v>142</v>
      </c>
      <c r="C8" t="s">
        <v>143</v>
      </c>
      <c r="D8" t="s">
        <v>460</v>
      </c>
      <c r="E8" t="s">
        <v>9</v>
      </c>
      <c r="F8">
        <v>43.72</v>
      </c>
      <c r="G8">
        <v>11998.919</v>
      </c>
      <c r="H8" t="s">
        <v>459</v>
      </c>
      <c r="I8">
        <v>524592.73899999994</v>
      </c>
    </row>
    <row r="9" spans="1:9">
      <c r="A9">
        <v>158</v>
      </c>
      <c r="B9" t="s">
        <v>149</v>
      </c>
      <c r="C9" t="s">
        <v>150</v>
      </c>
      <c r="D9" t="s">
        <v>539</v>
      </c>
      <c r="E9" t="s">
        <v>108</v>
      </c>
      <c r="F9">
        <v>26201.06</v>
      </c>
      <c r="G9">
        <v>84.992000000000004</v>
      </c>
      <c r="H9" t="s">
        <v>385</v>
      </c>
      <c r="I9">
        <v>2226880.4920000001</v>
      </c>
    </row>
    <row r="10" spans="1:9">
      <c r="A10">
        <v>159</v>
      </c>
      <c r="B10" t="s">
        <v>155</v>
      </c>
      <c r="C10" t="s">
        <v>156</v>
      </c>
      <c r="D10" t="s">
        <v>466</v>
      </c>
      <c r="E10" t="s">
        <v>9</v>
      </c>
      <c r="F10">
        <v>244.4</v>
      </c>
      <c r="G10">
        <v>14998.648999999999</v>
      </c>
      <c r="H10" t="s">
        <v>388</v>
      </c>
      <c r="I10">
        <v>3665669.8160000001</v>
      </c>
    </row>
    <row r="11" spans="1:9">
      <c r="A11" t="s">
        <v>540</v>
      </c>
      <c r="B11" t="s">
        <v>145</v>
      </c>
      <c r="C11" t="s">
        <v>148</v>
      </c>
      <c r="D11" t="s">
        <v>468</v>
      </c>
      <c r="E11" t="s">
        <v>21</v>
      </c>
      <c r="F11">
        <v>964.27</v>
      </c>
      <c r="G11">
        <v>735.28399999999999</v>
      </c>
      <c r="H11" t="s">
        <v>469</v>
      </c>
      <c r="I11">
        <v>709012.30299999996</v>
      </c>
    </row>
    <row r="12" spans="1:9">
      <c r="A12" t="s">
        <v>541</v>
      </c>
      <c r="B12" t="s">
        <v>145</v>
      </c>
      <c r="C12" t="s">
        <v>146</v>
      </c>
      <c r="D12" t="s">
        <v>222</v>
      </c>
      <c r="E12" t="s">
        <v>21</v>
      </c>
      <c r="F12">
        <v>683.16</v>
      </c>
      <c r="G12">
        <v>849.92399999999998</v>
      </c>
      <c r="H12" t="s">
        <v>383</v>
      </c>
      <c r="I12">
        <v>580634.07999999996</v>
      </c>
    </row>
    <row r="13" spans="1:9">
      <c r="A13" t="s">
        <v>542</v>
      </c>
      <c r="B13" t="s">
        <v>145</v>
      </c>
      <c r="C13" t="s">
        <v>147</v>
      </c>
      <c r="D13" t="s">
        <v>223</v>
      </c>
      <c r="E13" t="s">
        <v>21</v>
      </c>
      <c r="F13">
        <v>83.72</v>
      </c>
      <c r="G13">
        <v>921.90700000000004</v>
      </c>
      <c r="H13" t="s">
        <v>472</v>
      </c>
      <c r="I13">
        <v>77182.054000000004</v>
      </c>
    </row>
    <row r="14" spans="1:9">
      <c r="A14">
        <v>161</v>
      </c>
      <c r="B14" t="s">
        <v>121</v>
      </c>
      <c r="C14" t="s">
        <v>122</v>
      </c>
      <c r="D14" t="s">
        <v>482</v>
      </c>
      <c r="E14" t="s">
        <v>9</v>
      </c>
      <c r="F14">
        <v>376.13</v>
      </c>
      <c r="G14">
        <v>1419.932</v>
      </c>
      <c r="H14" t="s">
        <v>483</v>
      </c>
      <c r="I14">
        <v>534079.02300000004</v>
      </c>
    </row>
    <row r="15" spans="1:9">
      <c r="A15" t="s">
        <v>543</v>
      </c>
      <c r="B15" t="s">
        <v>136</v>
      </c>
      <c r="C15" t="s">
        <v>340</v>
      </c>
      <c r="D15" t="s">
        <v>485</v>
      </c>
      <c r="E15" t="s">
        <v>9</v>
      </c>
      <c r="F15">
        <v>77.55</v>
      </c>
      <c r="G15">
        <v>3730.134</v>
      </c>
      <c r="H15" t="s">
        <v>486</v>
      </c>
      <c r="I15">
        <v>289271.89199999999</v>
      </c>
    </row>
    <row r="16" spans="1:9">
      <c r="A16" t="s">
        <v>544</v>
      </c>
      <c r="B16" t="s">
        <v>136</v>
      </c>
      <c r="C16" t="s">
        <v>137</v>
      </c>
      <c r="D16" t="s">
        <v>233</v>
      </c>
      <c r="E16" t="s">
        <v>9</v>
      </c>
      <c r="F16">
        <v>77.55</v>
      </c>
      <c r="G16">
        <v>4075.723</v>
      </c>
      <c r="H16" t="s">
        <v>488</v>
      </c>
      <c r="I16">
        <v>316072.31900000002</v>
      </c>
    </row>
    <row r="17" spans="1:9">
      <c r="A17">
        <v>163</v>
      </c>
      <c r="B17" t="s">
        <v>159</v>
      </c>
      <c r="C17" t="s">
        <v>160</v>
      </c>
      <c r="D17" t="s">
        <v>314</v>
      </c>
      <c r="E17" t="s">
        <v>8</v>
      </c>
      <c r="F17">
        <v>4212</v>
      </c>
      <c r="G17">
        <v>349.96899999999999</v>
      </c>
      <c r="H17" t="s">
        <v>490</v>
      </c>
      <c r="I17">
        <v>1474069.4280000001</v>
      </c>
    </row>
    <row r="18" spans="1:9">
      <c r="A18">
        <v>164</v>
      </c>
      <c r="B18" t="s">
        <v>415</v>
      </c>
      <c r="C18" t="s">
        <v>95</v>
      </c>
      <c r="D18" t="s">
        <v>494</v>
      </c>
      <c r="E18" t="s">
        <v>9</v>
      </c>
      <c r="F18">
        <v>113.72</v>
      </c>
      <c r="G18">
        <v>1145.777</v>
      </c>
      <c r="H18" t="s">
        <v>417</v>
      </c>
      <c r="I18">
        <v>130297.76</v>
      </c>
    </row>
    <row r="19" spans="1:9">
      <c r="A19">
        <v>165</v>
      </c>
      <c r="B19" t="s">
        <v>154</v>
      </c>
      <c r="C19" t="s">
        <v>154</v>
      </c>
      <c r="D19" t="s">
        <v>545</v>
      </c>
      <c r="E19" t="s">
        <v>108</v>
      </c>
      <c r="F19">
        <v>826.47</v>
      </c>
      <c r="G19">
        <v>124.989</v>
      </c>
      <c r="H19" t="s">
        <v>497</v>
      </c>
      <c r="I19">
        <v>103299.659</v>
      </c>
    </row>
    <row r="20" spans="1:9">
      <c r="A20">
        <v>166</v>
      </c>
      <c r="B20" t="s">
        <v>163</v>
      </c>
      <c r="C20" t="s">
        <v>299</v>
      </c>
      <c r="D20" t="s">
        <v>504</v>
      </c>
      <c r="E20" t="s">
        <v>8</v>
      </c>
      <c r="F20">
        <v>5</v>
      </c>
      <c r="G20">
        <v>47699.343000000001</v>
      </c>
      <c r="H20" t="s">
        <v>546</v>
      </c>
      <c r="I20">
        <v>238496.715</v>
      </c>
    </row>
    <row r="21" spans="1:9">
      <c r="A21">
        <v>167</v>
      </c>
      <c r="B21" t="s">
        <v>301</v>
      </c>
      <c r="C21" t="s">
        <v>303</v>
      </c>
      <c r="D21" t="s">
        <v>547</v>
      </c>
      <c r="E21" t="s">
        <v>8</v>
      </c>
      <c r="F21">
        <v>5</v>
      </c>
      <c r="G21">
        <v>59673.139000000003</v>
      </c>
      <c r="H21" t="s">
        <v>548</v>
      </c>
      <c r="I21">
        <v>298365.69500000001</v>
      </c>
    </row>
    <row r="22" spans="1:9">
      <c r="A22">
        <v>168</v>
      </c>
      <c r="B22" t="s">
        <v>243</v>
      </c>
      <c r="C22" t="s">
        <v>293</v>
      </c>
      <c r="D22" t="s">
        <v>506</v>
      </c>
      <c r="E22" t="s">
        <v>8</v>
      </c>
      <c r="F22">
        <v>10</v>
      </c>
      <c r="G22">
        <v>8462.6180000000004</v>
      </c>
      <c r="H22" t="s">
        <v>549</v>
      </c>
      <c r="I22">
        <v>84626.18</v>
      </c>
    </row>
    <row r="23" spans="1:9">
      <c r="A23">
        <v>169</v>
      </c>
      <c r="B23" t="s">
        <v>349</v>
      </c>
      <c r="C23" t="s">
        <v>349</v>
      </c>
      <c r="D23" t="s">
        <v>291</v>
      </c>
      <c r="E23" t="s">
        <v>199</v>
      </c>
      <c r="F23">
        <v>5</v>
      </c>
      <c r="G23">
        <v>46816.625999999997</v>
      </c>
      <c r="H23" t="s">
        <v>550</v>
      </c>
      <c r="I23">
        <v>234083.13</v>
      </c>
    </row>
    <row r="24" spans="1:9">
      <c r="A24">
        <v>170</v>
      </c>
      <c r="B24" t="s">
        <v>248</v>
      </c>
      <c r="C24" t="s">
        <v>250</v>
      </c>
      <c r="D24" t="s">
        <v>512</v>
      </c>
      <c r="E24" t="s">
        <v>9</v>
      </c>
      <c r="F24">
        <v>3090</v>
      </c>
      <c r="G24">
        <v>169.98500000000001</v>
      </c>
      <c r="H24" t="s">
        <v>513</v>
      </c>
      <c r="I24">
        <v>525253.65</v>
      </c>
    </row>
    <row r="25" spans="1:9">
      <c r="A25">
        <v>171</v>
      </c>
      <c r="B25" t="s">
        <v>351</v>
      </c>
      <c r="C25" t="s">
        <v>351</v>
      </c>
      <c r="D25" t="s">
        <v>551</v>
      </c>
      <c r="E25" t="s">
        <v>9</v>
      </c>
      <c r="F25">
        <v>866.25</v>
      </c>
      <c r="G25">
        <v>142.25700000000001</v>
      </c>
      <c r="H25" t="s">
        <v>552</v>
      </c>
      <c r="I25">
        <v>123230.126</v>
      </c>
    </row>
    <row r="26" spans="1:9">
      <c r="A26">
        <v>172</v>
      </c>
      <c r="B26" t="s">
        <v>32</v>
      </c>
      <c r="C26" t="s">
        <v>32</v>
      </c>
      <c r="D26" t="s">
        <v>553</v>
      </c>
      <c r="E26" t="s">
        <v>517</v>
      </c>
      <c r="F26">
        <v>1545</v>
      </c>
      <c r="G26">
        <v>19.998000000000001</v>
      </c>
      <c r="H26" t="s">
        <v>377</v>
      </c>
      <c r="I26">
        <v>30896.91</v>
      </c>
    </row>
    <row r="27" spans="1:9">
      <c r="A27">
        <v>173</v>
      </c>
      <c r="B27" t="s">
        <v>256</v>
      </c>
      <c r="C27" t="s">
        <v>256</v>
      </c>
      <c r="D27" t="s">
        <v>554</v>
      </c>
      <c r="E27" t="s">
        <v>519</v>
      </c>
      <c r="F27">
        <v>433.13</v>
      </c>
      <c r="G27">
        <v>10.989000000000001</v>
      </c>
      <c r="H27" t="s">
        <v>520</v>
      </c>
      <c r="I27">
        <v>4759.6660000000002</v>
      </c>
    </row>
    <row r="28" spans="1:9">
      <c r="A28">
        <v>174</v>
      </c>
      <c r="B28" t="s">
        <v>43</v>
      </c>
      <c r="C28" t="s">
        <v>43</v>
      </c>
      <c r="D28" t="s">
        <v>259</v>
      </c>
      <c r="E28" t="s">
        <v>9</v>
      </c>
      <c r="F28">
        <v>3090</v>
      </c>
      <c r="G28">
        <v>4.9989999999999997</v>
      </c>
      <c r="H28" t="s">
        <v>380</v>
      </c>
      <c r="I28">
        <v>15446.91</v>
      </c>
    </row>
    <row r="29" spans="1:9">
      <c r="A29">
        <v>175</v>
      </c>
      <c r="B29" t="s">
        <v>355</v>
      </c>
      <c r="C29" t="s">
        <v>355</v>
      </c>
      <c r="D29" t="s">
        <v>524</v>
      </c>
      <c r="E29" t="s">
        <v>9</v>
      </c>
      <c r="F29">
        <v>7000</v>
      </c>
      <c r="G29">
        <v>142.45699999999999</v>
      </c>
      <c r="H29" t="s">
        <v>515</v>
      </c>
      <c r="I29">
        <v>997199</v>
      </c>
    </row>
    <row r="30" spans="1:9">
      <c r="A30">
        <v>176</v>
      </c>
      <c r="B30" t="s">
        <v>263</v>
      </c>
      <c r="C30" t="s">
        <v>123</v>
      </c>
      <c r="D30" t="s">
        <v>525</v>
      </c>
      <c r="E30" t="s">
        <v>9</v>
      </c>
      <c r="F30">
        <v>235.57</v>
      </c>
      <c r="G30">
        <v>757.68200000000002</v>
      </c>
      <c r="H30" t="s">
        <v>526</v>
      </c>
      <c r="I30">
        <v>178487.149</v>
      </c>
    </row>
    <row r="31" spans="1:9">
      <c r="A31">
        <v>177</v>
      </c>
      <c r="B31" t="s">
        <v>358</v>
      </c>
      <c r="C31" t="s">
        <v>358</v>
      </c>
      <c r="D31" t="s">
        <v>555</v>
      </c>
      <c r="E31" t="s">
        <v>9</v>
      </c>
      <c r="F31">
        <v>3768.69</v>
      </c>
      <c r="G31">
        <v>158.86500000000001</v>
      </c>
      <c r="H31" t="s">
        <v>556</v>
      </c>
      <c r="I31">
        <v>598712.93700000003</v>
      </c>
    </row>
    <row r="32" spans="1:9">
      <c r="A32">
        <v>178</v>
      </c>
      <c r="B32" t="s">
        <v>28</v>
      </c>
      <c r="C32" t="s">
        <v>28</v>
      </c>
      <c r="D32" t="s">
        <v>557</v>
      </c>
      <c r="E32" t="s">
        <v>21</v>
      </c>
      <c r="F32">
        <v>2475</v>
      </c>
      <c r="G32">
        <v>9.9990000000000006</v>
      </c>
      <c r="H32" t="s">
        <v>530</v>
      </c>
      <c r="I32">
        <v>24747.525000000001</v>
      </c>
    </row>
    <row r="33" spans="8:9">
      <c r="I33">
        <f>ROUND(SUM(I1:I32)/100000,2)</f>
        <v>177.44</v>
      </c>
    </row>
    <row r="34" spans="8:9">
      <c r="I34">
        <f>ROUND(I33/5,2)</f>
        <v>35.49</v>
      </c>
    </row>
    <row r="35" spans="8:9">
      <c r="H35" s="362" t="s">
        <v>558</v>
      </c>
      <c r="I35">
        <f>ROUND((((I20+I21+I22)/500000)),2)</f>
        <v>1.24</v>
      </c>
    </row>
    <row r="36" spans="8:9">
      <c r="I36">
        <f>I34-I35</f>
        <v>34.25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Estimate</vt:lpstr>
      <vt:lpstr>Embankment</vt:lpstr>
      <vt:lpstr>Regulator</vt:lpstr>
      <vt:lpstr>Inlet</vt:lpstr>
      <vt:lpstr>Box</vt:lpstr>
      <vt:lpstr>Rate_Emb</vt:lpstr>
      <vt:lpstr>Rate_Block_road</vt:lpstr>
      <vt:lpstr>Rate_Neora_Reg</vt:lpstr>
      <vt:lpstr>Rate_Box</vt:lpstr>
      <vt:lpstr>Rate_inlet</vt:lpstr>
      <vt:lpstr>Bagdia_Khal_Regulator</vt:lpstr>
      <vt:lpstr>Embankment!Print_Area</vt:lpstr>
      <vt:lpstr>Estimate!Print_Area</vt:lpstr>
      <vt:lpstr>Inlet!Print_Area</vt:lpstr>
      <vt:lpstr>Regulator!Print_Area</vt:lpstr>
      <vt:lpstr>Box!Print_Titles</vt:lpstr>
      <vt:lpstr>Embankment!Print_Titles</vt:lpstr>
      <vt:lpstr>Inlet!Print_Titles</vt:lpstr>
      <vt:lpstr>Regulator!Print_Titles</vt:lpstr>
    </vt:vector>
  </TitlesOfParts>
  <Company>&lt;arabianhorse&gt;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user</cp:lastModifiedBy>
  <cp:lastPrinted>2017-10-11T10:00:04Z</cp:lastPrinted>
  <dcterms:created xsi:type="dcterms:W3CDTF">2008-09-17T20:10:38Z</dcterms:created>
  <dcterms:modified xsi:type="dcterms:W3CDTF">2020-03-15T23:34:56Z</dcterms:modified>
</cp:coreProperties>
</file>