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ffice Work\IMED\DPP_Revised\"/>
    </mc:Choice>
  </mc:AlternateContent>
  <bookViews>
    <workbookView xWindow="120" yWindow="120" windowWidth="9720" windowHeight="7320" tabRatio="595" activeTab="8"/>
  </bookViews>
  <sheets>
    <sheet name="9.Detil Phasing" sheetId="1" r:id="rId1"/>
    <sheet name="Annex-II" sheetId="2" r:id="rId2"/>
    <sheet name="Inves._Cost" sheetId="3" r:id="rId3"/>
    <sheet name="Crop. Pattern" sheetId="4" r:id="rId4"/>
    <sheet name="FIRR" sheetId="5" r:id="rId5"/>
    <sheet name="EIRR" sheetId="6" r:id="rId6"/>
    <sheet name="Revised 1st" sheetId="7" r:id="rId7"/>
    <sheet name="Annex-IV" sheetId="8" r:id="rId8"/>
    <sheet name="9.0 Det Ph-Fak" sheetId="9" r:id="rId9"/>
    <sheet name="Equipments" sheetId="10" r:id="rId10"/>
  </sheets>
  <definedNames>
    <definedName name="_xlnm.Print_Area" localSheetId="8">'9.0 Det Ph-Fak'!$A$1:$W$102</definedName>
    <definedName name="_xlnm.Print_Area" localSheetId="0">'9.Detil Phasing'!$A$3:$AQ$101</definedName>
    <definedName name="_xlnm.Print_Area" localSheetId="1">'Annex-II'!$A$1:$AF$100</definedName>
    <definedName name="_xlnm.Print_Area" localSheetId="2">Inves._Cost!$A$1:$U$99</definedName>
    <definedName name="_xlnm.Print_Area" localSheetId="6">'Revised 1st'!$A$1:$AD$109</definedName>
    <definedName name="_xlnm.Print_Titles" localSheetId="8">'9.0 Det Ph-Fak'!$1:$8,'9.0 Det Ph-Fak'!$A:$C</definedName>
    <definedName name="_xlnm.Print_Titles" localSheetId="0">'9.Detil Phasing'!$1:$7,'9.Detil Phasing'!$A:$C</definedName>
    <definedName name="_xlnm.Print_Titles" localSheetId="1">'Annex-II'!$1:$6,'Annex-II'!$A:$H</definedName>
    <definedName name="_xlnm.Print_Titles" localSheetId="2">Inves._Cost!$1:$6</definedName>
  </definedNames>
  <calcPr calcId="162913"/>
</workbook>
</file>

<file path=xl/calcChain.xml><?xml version="1.0" encoding="utf-8"?>
<calcChain xmlns="http://schemas.openxmlformats.org/spreadsheetml/2006/main">
  <c r="CM100" i="9" l="1"/>
  <c r="CJ100" i="9"/>
  <c r="CH100" i="9"/>
  <c r="CB100" i="9"/>
  <c r="BZ100" i="9"/>
  <c r="BN100" i="9"/>
  <c r="BD100" i="9"/>
  <c r="AT100" i="9"/>
  <c r="AJ100" i="9"/>
  <c r="BY100" i="9" s="1"/>
  <c r="CG100" i="9" s="1"/>
  <c r="CL99" i="9"/>
  <c r="CJ99" i="9"/>
  <c r="CH99" i="9"/>
  <c r="CB99" i="9"/>
  <c r="BZ99" i="9"/>
  <c r="BN99" i="9"/>
  <c r="BD99" i="9"/>
  <c r="BY99" i="9" s="1"/>
  <c r="AT99" i="9"/>
  <c r="AJ99" i="9"/>
  <c r="CL98" i="9"/>
  <c r="BH98" i="9"/>
  <c r="BH101" i="9" s="1"/>
  <c r="BG98" i="9"/>
  <c r="BG101" i="9" s="1"/>
  <c r="CP97" i="9"/>
  <c r="CP100" i="9" s="1"/>
  <c r="CO97" i="9"/>
  <c r="CO100" i="9" s="1"/>
  <c r="CM97" i="9"/>
  <c r="CC97" i="9"/>
  <c r="BR97" i="9"/>
  <c r="BQ97" i="9"/>
  <c r="BO97" i="9"/>
  <c r="BN97" i="9"/>
  <c r="BH97" i="9"/>
  <c r="BG97" i="9"/>
  <c r="BE97" i="9"/>
  <c r="AX97" i="9"/>
  <c r="AW97" i="9"/>
  <c r="AU97" i="9"/>
  <c r="AN97" i="9"/>
  <c r="AM97" i="9"/>
  <c r="AK97" i="9"/>
  <c r="AD97" i="9"/>
  <c r="AC97" i="9"/>
  <c r="AA97" i="9"/>
  <c r="T97" i="9"/>
  <c r="S97" i="9"/>
  <c r="Q97" i="9"/>
  <c r="I97" i="9"/>
  <c r="G97" i="9"/>
  <c r="CL96" i="9"/>
  <c r="CG103" i="9" s="1"/>
  <c r="CJ96" i="9"/>
  <c r="CH96" i="9"/>
  <c r="BZ96" i="9"/>
  <c r="BN96" i="9"/>
  <c r="BD96" i="9"/>
  <c r="BY96" i="9" s="1"/>
  <c r="CG96" i="9" s="1"/>
  <c r="AT96" i="9"/>
  <c r="AJ96" i="9"/>
  <c r="CL95" i="9"/>
  <c r="CG102" i="9" s="1"/>
  <c r="CJ95" i="9"/>
  <c r="CH95" i="9"/>
  <c r="CB95" i="9"/>
  <c r="BZ95" i="9"/>
  <c r="AJ95" i="9"/>
  <c r="Z95" i="9"/>
  <c r="BY95" i="9" s="1"/>
  <c r="CG95" i="9" s="1"/>
  <c r="CL94" i="9"/>
  <c r="CG94" i="9"/>
  <c r="CB94" i="9"/>
  <c r="CJ94" i="9" s="1"/>
  <c r="BZ94" i="9"/>
  <c r="CH94" i="9" s="1"/>
  <c r="BY94" i="9"/>
  <c r="AJ94" i="9"/>
  <c r="CL93" i="9"/>
  <c r="CH93" i="9"/>
  <c r="CB93" i="9"/>
  <c r="CJ93" i="9" s="1"/>
  <c r="BZ93" i="9"/>
  <c r="AJ93" i="9"/>
  <c r="BY93" i="9" s="1"/>
  <c r="CG93" i="9" s="1"/>
  <c r="CL92" i="9"/>
  <c r="CJ92" i="9"/>
  <c r="CH92" i="9"/>
  <c r="CB92" i="9"/>
  <c r="BZ92" i="9"/>
  <c r="BN92" i="9"/>
  <c r="BD92" i="9"/>
  <c r="AT92" i="9"/>
  <c r="AJ92" i="9"/>
  <c r="Z92" i="9"/>
  <c r="P92" i="9"/>
  <c r="F92" i="9"/>
  <c r="BY92" i="9" s="1"/>
  <c r="CG92" i="9" s="1"/>
  <c r="CL91" i="9"/>
  <c r="CJ91" i="9"/>
  <c r="CH91" i="9"/>
  <c r="CB91" i="9"/>
  <c r="BZ91" i="9"/>
  <c r="BY91" i="9"/>
  <c r="CG91" i="9" s="1"/>
  <c r="AJ91" i="9"/>
  <c r="Z91" i="9"/>
  <c r="CL90" i="9"/>
  <c r="CJ90" i="9"/>
  <c r="CH90" i="9"/>
  <c r="CB90" i="9"/>
  <c r="BZ90" i="9"/>
  <c r="AJ90" i="9"/>
  <c r="Z90" i="9"/>
  <c r="BY90" i="9" s="1"/>
  <c r="CG90" i="9" s="1"/>
  <c r="CL89" i="9"/>
  <c r="CG89" i="9"/>
  <c r="CB89" i="9"/>
  <c r="CJ89" i="9" s="1"/>
  <c r="BZ89" i="9"/>
  <c r="CH89" i="9" s="1"/>
  <c r="BY89" i="9"/>
  <c r="AJ89" i="9"/>
  <c r="Z89" i="9"/>
  <c r="CL88" i="9"/>
  <c r="CJ88" i="9"/>
  <c r="CH88" i="9"/>
  <c r="CG88" i="9"/>
  <c r="CL87" i="9"/>
  <c r="CH87" i="9"/>
  <c r="CG87" i="9"/>
  <c r="CB87" i="9"/>
  <c r="CJ87" i="9" s="1"/>
  <c r="BZ87" i="9"/>
  <c r="BY87" i="9"/>
  <c r="AJ87" i="9"/>
  <c r="CL86" i="9"/>
  <c r="CJ86" i="9"/>
  <c r="CH86" i="9"/>
  <c r="CB86" i="9"/>
  <c r="BZ86" i="9"/>
  <c r="AJ86" i="9"/>
  <c r="BY86" i="9" s="1"/>
  <c r="CG86" i="9" s="1"/>
  <c r="CL85" i="9"/>
  <c r="CJ85" i="9"/>
  <c r="CH85" i="9"/>
  <c r="CB85" i="9"/>
  <c r="BZ85" i="9"/>
  <c r="BD85" i="9"/>
  <c r="BD97" i="9" s="1"/>
  <c r="AT85" i="9"/>
  <c r="AJ85" i="9"/>
  <c r="Z85" i="9"/>
  <c r="P85" i="9"/>
  <c r="BY85" i="9" s="1"/>
  <c r="CG85" i="9" s="1"/>
  <c r="F85" i="9"/>
  <c r="CL84" i="9"/>
  <c r="CJ84" i="9"/>
  <c r="CH84" i="9"/>
  <c r="CB84" i="9"/>
  <c r="BZ84" i="9"/>
  <c r="AT84" i="9"/>
  <c r="AJ84" i="9"/>
  <c r="Z84" i="9"/>
  <c r="P84" i="9"/>
  <c r="F84" i="9"/>
  <c r="BY84" i="9" s="1"/>
  <c r="CG84" i="9" s="1"/>
  <c r="CL83" i="9"/>
  <c r="CJ83" i="9"/>
  <c r="CH83" i="9"/>
  <c r="CB83" i="9"/>
  <c r="BZ83" i="9"/>
  <c r="BY83" i="9"/>
  <c r="CG83" i="9" s="1"/>
  <c r="AJ83" i="9"/>
  <c r="Z83" i="9"/>
  <c r="CJ82" i="9"/>
  <c r="CH82" i="9"/>
  <c r="CJ81" i="9"/>
  <c r="CH81" i="9"/>
  <c r="CG81" i="9"/>
  <c r="CL80" i="9"/>
  <c r="CJ80" i="9"/>
  <c r="CH80" i="9"/>
  <c r="CB80" i="9"/>
  <c r="BZ80" i="9"/>
  <c r="AT80" i="9"/>
  <c r="AJ80" i="9"/>
  <c r="Z80" i="9"/>
  <c r="P80" i="9"/>
  <c r="F80" i="9"/>
  <c r="CJ79" i="9"/>
  <c r="CH79" i="9"/>
  <c r="CG79" i="9"/>
  <c r="CL78" i="9"/>
  <c r="CJ78" i="9"/>
  <c r="BZ78" i="9"/>
  <c r="CH78" i="9" s="1"/>
  <c r="BY78" i="9"/>
  <c r="CG78" i="9" s="1"/>
  <c r="AJ78" i="9"/>
  <c r="Z78" i="9"/>
  <c r="P78" i="9"/>
  <c r="F78" i="9"/>
  <c r="CL77" i="9"/>
  <c r="CJ77" i="9"/>
  <c r="CH77" i="9"/>
  <c r="BZ77" i="9"/>
  <c r="AT77" i="9"/>
  <c r="AT97" i="9" s="1"/>
  <c r="AJ77" i="9"/>
  <c r="Z77" i="9"/>
  <c r="P77" i="9"/>
  <c r="F77" i="9"/>
  <c r="CL76" i="9"/>
  <c r="CJ76" i="9"/>
  <c r="CH76" i="9"/>
  <c r="BZ76" i="9"/>
  <c r="Z76" i="9"/>
  <c r="F76" i="9"/>
  <c r="BY76" i="9" s="1"/>
  <c r="CG76" i="9" s="1"/>
  <c r="CL75" i="9"/>
  <c r="CG82" i="9" s="1"/>
  <c r="CJ75" i="9"/>
  <c r="CH75" i="9"/>
  <c r="BZ75" i="9"/>
  <c r="Z75" i="9"/>
  <c r="BY75" i="9" s="1"/>
  <c r="CG75" i="9" s="1"/>
  <c r="F75" i="9"/>
  <c r="CL74" i="9"/>
  <c r="CJ74" i="9"/>
  <c r="CG74" i="9"/>
  <c r="BZ74" i="9"/>
  <c r="CH74" i="9" s="1"/>
  <c r="BY74" i="9"/>
  <c r="Z74" i="9"/>
  <c r="F74" i="9"/>
  <c r="CL73" i="9"/>
  <c r="CJ73" i="9"/>
  <c r="CH73" i="9"/>
  <c r="BZ73" i="9"/>
  <c r="Z73" i="9"/>
  <c r="P73" i="9"/>
  <c r="F73" i="9"/>
  <c r="BY73" i="9" s="1"/>
  <c r="CG73" i="9" s="1"/>
  <c r="CJ72" i="9"/>
  <c r="CH72" i="9"/>
  <c r="CL71" i="9"/>
  <c r="CJ71" i="9"/>
  <c r="CH71" i="9"/>
  <c r="BZ71" i="9"/>
  <c r="Z71" i="9"/>
  <c r="BY71" i="9" s="1"/>
  <c r="CG71" i="9" s="1"/>
  <c r="CL70" i="9"/>
  <c r="CJ70" i="9"/>
  <c r="CH70" i="9"/>
  <c r="BZ70" i="9"/>
  <c r="Z70" i="9"/>
  <c r="BY70" i="9" s="1"/>
  <c r="CG70" i="9" s="1"/>
  <c r="CL69" i="9"/>
  <c r="CJ69" i="9"/>
  <c r="BZ69" i="9"/>
  <c r="CH69" i="9" s="1"/>
  <c r="BY69" i="9"/>
  <c r="CG69" i="9" s="1"/>
  <c r="Z69" i="9"/>
  <c r="P69" i="9"/>
  <c r="F69" i="9"/>
  <c r="CJ68" i="9"/>
  <c r="CH68" i="9"/>
  <c r="CL67" i="9"/>
  <c r="CJ67" i="9"/>
  <c r="BZ67" i="9"/>
  <c r="CH67" i="9" s="1"/>
  <c r="BY67" i="9"/>
  <c r="CG67" i="9" s="1"/>
  <c r="Z67" i="9"/>
  <c r="P67" i="9"/>
  <c r="F67" i="9"/>
  <c r="CL66" i="9"/>
  <c r="CJ66" i="9"/>
  <c r="CH66" i="9"/>
  <c r="BZ66" i="9"/>
  <c r="Z66" i="9"/>
  <c r="F66" i="9"/>
  <c r="BY66" i="9" s="1"/>
  <c r="CG66" i="9" s="1"/>
  <c r="CJ65" i="9"/>
  <c r="CH65" i="9"/>
  <c r="CG65" i="9"/>
  <c r="CL64" i="9"/>
  <c r="CG72" i="9" s="1"/>
  <c r="CJ64" i="9"/>
  <c r="BZ64" i="9"/>
  <c r="CH64" i="9" s="1"/>
  <c r="Z64" i="9"/>
  <c r="P64" i="9"/>
  <c r="F64" i="9"/>
  <c r="BY64" i="9" s="1"/>
  <c r="CG64" i="9" s="1"/>
  <c r="CJ63" i="9"/>
  <c r="CH63" i="9"/>
  <c r="CG63" i="9"/>
  <c r="CL62" i="9"/>
  <c r="CJ62" i="9"/>
  <c r="BZ62" i="9"/>
  <c r="CH62" i="9" s="1"/>
  <c r="Z62" i="9"/>
  <c r="P62" i="9"/>
  <c r="P97" i="9" s="1"/>
  <c r="F62" i="9"/>
  <c r="BY62" i="9" s="1"/>
  <c r="CG62" i="9" s="1"/>
  <c r="CL61" i="9"/>
  <c r="CG68" i="9" s="1"/>
  <c r="CJ61" i="9"/>
  <c r="CH61" i="9"/>
  <c r="BZ61" i="9"/>
  <c r="BZ97" i="9" s="1"/>
  <c r="CH97" i="9" s="1"/>
  <c r="Z61" i="9"/>
  <c r="Z97" i="9" s="1"/>
  <c r="F61" i="9"/>
  <c r="BY61" i="9" s="1"/>
  <c r="CG61" i="9" s="1"/>
  <c r="CJ60" i="9"/>
  <c r="CH60" i="9"/>
  <c r="CG60" i="9"/>
  <c r="CJ59" i="9"/>
  <c r="CH59" i="9"/>
  <c r="CG59" i="9"/>
  <c r="CJ58" i="9"/>
  <c r="CH58" i="9"/>
  <c r="CG58" i="9"/>
  <c r="CP57" i="9"/>
  <c r="CO57" i="9"/>
  <c r="CM57" i="9"/>
  <c r="CC57" i="9"/>
  <c r="CC98" i="9" s="1"/>
  <c r="CC101" i="9" s="1"/>
  <c r="CA57" i="9"/>
  <c r="BR57" i="9"/>
  <c r="BR98" i="9" s="1"/>
  <c r="BR101" i="9" s="1"/>
  <c r="BQ57" i="9"/>
  <c r="BQ98" i="9" s="1"/>
  <c r="BQ101" i="9" s="1"/>
  <c r="BP57" i="9"/>
  <c r="BO57" i="9"/>
  <c r="BO98" i="9" s="1"/>
  <c r="BO101" i="9" s="1"/>
  <c r="BH57" i="9"/>
  <c r="BG57" i="9"/>
  <c r="BF57" i="9"/>
  <c r="BE57" i="9"/>
  <c r="BE98" i="9" s="1"/>
  <c r="BE101" i="9" s="1"/>
  <c r="AX57" i="9"/>
  <c r="AX98" i="9" s="1"/>
  <c r="AX101" i="9" s="1"/>
  <c r="AW57" i="9"/>
  <c r="AW98" i="9" s="1"/>
  <c r="AW101" i="9" s="1"/>
  <c r="AU57" i="9"/>
  <c r="AU98" i="9" s="1"/>
  <c r="AU101" i="9" s="1"/>
  <c r="AN57" i="9"/>
  <c r="AN98" i="9" s="1"/>
  <c r="AN101" i="9" s="1"/>
  <c r="AM57" i="9"/>
  <c r="AM98" i="9" s="1"/>
  <c r="AM101" i="9" s="1"/>
  <c r="AK57" i="9"/>
  <c r="AD57" i="9"/>
  <c r="AD98" i="9" s="1"/>
  <c r="AD101" i="9" s="1"/>
  <c r="AC57" i="9"/>
  <c r="AC98" i="9" s="1"/>
  <c r="AC101" i="9" s="1"/>
  <c r="AA57" i="9"/>
  <c r="AA98" i="9" s="1"/>
  <c r="AA101" i="9" s="1"/>
  <c r="T57" i="9"/>
  <c r="T98" i="9" s="1"/>
  <c r="T101" i="9" s="1"/>
  <c r="S57" i="9"/>
  <c r="S98" i="9" s="1"/>
  <c r="S101" i="9" s="1"/>
  <c r="Q57" i="9"/>
  <c r="Q98" i="9" s="1"/>
  <c r="Q101" i="9" s="1"/>
  <c r="J57" i="9"/>
  <c r="J98" i="9" s="1"/>
  <c r="J101" i="9" s="1"/>
  <c r="I57" i="9"/>
  <c r="I98" i="9" s="1"/>
  <c r="I101" i="9" s="1"/>
  <c r="G57" i="9"/>
  <c r="G98" i="9" s="1"/>
  <c r="G101" i="9" s="1"/>
  <c r="CL56" i="9"/>
  <c r="CJ56" i="9"/>
  <c r="CH56" i="9"/>
  <c r="BZ56" i="9"/>
  <c r="BN56" i="9"/>
  <c r="BD56" i="9"/>
  <c r="AT56" i="9"/>
  <c r="BY56" i="9" s="1"/>
  <c r="CG56" i="9" s="1"/>
  <c r="AJ56" i="9"/>
  <c r="Z56" i="9"/>
  <c r="CL55" i="9"/>
  <c r="CJ55" i="9"/>
  <c r="CH55" i="9"/>
  <c r="CG55" i="9"/>
  <c r="BZ55" i="9"/>
  <c r="BY55" i="9"/>
  <c r="BN55" i="9"/>
  <c r="BD55" i="9"/>
  <c r="AT55" i="9"/>
  <c r="AJ55" i="9"/>
  <c r="Z55" i="9"/>
  <c r="P55" i="9"/>
  <c r="F55" i="9"/>
  <c r="CL54" i="9"/>
  <c r="CJ54" i="9"/>
  <c r="CH54" i="9"/>
  <c r="CB54" i="9"/>
  <c r="BZ54" i="9"/>
  <c r="AJ54" i="9"/>
  <c r="Z54" i="9"/>
  <c r="P54" i="9"/>
  <c r="BY54" i="9" s="1"/>
  <c r="CG54" i="9" s="1"/>
  <c r="F54" i="9"/>
  <c r="CJ53" i="9"/>
  <c r="CH53" i="9"/>
  <c r="CG53" i="9"/>
  <c r="Z53" i="9"/>
  <c r="CL52" i="9"/>
  <c r="CJ52" i="9"/>
  <c r="BZ52" i="9"/>
  <c r="CH52" i="9" s="1"/>
  <c r="BN52" i="9"/>
  <c r="BD52" i="9"/>
  <c r="AT52" i="9"/>
  <c r="AJ52" i="9"/>
  <c r="Z52" i="9"/>
  <c r="P52" i="9"/>
  <c r="F52" i="9"/>
  <c r="BY52" i="9" s="1"/>
  <c r="CG52" i="9" s="1"/>
  <c r="CL51" i="9"/>
  <c r="CJ51" i="9"/>
  <c r="BZ51" i="9"/>
  <c r="CH51" i="9" s="1"/>
  <c r="BN51" i="9"/>
  <c r="BD51" i="9"/>
  <c r="AT51" i="9"/>
  <c r="AJ51" i="9"/>
  <c r="Z51" i="9"/>
  <c r="BY51" i="9" s="1"/>
  <c r="CG51" i="9" s="1"/>
  <c r="CL50" i="9"/>
  <c r="CJ50" i="9"/>
  <c r="BZ50" i="9"/>
  <c r="CH50" i="9" s="1"/>
  <c r="BN50" i="9"/>
  <c r="BD50" i="9"/>
  <c r="AT50" i="9"/>
  <c r="AJ50" i="9"/>
  <c r="Z50" i="9"/>
  <c r="BY50" i="9" s="1"/>
  <c r="CG50" i="9" s="1"/>
  <c r="CL49" i="9"/>
  <c r="CJ49" i="9"/>
  <c r="CH49" i="9"/>
  <c r="BZ49" i="9"/>
  <c r="BN49" i="9"/>
  <c r="BD49" i="9"/>
  <c r="AT49" i="9"/>
  <c r="AJ49" i="9"/>
  <c r="Z49" i="9"/>
  <c r="P49" i="9"/>
  <c r="F49" i="9"/>
  <c r="BY49" i="9" s="1"/>
  <c r="CG49" i="9" s="1"/>
  <c r="CL48" i="9"/>
  <c r="CJ48" i="9"/>
  <c r="BZ48" i="9"/>
  <c r="CH48" i="9" s="1"/>
  <c r="BN48" i="9"/>
  <c r="BD48" i="9"/>
  <c r="AT48" i="9"/>
  <c r="AJ48" i="9"/>
  <c r="Z48" i="9"/>
  <c r="F48" i="9"/>
  <c r="BY48" i="9" s="1"/>
  <c r="CG48" i="9" s="1"/>
  <c r="CL47" i="9"/>
  <c r="CJ47" i="9"/>
  <c r="BZ47" i="9"/>
  <c r="CH47" i="9" s="1"/>
  <c r="BN47" i="9"/>
  <c r="BD47" i="9"/>
  <c r="AT47" i="9"/>
  <c r="AJ47" i="9"/>
  <c r="Z47" i="9"/>
  <c r="P47" i="9"/>
  <c r="F47" i="9"/>
  <c r="CL46" i="9"/>
  <c r="CJ46" i="9"/>
  <c r="BZ46" i="9"/>
  <c r="CH46" i="9" s="1"/>
  <c r="BN46" i="9"/>
  <c r="BD46" i="9"/>
  <c r="AT46" i="9"/>
  <c r="AJ46" i="9"/>
  <c r="Z46" i="9"/>
  <c r="P46" i="9"/>
  <c r="F46" i="9"/>
  <c r="BY46" i="9" s="1"/>
  <c r="CG46" i="9" s="1"/>
  <c r="CJ45" i="9"/>
  <c r="CH45" i="9"/>
  <c r="CG45" i="9"/>
  <c r="CL44" i="9"/>
  <c r="CJ44" i="9"/>
  <c r="BZ44" i="9"/>
  <c r="CH44" i="9" s="1"/>
  <c r="BY44" i="9"/>
  <c r="CG44" i="9" s="1"/>
  <c r="BN44" i="9"/>
  <c r="BD44" i="9"/>
  <c r="AT44" i="9"/>
  <c r="AJ44" i="9"/>
  <c r="Z44" i="9"/>
  <c r="P44" i="9"/>
  <c r="F44" i="9"/>
  <c r="CL43" i="9"/>
  <c r="CJ43" i="9"/>
  <c r="BZ43" i="9"/>
  <c r="CH43" i="9" s="1"/>
  <c r="BY43" i="9"/>
  <c r="CG43" i="9" s="1"/>
  <c r="BN43" i="9"/>
  <c r="BD43" i="9"/>
  <c r="AT43" i="9"/>
  <c r="AJ43" i="9"/>
  <c r="Z43" i="9"/>
  <c r="P43" i="9"/>
  <c r="F43" i="9"/>
  <c r="CL42" i="9"/>
  <c r="CJ42" i="9"/>
  <c r="CG42" i="9"/>
  <c r="BZ42" i="9"/>
  <c r="CH42" i="9" s="1"/>
  <c r="BY42" i="9"/>
  <c r="BN42" i="9"/>
  <c r="BD42" i="9"/>
  <c r="AT42" i="9"/>
  <c r="AJ42" i="9"/>
  <c r="Z42" i="9"/>
  <c r="P42" i="9"/>
  <c r="F42" i="9"/>
  <c r="CL41" i="9"/>
  <c r="CJ41" i="9"/>
  <c r="CH41" i="9"/>
  <c r="CG41" i="9"/>
  <c r="BZ41" i="9"/>
  <c r="BY41" i="9"/>
  <c r="BN41" i="9"/>
  <c r="BD41" i="9"/>
  <c r="AT41" i="9"/>
  <c r="AJ41" i="9"/>
  <c r="Z41" i="9"/>
  <c r="P41" i="9"/>
  <c r="CL40" i="9"/>
  <c r="CJ40" i="9"/>
  <c r="CH40" i="9"/>
  <c r="CG40" i="9"/>
  <c r="BZ40" i="9"/>
  <c r="BY40" i="9"/>
  <c r="BD40" i="9"/>
  <c r="AT40" i="9"/>
  <c r="AJ40" i="9"/>
  <c r="Z40" i="9"/>
  <c r="P40" i="9"/>
  <c r="CL39" i="9"/>
  <c r="CJ39" i="9"/>
  <c r="BZ39" i="9"/>
  <c r="CH39" i="9" s="1"/>
  <c r="BN39" i="9"/>
  <c r="BY39" i="9" s="1"/>
  <c r="CG39" i="9" s="1"/>
  <c r="BD39" i="9"/>
  <c r="AT39" i="9"/>
  <c r="AJ39" i="9"/>
  <c r="Z39" i="9"/>
  <c r="F39" i="9"/>
  <c r="CL38" i="9"/>
  <c r="CJ38" i="9"/>
  <c r="CH38" i="9"/>
  <c r="CC38" i="9"/>
  <c r="BN38" i="9"/>
  <c r="BY38" i="9" s="1"/>
  <c r="CG38" i="9" s="1"/>
  <c r="BD38" i="9"/>
  <c r="AT38" i="9"/>
  <c r="AJ38" i="9"/>
  <c r="Z38" i="9"/>
  <c r="P38" i="9"/>
  <c r="F38" i="9"/>
  <c r="CL37" i="9"/>
  <c r="CJ37" i="9"/>
  <c r="CH37" i="9"/>
  <c r="CG37" i="9"/>
  <c r="BZ37" i="9"/>
  <c r="BY37" i="9"/>
  <c r="BN37" i="9"/>
  <c r="BD37" i="9"/>
  <c r="AT37" i="9"/>
  <c r="AJ37" i="9"/>
  <c r="Z37" i="9"/>
  <c r="P37" i="9"/>
  <c r="F37" i="9"/>
  <c r="CL36" i="9"/>
  <c r="CJ36" i="9"/>
  <c r="CH36" i="9"/>
  <c r="BZ36" i="9"/>
  <c r="BN36" i="9"/>
  <c r="BD36" i="9"/>
  <c r="AT36" i="9"/>
  <c r="AJ36" i="9"/>
  <c r="Z36" i="9"/>
  <c r="P36" i="9"/>
  <c r="F36" i="9"/>
  <c r="BY36" i="9" s="1"/>
  <c r="CG36" i="9" s="1"/>
  <c r="CL35" i="9"/>
  <c r="CJ35" i="9"/>
  <c r="CH35" i="9"/>
  <c r="BZ35" i="9"/>
  <c r="BN35" i="9"/>
  <c r="BD35" i="9"/>
  <c r="AT35" i="9"/>
  <c r="BY35" i="9" s="1"/>
  <c r="CG35" i="9" s="1"/>
  <c r="AJ35" i="9"/>
  <c r="Z35" i="9"/>
  <c r="CL34" i="9"/>
  <c r="CJ34" i="9"/>
  <c r="CH34" i="9"/>
  <c r="CB34" i="9"/>
  <c r="CB57" i="9" s="1"/>
  <c r="BZ34" i="9"/>
  <c r="BN34" i="9"/>
  <c r="BD34" i="9"/>
  <c r="AT34" i="9"/>
  <c r="AJ34" i="9"/>
  <c r="Z34" i="9"/>
  <c r="P34" i="9"/>
  <c r="F34" i="9"/>
  <c r="BY34" i="9" s="1"/>
  <c r="CG34" i="9" s="1"/>
  <c r="CL33" i="9"/>
  <c r="CJ33" i="9"/>
  <c r="CH33" i="9"/>
  <c r="CB33" i="9"/>
  <c r="BZ33" i="9"/>
  <c r="BN33" i="9"/>
  <c r="BD33" i="9"/>
  <c r="AT33" i="9"/>
  <c r="AJ33" i="9"/>
  <c r="Z33" i="9"/>
  <c r="P33" i="9"/>
  <c r="F33" i="9"/>
  <c r="CL32" i="9"/>
  <c r="CB32" i="9"/>
  <c r="CJ32" i="9" s="1"/>
  <c r="BZ32" i="9"/>
  <c r="CH32" i="9" s="1"/>
  <c r="BN32" i="9"/>
  <c r="BD32" i="9"/>
  <c r="AT32" i="9"/>
  <c r="AJ32" i="9"/>
  <c r="Z32" i="9"/>
  <c r="P32" i="9"/>
  <c r="F32" i="9"/>
  <c r="BY32" i="9" s="1"/>
  <c r="CG32" i="9" s="1"/>
  <c r="CL31" i="9"/>
  <c r="CJ31" i="9"/>
  <c r="CH31" i="9"/>
  <c r="CB31" i="9"/>
  <c r="Z31" i="9"/>
  <c r="BY31" i="9" s="1"/>
  <c r="CG31" i="9" s="1"/>
  <c r="CJ30" i="9"/>
  <c r="CH30" i="9"/>
  <c r="CG30" i="9"/>
  <c r="CL29" i="9"/>
  <c r="CJ29" i="9"/>
  <c r="BZ29" i="9"/>
  <c r="CH29" i="9" s="1"/>
  <c r="BN29" i="9"/>
  <c r="BD29" i="9"/>
  <c r="AT29" i="9"/>
  <c r="AJ29" i="9"/>
  <c r="Z29" i="9"/>
  <c r="F29" i="9"/>
  <c r="BY29" i="9" s="1"/>
  <c r="CG29" i="9" s="1"/>
  <c r="CL28" i="9"/>
  <c r="CJ28" i="9"/>
  <c r="BZ28" i="9"/>
  <c r="CH28" i="9" s="1"/>
  <c r="BN28" i="9"/>
  <c r="BD28" i="9"/>
  <c r="AT28" i="9"/>
  <c r="AJ28" i="9"/>
  <c r="Z28" i="9"/>
  <c r="F28" i="9"/>
  <c r="CL27" i="9"/>
  <c r="CJ27" i="9"/>
  <c r="BZ27" i="9"/>
  <c r="CH27" i="9" s="1"/>
  <c r="BD27" i="9"/>
  <c r="AT27" i="9"/>
  <c r="AJ27" i="9"/>
  <c r="Z27" i="9"/>
  <c r="F27" i="9"/>
  <c r="BY27" i="9" s="1"/>
  <c r="CG27" i="9" s="1"/>
  <c r="CL26" i="9"/>
  <c r="CJ26" i="9"/>
  <c r="BZ26" i="9"/>
  <c r="CH26" i="9" s="1"/>
  <c r="AJ26" i="9"/>
  <c r="Z26" i="9"/>
  <c r="P26" i="9"/>
  <c r="F26" i="9"/>
  <c r="BY26" i="9" s="1"/>
  <c r="CG26" i="9" s="1"/>
  <c r="CL25" i="9"/>
  <c r="CJ25" i="9"/>
  <c r="CH25" i="9"/>
  <c r="BZ25" i="9"/>
  <c r="BN25" i="9"/>
  <c r="BD25" i="9"/>
  <c r="AT25" i="9"/>
  <c r="AJ25" i="9"/>
  <c r="Z25" i="9"/>
  <c r="F25" i="9"/>
  <c r="BY25" i="9" s="1"/>
  <c r="CL24" i="9"/>
  <c r="CJ24" i="9"/>
  <c r="CH24" i="9"/>
  <c r="BZ24" i="9"/>
  <c r="BN24" i="9"/>
  <c r="BD24" i="9"/>
  <c r="AT24" i="9"/>
  <c r="AJ24" i="9"/>
  <c r="Z24" i="9"/>
  <c r="F24" i="9"/>
  <c r="BY24" i="9" s="1"/>
  <c r="CL23" i="9"/>
  <c r="CJ23" i="9"/>
  <c r="CH23" i="9"/>
  <c r="BZ23" i="9"/>
  <c r="BN23" i="9"/>
  <c r="BD23" i="9"/>
  <c r="AT23" i="9"/>
  <c r="AJ23" i="9"/>
  <c r="Z23" i="9"/>
  <c r="P23" i="9"/>
  <c r="F23" i="9"/>
  <c r="BY23" i="9" s="1"/>
  <c r="CG23" i="9" s="1"/>
  <c r="CL22" i="9"/>
  <c r="CJ22" i="9"/>
  <c r="CH22" i="9"/>
  <c r="BZ22" i="9"/>
  <c r="BN22" i="9"/>
  <c r="BD22" i="9"/>
  <c r="AT22" i="9"/>
  <c r="AJ22" i="9"/>
  <c r="Z22" i="9"/>
  <c r="P22" i="9"/>
  <c r="F22" i="9"/>
  <c r="BY22" i="9" s="1"/>
  <c r="CG22" i="9" s="1"/>
  <c r="CL21" i="9"/>
  <c r="CJ21" i="9"/>
  <c r="BZ21" i="9"/>
  <c r="CH21" i="9" s="1"/>
  <c r="BY21" i="9"/>
  <c r="CG21" i="9" s="1"/>
  <c r="Z21" i="9"/>
  <c r="P21" i="9"/>
  <c r="F21" i="9"/>
  <c r="CL20" i="9"/>
  <c r="CJ20" i="9"/>
  <c r="CH20" i="9"/>
  <c r="BZ20" i="9"/>
  <c r="BN20" i="9"/>
  <c r="BD20" i="9"/>
  <c r="AT20" i="9"/>
  <c r="AJ20" i="9"/>
  <c r="Z20" i="9"/>
  <c r="P20" i="9"/>
  <c r="F20" i="9"/>
  <c r="BY20" i="9" s="1"/>
  <c r="CG20" i="9" s="1"/>
  <c r="CL19" i="9"/>
  <c r="CJ19" i="9"/>
  <c r="CH19" i="9"/>
  <c r="BZ19" i="9"/>
  <c r="BN19" i="9"/>
  <c r="BD19" i="9"/>
  <c r="AT19" i="9"/>
  <c r="AJ19" i="9"/>
  <c r="Z19" i="9"/>
  <c r="F19" i="9"/>
  <c r="BY19" i="9" s="1"/>
  <c r="CL18" i="9"/>
  <c r="CJ18" i="9"/>
  <c r="CH18" i="9"/>
  <c r="BZ18" i="9"/>
  <c r="BN18" i="9"/>
  <c r="BD18" i="9"/>
  <c r="AT18" i="9"/>
  <c r="AJ18" i="9"/>
  <c r="Z18" i="9"/>
  <c r="F18" i="9"/>
  <c r="BY18" i="9" s="1"/>
  <c r="CL17" i="9"/>
  <c r="CJ17" i="9"/>
  <c r="CH17" i="9"/>
  <c r="BZ17" i="9"/>
  <c r="BN17" i="9"/>
  <c r="BD17" i="9"/>
  <c r="AT17" i="9"/>
  <c r="AJ17" i="9"/>
  <c r="Z17" i="9"/>
  <c r="F17" i="9"/>
  <c r="BY17" i="9" s="1"/>
  <c r="CG17" i="9" s="1"/>
  <c r="CL16" i="9"/>
  <c r="CJ16" i="9"/>
  <c r="CH16" i="9"/>
  <c r="BZ16" i="9"/>
  <c r="BN16" i="9"/>
  <c r="BD16" i="9"/>
  <c r="AT16" i="9"/>
  <c r="AJ16" i="9"/>
  <c r="Z16" i="9"/>
  <c r="P16" i="9"/>
  <c r="F16" i="9"/>
  <c r="BY16" i="9" s="1"/>
  <c r="CL15" i="9"/>
  <c r="CJ15" i="9"/>
  <c r="CH15" i="9"/>
  <c r="BZ15" i="9"/>
  <c r="BN15" i="9"/>
  <c r="BD15" i="9"/>
  <c r="AT15" i="9"/>
  <c r="AJ15" i="9"/>
  <c r="Z15" i="9"/>
  <c r="F15" i="9"/>
  <c r="BY15" i="9" s="1"/>
  <c r="CG15" i="9" s="1"/>
  <c r="CJ14" i="9"/>
  <c r="CH14" i="9"/>
  <c r="CG14" i="9"/>
  <c r="CL13" i="9"/>
  <c r="CJ13" i="9"/>
  <c r="BZ13" i="9"/>
  <c r="CH13" i="9" s="1"/>
  <c r="BN13" i="9"/>
  <c r="BD13" i="9"/>
  <c r="AT13" i="9"/>
  <c r="AJ13" i="9"/>
  <c r="Z13" i="9"/>
  <c r="BY13" i="9" s="1"/>
  <c r="CG13" i="9" s="1"/>
  <c r="CL12" i="9"/>
  <c r="CJ12" i="9"/>
  <c r="BZ12" i="9"/>
  <c r="CH12" i="9" s="1"/>
  <c r="BN12" i="9"/>
  <c r="BD12" i="9"/>
  <c r="AT12" i="9"/>
  <c r="AJ12" i="9"/>
  <c r="Z12" i="9"/>
  <c r="CL11" i="9"/>
  <c r="CJ11" i="9"/>
  <c r="BZ11" i="9"/>
  <c r="BN11" i="9"/>
  <c r="BN57" i="9" s="1"/>
  <c r="BN98" i="9" s="1"/>
  <c r="BN101" i="9" s="1"/>
  <c r="BD11" i="9"/>
  <c r="BD57" i="9" s="1"/>
  <c r="BD98" i="9" s="1"/>
  <c r="BD101" i="9" s="1"/>
  <c r="AT11" i="9"/>
  <c r="AT57" i="9" s="1"/>
  <c r="AT98" i="9" s="1"/>
  <c r="AT101" i="9" s="1"/>
  <c r="AJ11" i="9"/>
  <c r="Z11" i="9"/>
  <c r="P11" i="9"/>
  <c r="P57" i="9" s="1"/>
  <c r="P98" i="9" s="1"/>
  <c r="P101" i="9" s="1"/>
  <c r="F11" i="9"/>
  <c r="K47" i="8"/>
  <c r="J47" i="8"/>
  <c r="K46" i="8"/>
  <c r="K48" i="8" s="1"/>
  <c r="J46" i="8"/>
  <c r="J48" i="8" s="1"/>
  <c r="C42" i="8"/>
  <c r="L41" i="8"/>
  <c r="K41" i="8"/>
  <c r="J41" i="8"/>
  <c r="I41" i="8"/>
  <c r="I47" i="8" s="1"/>
  <c r="L47" i="8" s="1"/>
  <c r="C41" i="8"/>
  <c r="K40" i="8"/>
  <c r="K42" i="8" s="1"/>
  <c r="J40" i="8"/>
  <c r="J42" i="8" s="1"/>
  <c r="I40" i="8"/>
  <c r="I42" i="8" s="1"/>
  <c r="C40" i="8"/>
  <c r="C39" i="8"/>
  <c r="C38" i="8"/>
  <c r="C37" i="8"/>
  <c r="L36" i="8"/>
  <c r="K36" i="8"/>
  <c r="J36" i="8"/>
  <c r="I36" i="8"/>
  <c r="C36" i="8"/>
  <c r="L35" i="8"/>
  <c r="C35" i="8"/>
  <c r="L34" i="8"/>
  <c r="C34" i="8"/>
  <c r="C33" i="8"/>
  <c r="C32" i="8"/>
  <c r="C31" i="8"/>
  <c r="L30" i="8"/>
  <c r="C30" i="8"/>
  <c r="K29" i="8"/>
  <c r="J29" i="8"/>
  <c r="I29" i="8"/>
  <c r="C29" i="8"/>
  <c r="L28" i="8"/>
  <c r="C28" i="8"/>
  <c r="L27" i="8"/>
  <c r="L29" i="8" s="1"/>
  <c r="C27" i="8"/>
  <c r="C26" i="8"/>
  <c r="C25" i="8"/>
  <c r="C24" i="8"/>
  <c r="C23" i="8"/>
  <c r="C22" i="8"/>
  <c r="K21" i="8"/>
  <c r="J21" i="8"/>
  <c r="I21" i="8"/>
  <c r="C21" i="8"/>
  <c r="L20" i="8"/>
  <c r="C20" i="8"/>
  <c r="L19" i="8"/>
  <c r="L21" i="8" s="1"/>
  <c r="C19" i="8"/>
  <c r="C18" i="8"/>
  <c r="C17" i="8"/>
  <c r="C16" i="8"/>
  <c r="K15" i="8"/>
  <c r="K22" i="8" s="1"/>
  <c r="K30" i="8" s="1"/>
  <c r="J15" i="8"/>
  <c r="J22" i="8" s="1"/>
  <c r="J30" i="8" s="1"/>
  <c r="I15" i="8"/>
  <c r="I22" i="8" s="1"/>
  <c r="C15" i="8"/>
  <c r="L14" i="8"/>
  <c r="C14" i="8"/>
  <c r="B14" i="8"/>
  <c r="L13" i="8"/>
  <c r="L15" i="8" s="1"/>
  <c r="L22" i="8" s="1"/>
  <c r="F13" i="8"/>
  <c r="D13" i="8"/>
  <c r="C13" i="8"/>
  <c r="E13" i="8" s="1"/>
  <c r="S123" i="7"/>
  <c r="R123" i="7"/>
  <c r="S122" i="7"/>
  <c r="S121" i="7"/>
  <c r="R118" i="7"/>
  <c r="I118" i="7"/>
  <c r="G116" i="7"/>
  <c r="U114" i="7"/>
  <c r="U116" i="7" s="1"/>
  <c r="R114" i="7"/>
  <c r="R116" i="7" s="1"/>
  <c r="R119" i="7" s="1"/>
  <c r="P114" i="7"/>
  <c r="I114" i="7"/>
  <c r="I116" i="7" s="1"/>
  <c r="I119" i="7" s="1"/>
  <c r="G114" i="7"/>
  <c r="U112" i="7"/>
  <c r="R112" i="7"/>
  <c r="P112" i="7"/>
  <c r="P116" i="7" s="1"/>
  <c r="I112" i="7"/>
  <c r="G112" i="7"/>
  <c r="AA106" i="7"/>
  <c r="Y106" i="7"/>
  <c r="O106" i="7"/>
  <c r="F106" i="7"/>
  <c r="AA105" i="7"/>
  <c r="Y105" i="7"/>
  <c r="X105" i="7"/>
  <c r="O105" i="7"/>
  <c r="F105" i="7"/>
  <c r="R104" i="7"/>
  <c r="R107" i="7" s="1"/>
  <c r="J104" i="7"/>
  <c r="J107" i="7" s="1"/>
  <c r="I104" i="7"/>
  <c r="I107" i="7" s="1"/>
  <c r="AB103" i="7"/>
  <c r="R103" i="7"/>
  <c r="P103" i="7"/>
  <c r="I103" i="7"/>
  <c r="G103" i="7"/>
  <c r="AM102" i="7"/>
  <c r="AL102" i="7"/>
  <c r="Y102" i="7"/>
  <c r="X102" i="7"/>
  <c r="O102" i="7"/>
  <c r="AN101" i="7"/>
  <c r="AO101" i="7" s="1"/>
  <c r="AJ101" i="7"/>
  <c r="AA101" i="7"/>
  <c r="Y101" i="7"/>
  <c r="X101" i="7"/>
  <c r="O101" i="7"/>
  <c r="AN100" i="7"/>
  <c r="AJ100" i="7"/>
  <c r="AO100" i="7" s="1"/>
  <c r="AG100" i="7"/>
  <c r="AA100" i="7"/>
  <c r="Y100" i="7"/>
  <c r="X100" i="7"/>
  <c r="O100" i="7"/>
  <c r="AG99" i="7"/>
  <c r="AA99" i="7"/>
  <c r="Y99" i="7"/>
  <c r="X99" i="7"/>
  <c r="O99" i="7"/>
  <c r="F99" i="7"/>
  <c r="AG98" i="7"/>
  <c r="AA98" i="7"/>
  <c r="AA114" i="7" s="1"/>
  <c r="Y98" i="7"/>
  <c r="X98" i="7"/>
  <c r="O98" i="7"/>
  <c r="F98" i="7"/>
  <c r="AN97" i="7"/>
  <c r="AO97" i="7" s="1"/>
  <c r="AJ97" i="7"/>
  <c r="AG97" i="7"/>
  <c r="AA97" i="7"/>
  <c r="Y97" i="7"/>
  <c r="X97" i="7"/>
  <c r="O97" i="7"/>
  <c r="F97" i="7"/>
  <c r="AO96" i="7"/>
  <c r="AN96" i="7"/>
  <c r="AJ96" i="7"/>
  <c r="AG96" i="7"/>
  <c r="AA96" i="7"/>
  <c r="Y96" i="7"/>
  <c r="X96" i="7"/>
  <c r="O96" i="7"/>
  <c r="F96" i="7"/>
  <c r="AO95" i="7"/>
  <c r="AN95" i="7"/>
  <c r="AJ95" i="7"/>
  <c r="AG95" i="7"/>
  <c r="AG94" i="7"/>
  <c r="AA94" i="7"/>
  <c r="Y94" i="7"/>
  <c r="O94" i="7"/>
  <c r="X94" i="7" s="1"/>
  <c r="F94" i="7"/>
  <c r="AN93" i="7"/>
  <c r="AJ93" i="7"/>
  <c r="AO93" i="7" s="1"/>
  <c r="AG93" i="7"/>
  <c r="AA93" i="7"/>
  <c r="Y93" i="7"/>
  <c r="X93" i="7"/>
  <c r="O93" i="7"/>
  <c r="F93" i="7"/>
  <c r="AN92" i="7"/>
  <c r="AO92" i="7" s="1"/>
  <c r="AJ92" i="7"/>
  <c r="AG92" i="7"/>
  <c r="AA92" i="7"/>
  <c r="Y92" i="7"/>
  <c r="O92" i="7"/>
  <c r="X92" i="7" s="1"/>
  <c r="F92" i="7"/>
  <c r="AO91" i="7"/>
  <c r="AN91" i="7"/>
  <c r="AJ91" i="7"/>
  <c r="AG91" i="7"/>
  <c r="AA90" i="7"/>
  <c r="Y90" i="7"/>
  <c r="X90" i="7"/>
  <c r="O90" i="7"/>
  <c r="AN89" i="7"/>
  <c r="AO89" i="7" s="1"/>
  <c r="AJ89" i="7"/>
  <c r="AG89" i="7"/>
  <c r="AN87" i="7"/>
  <c r="AI87" i="7"/>
  <c r="AI102" i="7" s="1"/>
  <c r="AH87" i="7"/>
  <c r="AH102" i="7" s="1"/>
  <c r="Y87" i="7"/>
  <c r="O87" i="7"/>
  <c r="F87" i="7"/>
  <c r="X87" i="7" s="1"/>
  <c r="O85" i="7"/>
  <c r="F85" i="7"/>
  <c r="O84" i="7"/>
  <c r="F84" i="7"/>
  <c r="O83" i="7"/>
  <c r="F83" i="7"/>
  <c r="O82" i="7"/>
  <c r="F82" i="7"/>
  <c r="O81" i="7"/>
  <c r="F81" i="7"/>
  <c r="O80" i="7"/>
  <c r="F80" i="7"/>
  <c r="Y78" i="7"/>
  <c r="X78" i="7"/>
  <c r="O78" i="7"/>
  <c r="O77" i="7"/>
  <c r="F77" i="7"/>
  <c r="O76" i="7"/>
  <c r="F76" i="7"/>
  <c r="O74" i="7"/>
  <c r="F74" i="7"/>
  <c r="O73" i="7"/>
  <c r="F73" i="7"/>
  <c r="O71" i="7"/>
  <c r="F71" i="7"/>
  <c r="O69" i="7"/>
  <c r="F69" i="7"/>
  <c r="F103" i="7" s="1"/>
  <c r="O68" i="7"/>
  <c r="O103" i="7" s="1"/>
  <c r="F68" i="7"/>
  <c r="S57" i="7"/>
  <c r="S104" i="7" s="1"/>
  <c r="S107" i="7" s="1"/>
  <c r="R57" i="7"/>
  <c r="P57" i="7"/>
  <c r="P104" i="7" s="1"/>
  <c r="P107" i="7" s="1"/>
  <c r="J57" i="7"/>
  <c r="I57" i="7"/>
  <c r="G57" i="7"/>
  <c r="Y56" i="7"/>
  <c r="O56" i="7"/>
  <c r="X56" i="7" s="1"/>
  <c r="O55" i="7"/>
  <c r="F55" i="7"/>
  <c r="AA54" i="7"/>
  <c r="Y54" i="7"/>
  <c r="X54" i="7"/>
  <c r="X112" i="7" s="1"/>
  <c r="O54" i="7"/>
  <c r="O112" i="7" s="1"/>
  <c r="F54" i="7"/>
  <c r="O52" i="7"/>
  <c r="F52" i="7"/>
  <c r="Y51" i="7"/>
  <c r="O51" i="7"/>
  <c r="X51" i="7" s="1"/>
  <c r="Y50" i="7"/>
  <c r="X50" i="7"/>
  <c r="O50" i="7"/>
  <c r="O49" i="7"/>
  <c r="F49" i="7"/>
  <c r="O48" i="7"/>
  <c r="F48" i="7"/>
  <c r="O47" i="7"/>
  <c r="F47" i="7"/>
  <c r="O46" i="7"/>
  <c r="F46" i="7"/>
  <c r="Y44" i="7"/>
  <c r="X44" i="7"/>
  <c r="O44" i="7"/>
  <c r="F44" i="7"/>
  <c r="O43" i="7"/>
  <c r="F43" i="7"/>
  <c r="O42" i="7"/>
  <c r="F42" i="7"/>
  <c r="O41" i="7"/>
  <c r="F41" i="7"/>
  <c r="O40" i="7"/>
  <c r="F40" i="7"/>
  <c r="O39" i="7"/>
  <c r="F39" i="7"/>
  <c r="AB38" i="7"/>
  <c r="AB57" i="7" s="1"/>
  <c r="AB104" i="7" s="1"/>
  <c r="AB107" i="7" s="1"/>
  <c r="AA38" i="7"/>
  <c r="O38" i="7"/>
  <c r="X38" i="7" s="1"/>
  <c r="F38" i="7"/>
  <c r="O37" i="7"/>
  <c r="F37" i="7"/>
  <c r="Y36" i="7"/>
  <c r="O36" i="7"/>
  <c r="F36" i="7"/>
  <c r="AA35" i="7"/>
  <c r="Y35" i="7"/>
  <c r="O35" i="7"/>
  <c r="X35" i="7" s="1"/>
  <c r="F35" i="7"/>
  <c r="F123" i="7" s="1"/>
  <c r="AA34" i="7"/>
  <c r="Y34" i="7"/>
  <c r="X34" i="7"/>
  <c r="O34" i="7"/>
  <c r="F34" i="7"/>
  <c r="AA33" i="7"/>
  <c r="Y33" i="7"/>
  <c r="X33" i="7"/>
  <c r="O33" i="7"/>
  <c r="F33" i="7"/>
  <c r="O32" i="7"/>
  <c r="F32" i="7"/>
  <c r="O30" i="7"/>
  <c r="F30" i="7"/>
  <c r="O29" i="7"/>
  <c r="F29" i="7"/>
  <c r="Y28" i="7"/>
  <c r="O28" i="7"/>
  <c r="X28" i="7" s="1"/>
  <c r="F28" i="7"/>
  <c r="O27" i="7"/>
  <c r="F27" i="7"/>
  <c r="O26" i="7"/>
  <c r="F26" i="7"/>
  <c r="O25" i="7"/>
  <c r="F25" i="7"/>
  <c r="O24" i="7"/>
  <c r="F24" i="7"/>
  <c r="O23" i="7"/>
  <c r="F23" i="7"/>
  <c r="Y22" i="7"/>
  <c r="X22" i="7"/>
  <c r="O22" i="7"/>
  <c r="F22" i="7"/>
  <c r="O21" i="7"/>
  <c r="F21" i="7"/>
  <c r="O20" i="7"/>
  <c r="F20" i="7"/>
  <c r="O19" i="7"/>
  <c r="F19" i="7"/>
  <c r="Y18" i="7"/>
  <c r="O18" i="7"/>
  <c r="X18" i="7" s="1"/>
  <c r="F18" i="7"/>
  <c r="Y17" i="7"/>
  <c r="O17" i="7"/>
  <c r="F17" i="7"/>
  <c r="O16" i="7"/>
  <c r="F16" i="7"/>
  <c r="Y14" i="7"/>
  <c r="X14" i="7"/>
  <c r="O14" i="7"/>
  <c r="Y13" i="7"/>
  <c r="Y57" i="7" s="1"/>
  <c r="X13" i="7"/>
  <c r="O13" i="7"/>
  <c r="F13" i="7"/>
  <c r="O12" i="7"/>
  <c r="F12" i="7"/>
  <c r="F38" i="6"/>
  <c r="A21" i="6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D16" i="6"/>
  <c r="C13" i="6"/>
  <c r="C14" i="6" s="1"/>
  <c r="C15" i="6" s="1"/>
  <c r="G12" i="6"/>
  <c r="G11" i="6"/>
  <c r="C11" i="6"/>
  <c r="A11" i="6"/>
  <c r="A12" i="6" s="1"/>
  <c r="A13" i="6" s="1"/>
  <c r="A14" i="6" s="1"/>
  <c r="A15" i="6" s="1"/>
  <c r="A16" i="6" s="1"/>
  <c r="A17" i="6" s="1"/>
  <c r="A18" i="6" s="1"/>
  <c r="A19" i="6" s="1"/>
  <c r="A20" i="6" s="1"/>
  <c r="G10" i="6"/>
  <c r="C10" i="6"/>
  <c r="G9" i="6"/>
  <c r="A9" i="6"/>
  <c r="A10" i="6" s="1"/>
  <c r="G8" i="6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D18" i="5"/>
  <c r="C18" i="5"/>
  <c r="C19" i="5" s="1"/>
  <c r="F17" i="5"/>
  <c r="C17" i="5"/>
  <c r="D17" i="5" s="1"/>
  <c r="F16" i="5"/>
  <c r="D16" i="5"/>
  <c r="F15" i="5"/>
  <c r="F14" i="5"/>
  <c r="F13" i="5"/>
  <c r="F12" i="5"/>
  <c r="G11" i="5"/>
  <c r="G10" i="5"/>
  <c r="A10" i="5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G9" i="5"/>
  <c r="A9" i="5"/>
  <c r="G8" i="5"/>
  <c r="E8" i="5"/>
  <c r="H114" i="4"/>
  <c r="H116" i="4" s="1"/>
  <c r="H135" i="4" s="1"/>
  <c r="E114" i="4"/>
  <c r="E116" i="4" s="1"/>
  <c r="E135" i="4" s="1"/>
  <c r="H102" i="4"/>
  <c r="H104" i="4" s="1"/>
  <c r="H146" i="4" s="1"/>
  <c r="E102" i="4"/>
  <c r="E104" i="4" s="1"/>
  <c r="E146" i="4" s="1"/>
  <c r="H89" i="4"/>
  <c r="H88" i="4"/>
  <c r="G87" i="4"/>
  <c r="F87" i="4"/>
  <c r="H87" i="4" s="1"/>
  <c r="F85" i="4"/>
  <c r="H84" i="4"/>
  <c r="G84" i="4"/>
  <c r="F84" i="4"/>
  <c r="F83" i="4"/>
  <c r="H82" i="4"/>
  <c r="G82" i="4"/>
  <c r="F82" i="4"/>
  <c r="H81" i="4"/>
  <c r="F81" i="4"/>
  <c r="G79" i="4"/>
  <c r="F79" i="4"/>
  <c r="H79" i="4" s="1"/>
  <c r="G78" i="4"/>
  <c r="F78" i="4"/>
  <c r="H78" i="4" s="1"/>
  <c r="G77" i="4"/>
  <c r="F77" i="4"/>
  <c r="H77" i="4" s="1"/>
  <c r="H76" i="4"/>
  <c r="G76" i="4"/>
  <c r="F76" i="4"/>
  <c r="F75" i="4"/>
  <c r="H73" i="4"/>
  <c r="G73" i="4"/>
  <c r="D72" i="4"/>
  <c r="H66" i="4"/>
  <c r="H65" i="4"/>
  <c r="F64" i="4"/>
  <c r="F63" i="4"/>
  <c r="F62" i="4"/>
  <c r="G60" i="4"/>
  <c r="F60" i="4"/>
  <c r="H60" i="4" s="1"/>
  <c r="H59" i="4"/>
  <c r="G59" i="4"/>
  <c r="F59" i="4"/>
  <c r="G58" i="4"/>
  <c r="F58" i="4"/>
  <c r="D55" i="4"/>
  <c r="H55" i="4" s="1"/>
  <c r="F40" i="4"/>
  <c r="E39" i="4"/>
  <c r="M38" i="4"/>
  <c r="D83" i="4" s="1"/>
  <c r="L38" i="4"/>
  <c r="D81" i="4" s="1"/>
  <c r="G81" i="4" s="1"/>
  <c r="C38" i="4"/>
  <c r="M37" i="4"/>
  <c r="L37" i="4"/>
  <c r="N37" i="4" s="1"/>
  <c r="N38" i="4" s="1"/>
  <c r="D85" i="4" s="1"/>
  <c r="K37" i="4"/>
  <c r="K38" i="4" s="1"/>
  <c r="D75" i="4" s="1"/>
  <c r="J37" i="4"/>
  <c r="J38" i="4" s="1"/>
  <c r="I37" i="4"/>
  <c r="I38" i="4" s="1"/>
  <c r="H130" i="4" s="1"/>
  <c r="H37" i="4"/>
  <c r="H38" i="4" s="1"/>
  <c r="E130" i="4" s="1"/>
  <c r="G37" i="4"/>
  <c r="E37" i="4"/>
  <c r="K11" i="4"/>
  <c r="D58" i="4" s="1"/>
  <c r="H58" i="4" s="1"/>
  <c r="J11" i="4"/>
  <c r="C11" i="4"/>
  <c r="G56" i="4" s="1"/>
  <c r="H56" i="4" s="1"/>
  <c r="N10" i="4"/>
  <c r="M10" i="4"/>
  <c r="L10" i="4"/>
  <c r="K10" i="4"/>
  <c r="J10" i="4"/>
  <c r="H10" i="4"/>
  <c r="G10" i="4"/>
  <c r="I10" i="4" s="1"/>
  <c r="E10" i="4"/>
  <c r="M9" i="4"/>
  <c r="L9" i="4"/>
  <c r="L11" i="4" s="1"/>
  <c r="K9" i="4"/>
  <c r="J9" i="4"/>
  <c r="G9" i="4"/>
  <c r="E9" i="4"/>
  <c r="F15" i="4" s="1"/>
  <c r="F41" i="4" s="1"/>
  <c r="L98" i="3"/>
  <c r="U98" i="3" s="1"/>
  <c r="K98" i="3"/>
  <c r="T98" i="3" s="1"/>
  <c r="J98" i="3"/>
  <c r="S98" i="3" s="1"/>
  <c r="I98" i="3"/>
  <c r="R98" i="3" s="1"/>
  <c r="H98" i="3"/>
  <c r="Q98" i="3" s="1"/>
  <c r="G98" i="3"/>
  <c r="P98" i="3" s="1"/>
  <c r="F98" i="3"/>
  <c r="O98" i="3" s="1"/>
  <c r="E98" i="3"/>
  <c r="N98" i="3" s="1"/>
  <c r="D98" i="3"/>
  <c r="A98" i="3"/>
  <c r="S97" i="3"/>
  <c r="L97" i="3"/>
  <c r="U97" i="3" s="1"/>
  <c r="K97" i="3"/>
  <c r="T97" i="3" s="1"/>
  <c r="J97" i="3"/>
  <c r="I97" i="3"/>
  <c r="R97" i="3" s="1"/>
  <c r="H97" i="3"/>
  <c r="Q97" i="3" s="1"/>
  <c r="G97" i="3"/>
  <c r="P97" i="3" s="1"/>
  <c r="F97" i="3"/>
  <c r="O97" i="3" s="1"/>
  <c r="E97" i="3"/>
  <c r="N97" i="3" s="1"/>
  <c r="D97" i="3"/>
  <c r="A97" i="3"/>
  <c r="Y94" i="3"/>
  <c r="T94" i="3"/>
  <c r="O94" i="3"/>
  <c r="L94" i="3"/>
  <c r="U94" i="3" s="1"/>
  <c r="K94" i="3"/>
  <c r="J94" i="3"/>
  <c r="S94" i="3" s="1"/>
  <c r="I94" i="3"/>
  <c r="R94" i="3" s="1"/>
  <c r="H94" i="3"/>
  <c r="Q94" i="3" s="1"/>
  <c r="G94" i="3"/>
  <c r="P94" i="3" s="1"/>
  <c r="F94" i="3"/>
  <c r="E94" i="3"/>
  <c r="N94" i="3" s="1"/>
  <c r="Y93" i="3"/>
  <c r="N93" i="3"/>
  <c r="L93" i="3"/>
  <c r="U93" i="3" s="1"/>
  <c r="K93" i="3"/>
  <c r="T93" i="3" s="1"/>
  <c r="J93" i="3"/>
  <c r="S93" i="3" s="1"/>
  <c r="I93" i="3"/>
  <c r="R93" i="3" s="1"/>
  <c r="H93" i="3"/>
  <c r="Q93" i="3" s="1"/>
  <c r="G93" i="3"/>
  <c r="P93" i="3" s="1"/>
  <c r="F93" i="3"/>
  <c r="O93" i="3" s="1"/>
  <c r="E93" i="3"/>
  <c r="Y90" i="3"/>
  <c r="Q90" i="3"/>
  <c r="N90" i="3"/>
  <c r="L90" i="3"/>
  <c r="U90" i="3" s="1"/>
  <c r="K90" i="3"/>
  <c r="T90" i="3" s="1"/>
  <c r="J90" i="3"/>
  <c r="S90" i="3" s="1"/>
  <c r="I90" i="3"/>
  <c r="R90" i="3" s="1"/>
  <c r="H90" i="3"/>
  <c r="G90" i="3"/>
  <c r="P90" i="3" s="1"/>
  <c r="F90" i="3"/>
  <c r="O90" i="3" s="1"/>
  <c r="E90" i="3"/>
  <c r="Y89" i="3"/>
  <c r="L89" i="3"/>
  <c r="U89" i="3" s="1"/>
  <c r="K89" i="3"/>
  <c r="T89" i="3" s="1"/>
  <c r="J89" i="3"/>
  <c r="S89" i="3" s="1"/>
  <c r="I89" i="3"/>
  <c r="R89" i="3" s="1"/>
  <c r="H89" i="3"/>
  <c r="Q89" i="3" s="1"/>
  <c r="G89" i="3"/>
  <c r="P89" i="3" s="1"/>
  <c r="F89" i="3"/>
  <c r="O89" i="3" s="1"/>
  <c r="E89" i="3"/>
  <c r="N89" i="3" s="1"/>
  <c r="Y88" i="3"/>
  <c r="L88" i="3"/>
  <c r="U88" i="3" s="1"/>
  <c r="K88" i="3"/>
  <c r="T88" i="3" s="1"/>
  <c r="J88" i="3"/>
  <c r="S88" i="3" s="1"/>
  <c r="I88" i="3"/>
  <c r="R88" i="3" s="1"/>
  <c r="H88" i="3"/>
  <c r="Q88" i="3" s="1"/>
  <c r="G88" i="3"/>
  <c r="P88" i="3" s="1"/>
  <c r="F88" i="3"/>
  <c r="O88" i="3" s="1"/>
  <c r="E88" i="3"/>
  <c r="Y87" i="3"/>
  <c r="U87" i="3"/>
  <c r="L87" i="3"/>
  <c r="K87" i="3"/>
  <c r="T87" i="3" s="1"/>
  <c r="J87" i="3"/>
  <c r="S87" i="3" s="1"/>
  <c r="I87" i="3"/>
  <c r="R87" i="3" s="1"/>
  <c r="H87" i="3"/>
  <c r="Q87" i="3" s="1"/>
  <c r="G87" i="3"/>
  <c r="P87" i="3" s="1"/>
  <c r="F87" i="3"/>
  <c r="O87" i="3" s="1"/>
  <c r="E87" i="3"/>
  <c r="Y86" i="3"/>
  <c r="S86" i="3"/>
  <c r="L86" i="3"/>
  <c r="U86" i="3" s="1"/>
  <c r="K86" i="3"/>
  <c r="T86" i="3" s="1"/>
  <c r="J86" i="3"/>
  <c r="I86" i="3"/>
  <c r="R86" i="3" s="1"/>
  <c r="H86" i="3"/>
  <c r="Q86" i="3" s="1"/>
  <c r="G86" i="3"/>
  <c r="P86" i="3" s="1"/>
  <c r="F86" i="3"/>
  <c r="O86" i="3" s="1"/>
  <c r="E86" i="3"/>
  <c r="N86" i="3" s="1"/>
  <c r="E85" i="3"/>
  <c r="B85" i="3"/>
  <c r="Y84" i="3"/>
  <c r="U84" i="3"/>
  <c r="L84" i="3"/>
  <c r="K84" i="3"/>
  <c r="T84" i="3" s="1"/>
  <c r="J84" i="3"/>
  <c r="S84" i="3" s="1"/>
  <c r="I84" i="3"/>
  <c r="R84" i="3" s="1"/>
  <c r="H84" i="3"/>
  <c r="Q84" i="3" s="1"/>
  <c r="G84" i="3"/>
  <c r="P84" i="3" s="1"/>
  <c r="F84" i="3"/>
  <c r="O84" i="3" s="1"/>
  <c r="E84" i="3"/>
  <c r="N84" i="3" s="1"/>
  <c r="Y83" i="3"/>
  <c r="Q83" i="3"/>
  <c r="L83" i="3"/>
  <c r="U83" i="3" s="1"/>
  <c r="K83" i="3"/>
  <c r="T83" i="3" s="1"/>
  <c r="J83" i="3"/>
  <c r="S83" i="3" s="1"/>
  <c r="I83" i="3"/>
  <c r="R83" i="3" s="1"/>
  <c r="H83" i="3"/>
  <c r="G83" i="3"/>
  <c r="P83" i="3" s="1"/>
  <c r="F83" i="3"/>
  <c r="O83" i="3" s="1"/>
  <c r="E83" i="3"/>
  <c r="N83" i="3" s="1"/>
  <c r="Y82" i="3"/>
  <c r="L82" i="3"/>
  <c r="U82" i="3" s="1"/>
  <c r="K82" i="3"/>
  <c r="T82" i="3" s="1"/>
  <c r="J82" i="3"/>
  <c r="S82" i="3" s="1"/>
  <c r="I82" i="3"/>
  <c r="R82" i="3" s="1"/>
  <c r="H82" i="3"/>
  <c r="Q82" i="3" s="1"/>
  <c r="G82" i="3"/>
  <c r="P82" i="3" s="1"/>
  <c r="F82" i="3"/>
  <c r="O82" i="3" s="1"/>
  <c r="E82" i="3"/>
  <c r="Y81" i="3"/>
  <c r="X81" i="3"/>
  <c r="E81" i="3"/>
  <c r="W81" i="3" s="1"/>
  <c r="Z81" i="3" s="1"/>
  <c r="B81" i="3"/>
  <c r="N80" i="3"/>
  <c r="L80" i="3"/>
  <c r="U80" i="3" s="1"/>
  <c r="K80" i="3"/>
  <c r="T80" i="3" s="1"/>
  <c r="J80" i="3"/>
  <c r="S80" i="3" s="1"/>
  <c r="I80" i="3"/>
  <c r="R80" i="3" s="1"/>
  <c r="H80" i="3"/>
  <c r="Q80" i="3" s="1"/>
  <c r="G80" i="3"/>
  <c r="P80" i="3" s="1"/>
  <c r="F80" i="3"/>
  <c r="O80" i="3" s="1"/>
  <c r="E80" i="3"/>
  <c r="Y79" i="3"/>
  <c r="X79" i="3"/>
  <c r="E79" i="3"/>
  <c r="W79" i="3" s="1"/>
  <c r="Z79" i="3" s="1"/>
  <c r="E78" i="3"/>
  <c r="B78" i="3"/>
  <c r="Y77" i="3"/>
  <c r="S77" i="3"/>
  <c r="L77" i="3"/>
  <c r="U77" i="3" s="1"/>
  <c r="K77" i="3"/>
  <c r="T77" i="3" s="1"/>
  <c r="J77" i="3"/>
  <c r="I77" i="3"/>
  <c r="R77" i="3" s="1"/>
  <c r="H77" i="3"/>
  <c r="Q77" i="3" s="1"/>
  <c r="G77" i="3"/>
  <c r="P77" i="3" s="1"/>
  <c r="F77" i="3"/>
  <c r="E77" i="3"/>
  <c r="B77" i="3"/>
  <c r="E76" i="3"/>
  <c r="B76" i="3"/>
  <c r="T75" i="3"/>
  <c r="L75" i="3"/>
  <c r="U75" i="3" s="1"/>
  <c r="K75" i="3"/>
  <c r="J75" i="3"/>
  <c r="S75" i="3" s="1"/>
  <c r="I75" i="3"/>
  <c r="H75" i="3"/>
  <c r="Q75" i="3" s="1"/>
  <c r="G75" i="3"/>
  <c r="P75" i="3" s="1"/>
  <c r="F75" i="3"/>
  <c r="O75" i="3" s="1"/>
  <c r="E75" i="3"/>
  <c r="N75" i="3" s="1"/>
  <c r="L74" i="3"/>
  <c r="U74" i="3" s="1"/>
  <c r="K74" i="3"/>
  <c r="T74" i="3" s="1"/>
  <c r="J74" i="3"/>
  <c r="I74" i="3"/>
  <c r="R74" i="3" s="1"/>
  <c r="H74" i="3"/>
  <c r="Q74" i="3" s="1"/>
  <c r="G74" i="3"/>
  <c r="P74" i="3" s="1"/>
  <c r="F74" i="3"/>
  <c r="O74" i="3" s="1"/>
  <c r="E74" i="3"/>
  <c r="N74" i="3" s="1"/>
  <c r="T73" i="3"/>
  <c r="L73" i="3"/>
  <c r="U73" i="3" s="1"/>
  <c r="K73" i="3"/>
  <c r="J73" i="3"/>
  <c r="S73" i="3" s="1"/>
  <c r="I73" i="3"/>
  <c r="R73" i="3" s="1"/>
  <c r="H73" i="3"/>
  <c r="Q73" i="3" s="1"/>
  <c r="G73" i="3"/>
  <c r="P73" i="3" s="1"/>
  <c r="F73" i="3"/>
  <c r="O73" i="3" s="1"/>
  <c r="E73" i="3"/>
  <c r="N73" i="3" s="1"/>
  <c r="Y72" i="3"/>
  <c r="S72" i="3"/>
  <c r="L72" i="3"/>
  <c r="U72" i="3" s="1"/>
  <c r="K72" i="3"/>
  <c r="T72" i="3" s="1"/>
  <c r="J72" i="3"/>
  <c r="I72" i="3"/>
  <c r="R72" i="3" s="1"/>
  <c r="H72" i="3"/>
  <c r="Q72" i="3" s="1"/>
  <c r="G72" i="3"/>
  <c r="P72" i="3" s="1"/>
  <c r="F72" i="3"/>
  <c r="O72" i="3" s="1"/>
  <c r="E72" i="3"/>
  <c r="N72" i="3" s="1"/>
  <c r="Y71" i="3"/>
  <c r="R71" i="3"/>
  <c r="P71" i="3"/>
  <c r="L71" i="3"/>
  <c r="U71" i="3" s="1"/>
  <c r="K71" i="3"/>
  <c r="T71" i="3" s="1"/>
  <c r="J71" i="3"/>
  <c r="S71" i="3" s="1"/>
  <c r="I71" i="3"/>
  <c r="H71" i="3"/>
  <c r="Q71" i="3" s="1"/>
  <c r="G71" i="3"/>
  <c r="F71" i="3"/>
  <c r="O71" i="3" s="1"/>
  <c r="E71" i="3"/>
  <c r="N71" i="3" s="1"/>
  <c r="Y70" i="3"/>
  <c r="O70" i="3"/>
  <c r="L70" i="3"/>
  <c r="U70" i="3" s="1"/>
  <c r="K70" i="3"/>
  <c r="J70" i="3"/>
  <c r="S70" i="3" s="1"/>
  <c r="I70" i="3"/>
  <c r="R70" i="3" s="1"/>
  <c r="H70" i="3"/>
  <c r="Q70" i="3" s="1"/>
  <c r="G70" i="3"/>
  <c r="P70" i="3" s="1"/>
  <c r="F70" i="3"/>
  <c r="E70" i="3"/>
  <c r="N70" i="3" s="1"/>
  <c r="E69" i="3"/>
  <c r="B69" i="3"/>
  <c r="Y68" i="3"/>
  <c r="L68" i="3"/>
  <c r="U68" i="3" s="1"/>
  <c r="K68" i="3"/>
  <c r="T68" i="3" s="1"/>
  <c r="J68" i="3"/>
  <c r="S68" i="3" s="1"/>
  <c r="I68" i="3"/>
  <c r="R68" i="3" s="1"/>
  <c r="H68" i="3"/>
  <c r="Q68" i="3" s="1"/>
  <c r="G68" i="3"/>
  <c r="P68" i="3" s="1"/>
  <c r="F68" i="3"/>
  <c r="O68" i="3" s="1"/>
  <c r="E68" i="3"/>
  <c r="Y67" i="3"/>
  <c r="L67" i="3"/>
  <c r="U67" i="3" s="1"/>
  <c r="K67" i="3"/>
  <c r="T67" i="3" s="1"/>
  <c r="J67" i="3"/>
  <c r="S67" i="3" s="1"/>
  <c r="I67" i="3"/>
  <c r="H67" i="3"/>
  <c r="Q67" i="3" s="1"/>
  <c r="G67" i="3"/>
  <c r="P67" i="3" s="1"/>
  <c r="F67" i="3"/>
  <c r="O67" i="3" s="1"/>
  <c r="E67" i="3"/>
  <c r="N67" i="3" s="1"/>
  <c r="Y66" i="3"/>
  <c r="N66" i="3"/>
  <c r="L66" i="3"/>
  <c r="U66" i="3" s="1"/>
  <c r="K66" i="3"/>
  <c r="T66" i="3" s="1"/>
  <c r="J66" i="3"/>
  <c r="S66" i="3" s="1"/>
  <c r="I66" i="3"/>
  <c r="R66" i="3" s="1"/>
  <c r="H66" i="3"/>
  <c r="Q66" i="3" s="1"/>
  <c r="G66" i="3"/>
  <c r="F66" i="3"/>
  <c r="O66" i="3" s="1"/>
  <c r="E66" i="3"/>
  <c r="E65" i="3"/>
  <c r="B65" i="3"/>
  <c r="Y64" i="3"/>
  <c r="W64" i="3"/>
  <c r="Z64" i="3" s="1"/>
  <c r="O64" i="3"/>
  <c r="L64" i="3"/>
  <c r="U64" i="3" s="1"/>
  <c r="K64" i="3"/>
  <c r="T64" i="3" s="1"/>
  <c r="J64" i="3"/>
  <c r="S64" i="3" s="1"/>
  <c r="I64" i="3"/>
  <c r="R64" i="3" s="1"/>
  <c r="H64" i="3"/>
  <c r="Q64" i="3" s="1"/>
  <c r="G64" i="3"/>
  <c r="P64" i="3" s="1"/>
  <c r="F64" i="3"/>
  <c r="E64" i="3"/>
  <c r="N64" i="3" s="1"/>
  <c r="Y63" i="3"/>
  <c r="L63" i="3"/>
  <c r="U63" i="3" s="1"/>
  <c r="K63" i="3"/>
  <c r="T63" i="3" s="1"/>
  <c r="J63" i="3"/>
  <c r="S63" i="3" s="1"/>
  <c r="I63" i="3"/>
  <c r="R63" i="3" s="1"/>
  <c r="H63" i="3"/>
  <c r="Q63" i="3" s="1"/>
  <c r="G63" i="3"/>
  <c r="P63" i="3" s="1"/>
  <c r="F63" i="3"/>
  <c r="E63" i="3"/>
  <c r="E62" i="3"/>
  <c r="B62" i="3"/>
  <c r="L61" i="3"/>
  <c r="U61" i="3" s="1"/>
  <c r="K61" i="3"/>
  <c r="T61" i="3" s="1"/>
  <c r="J61" i="3"/>
  <c r="S61" i="3" s="1"/>
  <c r="I61" i="3"/>
  <c r="R61" i="3" s="1"/>
  <c r="H61" i="3"/>
  <c r="Q61" i="3" s="1"/>
  <c r="G61" i="3"/>
  <c r="P61" i="3" s="1"/>
  <c r="F61" i="3"/>
  <c r="O61" i="3" s="1"/>
  <c r="E61" i="3"/>
  <c r="N61" i="3" s="1"/>
  <c r="E60" i="3"/>
  <c r="B60" i="3"/>
  <c r="Y59" i="3"/>
  <c r="U59" i="3"/>
  <c r="L59" i="3"/>
  <c r="K59" i="3"/>
  <c r="T59" i="3" s="1"/>
  <c r="J59" i="3"/>
  <c r="S59" i="3" s="1"/>
  <c r="I59" i="3"/>
  <c r="R59" i="3" s="1"/>
  <c r="H59" i="3"/>
  <c r="Q59" i="3" s="1"/>
  <c r="G59" i="3"/>
  <c r="P59" i="3" s="1"/>
  <c r="F59" i="3"/>
  <c r="O59" i="3" s="1"/>
  <c r="E59" i="3"/>
  <c r="N59" i="3" s="1"/>
  <c r="Y58" i="3"/>
  <c r="L58" i="3"/>
  <c r="U58" i="3" s="1"/>
  <c r="K58" i="3"/>
  <c r="T58" i="3" s="1"/>
  <c r="J58" i="3"/>
  <c r="S58" i="3" s="1"/>
  <c r="I58" i="3"/>
  <c r="R58" i="3" s="1"/>
  <c r="H58" i="3"/>
  <c r="Q58" i="3" s="1"/>
  <c r="G58" i="3"/>
  <c r="P58" i="3" s="1"/>
  <c r="F58" i="3"/>
  <c r="O58" i="3" s="1"/>
  <c r="E58" i="3"/>
  <c r="Z57" i="3"/>
  <c r="Y57" i="3"/>
  <c r="X57" i="3"/>
  <c r="W57" i="3"/>
  <c r="B57" i="3"/>
  <c r="B56" i="3"/>
  <c r="B55" i="3"/>
  <c r="Y54" i="3"/>
  <c r="B54" i="3"/>
  <c r="Y53" i="3"/>
  <c r="L53" i="3"/>
  <c r="U53" i="3" s="1"/>
  <c r="K53" i="3"/>
  <c r="T53" i="3" s="1"/>
  <c r="J53" i="3"/>
  <c r="S53" i="3" s="1"/>
  <c r="I53" i="3"/>
  <c r="R53" i="3" s="1"/>
  <c r="H53" i="3"/>
  <c r="Q53" i="3" s="1"/>
  <c r="G53" i="3"/>
  <c r="P53" i="3" s="1"/>
  <c r="F53" i="3"/>
  <c r="E53" i="3"/>
  <c r="N53" i="3" s="1"/>
  <c r="Y52" i="3"/>
  <c r="U52" i="3"/>
  <c r="L52" i="3"/>
  <c r="K52" i="3"/>
  <c r="T52" i="3" s="1"/>
  <c r="J52" i="3"/>
  <c r="S52" i="3" s="1"/>
  <c r="I52" i="3"/>
  <c r="R52" i="3" s="1"/>
  <c r="H52" i="3"/>
  <c r="Q52" i="3" s="1"/>
  <c r="G52" i="3"/>
  <c r="P52" i="3" s="1"/>
  <c r="F52" i="3"/>
  <c r="O52" i="3" s="1"/>
  <c r="E52" i="3"/>
  <c r="N52" i="3" s="1"/>
  <c r="Y51" i="3"/>
  <c r="T51" i="3"/>
  <c r="L51" i="3"/>
  <c r="U51" i="3" s="1"/>
  <c r="K51" i="3"/>
  <c r="J51" i="3"/>
  <c r="S51" i="3" s="1"/>
  <c r="I51" i="3"/>
  <c r="R51" i="3" s="1"/>
  <c r="H51" i="3"/>
  <c r="Q51" i="3" s="1"/>
  <c r="G51" i="3"/>
  <c r="P51" i="3" s="1"/>
  <c r="F51" i="3"/>
  <c r="O51" i="3" s="1"/>
  <c r="E51" i="3"/>
  <c r="C50" i="3"/>
  <c r="B50" i="3"/>
  <c r="P49" i="3"/>
  <c r="L49" i="3"/>
  <c r="U49" i="3" s="1"/>
  <c r="K49" i="3"/>
  <c r="T49" i="3" s="1"/>
  <c r="J49" i="3"/>
  <c r="S49" i="3" s="1"/>
  <c r="I49" i="3"/>
  <c r="R49" i="3" s="1"/>
  <c r="H49" i="3"/>
  <c r="Q49" i="3" s="1"/>
  <c r="G49" i="3"/>
  <c r="F49" i="3"/>
  <c r="O49" i="3" s="1"/>
  <c r="E49" i="3"/>
  <c r="N49" i="3" s="1"/>
  <c r="B49" i="3"/>
  <c r="Y48" i="3"/>
  <c r="L48" i="3"/>
  <c r="U48" i="3" s="1"/>
  <c r="K48" i="3"/>
  <c r="T48" i="3" s="1"/>
  <c r="J48" i="3"/>
  <c r="S48" i="3" s="1"/>
  <c r="I48" i="3"/>
  <c r="R48" i="3" s="1"/>
  <c r="H48" i="3"/>
  <c r="Q48" i="3" s="1"/>
  <c r="G48" i="3"/>
  <c r="P48" i="3" s="1"/>
  <c r="F48" i="3"/>
  <c r="O48" i="3" s="1"/>
  <c r="E48" i="3"/>
  <c r="N48" i="3" s="1"/>
  <c r="Y47" i="3"/>
  <c r="L47" i="3"/>
  <c r="U47" i="3" s="1"/>
  <c r="K47" i="3"/>
  <c r="T47" i="3" s="1"/>
  <c r="J47" i="3"/>
  <c r="S47" i="3" s="1"/>
  <c r="I47" i="3"/>
  <c r="R47" i="3" s="1"/>
  <c r="H47" i="3"/>
  <c r="Q47" i="3" s="1"/>
  <c r="G47" i="3"/>
  <c r="P47" i="3" s="1"/>
  <c r="F47" i="3"/>
  <c r="O47" i="3" s="1"/>
  <c r="E47" i="3"/>
  <c r="N47" i="3" s="1"/>
  <c r="Y46" i="3"/>
  <c r="N46" i="3"/>
  <c r="L46" i="3"/>
  <c r="U46" i="3" s="1"/>
  <c r="K46" i="3"/>
  <c r="T46" i="3" s="1"/>
  <c r="J46" i="3"/>
  <c r="S46" i="3" s="1"/>
  <c r="I46" i="3"/>
  <c r="R46" i="3" s="1"/>
  <c r="H46" i="3"/>
  <c r="G46" i="3"/>
  <c r="F46" i="3"/>
  <c r="O46" i="3" s="1"/>
  <c r="E46" i="3"/>
  <c r="B46" i="3"/>
  <c r="L45" i="3"/>
  <c r="U45" i="3" s="1"/>
  <c r="K45" i="3"/>
  <c r="T45" i="3" s="1"/>
  <c r="J45" i="3"/>
  <c r="S45" i="3" s="1"/>
  <c r="I45" i="3"/>
  <c r="R45" i="3" s="1"/>
  <c r="H45" i="3"/>
  <c r="Q45" i="3" s="1"/>
  <c r="G45" i="3"/>
  <c r="P45" i="3" s="1"/>
  <c r="F45" i="3"/>
  <c r="O45" i="3" s="1"/>
  <c r="E45" i="3"/>
  <c r="B45" i="3"/>
  <c r="L44" i="3"/>
  <c r="U44" i="3" s="1"/>
  <c r="K44" i="3"/>
  <c r="T44" i="3" s="1"/>
  <c r="J44" i="3"/>
  <c r="I44" i="3"/>
  <c r="R44" i="3" s="1"/>
  <c r="H44" i="3"/>
  <c r="Q44" i="3" s="1"/>
  <c r="G44" i="3"/>
  <c r="P44" i="3" s="1"/>
  <c r="F44" i="3"/>
  <c r="O44" i="3" s="1"/>
  <c r="E44" i="3"/>
  <c r="N44" i="3" s="1"/>
  <c r="B44" i="3"/>
  <c r="L43" i="3"/>
  <c r="U43" i="3" s="1"/>
  <c r="K43" i="3"/>
  <c r="T43" i="3" s="1"/>
  <c r="J43" i="3"/>
  <c r="S43" i="3" s="1"/>
  <c r="I43" i="3"/>
  <c r="R43" i="3" s="1"/>
  <c r="H43" i="3"/>
  <c r="Q43" i="3" s="1"/>
  <c r="G43" i="3"/>
  <c r="P43" i="3" s="1"/>
  <c r="F43" i="3"/>
  <c r="O43" i="3" s="1"/>
  <c r="E43" i="3"/>
  <c r="B43" i="3"/>
  <c r="B42" i="3"/>
  <c r="Y41" i="3"/>
  <c r="L41" i="3"/>
  <c r="U41" i="3" s="1"/>
  <c r="K41" i="3"/>
  <c r="T41" i="3" s="1"/>
  <c r="J41" i="3"/>
  <c r="S41" i="3" s="1"/>
  <c r="I41" i="3"/>
  <c r="R41" i="3" s="1"/>
  <c r="H41" i="3"/>
  <c r="Q41" i="3" s="1"/>
  <c r="G41" i="3"/>
  <c r="P41" i="3" s="1"/>
  <c r="F41" i="3"/>
  <c r="O41" i="3" s="1"/>
  <c r="E41" i="3"/>
  <c r="N41" i="3" s="1"/>
  <c r="B41" i="3"/>
  <c r="Y40" i="3"/>
  <c r="L40" i="3"/>
  <c r="U40" i="3" s="1"/>
  <c r="K40" i="3"/>
  <c r="T40" i="3" s="1"/>
  <c r="J40" i="3"/>
  <c r="S40" i="3" s="1"/>
  <c r="I40" i="3"/>
  <c r="R40" i="3" s="1"/>
  <c r="H40" i="3"/>
  <c r="Q40" i="3" s="1"/>
  <c r="G40" i="3"/>
  <c r="P40" i="3" s="1"/>
  <c r="F40" i="3"/>
  <c r="O40" i="3" s="1"/>
  <c r="E40" i="3"/>
  <c r="B40" i="3"/>
  <c r="L39" i="3"/>
  <c r="U39" i="3" s="1"/>
  <c r="K39" i="3"/>
  <c r="T39" i="3" s="1"/>
  <c r="J39" i="3"/>
  <c r="I39" i="3"/>
  <c r="R39" i="3" s="1"/>
  <c r="H39" i="3"/>
  <c r="Q39" i="3" s="1"/>
  <c r="G39" i="3"/>
  <c r="P39" i="3" s="1"/>
  <c r="F39" i="3"/>
  <c r="O39" i="3" s="1"/>
  <c r="E39" i="3"/>
  <c r="N39" i="3" s="1"/>
  <c r="U38" i="3"/>
  <c r="L38" i="3"/>
  <c r="K38" i="3"/>
  <c r="T38" i="3" s="1"/>
  <c r="J38" i="3"/>
  <c r="I38" i="3"/>
  <c r="R38" i="3" s="1"/>
  <c r="H38" i="3"/>
  <c r="Q38" i="3" s="1"/>
  <c r="G38" i="3"/>
  <c r="P38" i="3" s="1"/>
  <c r="F38" i="3"/>
  <c r="O38" i="3" s="1"/>
  <c r="E38" i="3"/>
  <c r="N38" i="3" s="1"/>
  <c r="O37" i="3"/>
  <c r="L37" i="3"/>
  <c r="U37" i="3" s="1"/>
  <c r="K37" i="3"/>
  <c r="T37" i="3" s="1"/>
  <c r="J37" i="3"/>
  <c r="I37" i="3"/>
  <c r="R37" i="3" s="1"/>
  <c r="H37" i="3"/>
  <c r="Q37" i="3" s="1"/>
  <c r="G37" i="3"/>
  <c r="P37" i="3" s="1"/>
  <c r="F37" i="3"/>
  <c r="E37" i="3"/>
  <c r="N37" i="3" s="1"/>
  <c r="Y36" i="3"/>
  <c r="L36" i="3"/>
  <c r="U36" i="3" s="1"/>
  <c r="K36" i="3"/>
  <c r="T36" i="3" s="1"/>
  <c r="J36" i="3"/>
  <c r="S36" i="3" s="1"/>
  <c r="I36" i="3"/>
  <c r="R36" i="3" s="1"/>
  <c r="H36" i="3"/>
  <c r="G36" i="3"/>
  <c r="F36" i="3"/>
  <c r="O36" i="3" s="1"/>
  <c r="E36" i="3"/>
  <c r="N36" i="3" s="1"/>
  <c r="B36" i="3"/>
  <c r="Y35" i="3"/>
  <c r="N35" i="3"/>
  <c r="L35" i="3"/>
  <c r="U35" i="3" s="1"/>
  <c r="K35" i="3"/>
  <c r="T35" i="3" s="1"/>
  <c r="J35" i="3"/>
  <c r="S35" i="3" s="1"/>
  <c r="I35" i="3"/>
  <c r="R35" i="3" s="1"/>
  <c r="H35" i="3"/>
  <c r="Q35" i="3" s="1"/>
  <c r="G35" i="3"/>
  <c r="P35" i="3" s="1"/>
  <c r="F35" i="3"/>
  <c r="E35" i="3"/>
  <c r="B35" i="3"/>
  <c r="Y34" i="3"/>
  <c r="L34" i="3"/>
  <c r="U34" i="3" s="1"/>
  <c r="K34" i="3"/>
  <c r="T34" i="3" s="1"/>
  <c r="J34" i="3"/>
  <c r="S34" i="3" s="1"/>
  <c r="I34" i="3"/>
  <c r="R34" i="3" s="1"/>
  <c r="H34" i="3"/>
  <c r="Q34" i="3" s="1"/>
  <c r="G34" i="3"/>
  <c r="P34" i="3" s="1"/>
  <c r="F34" i="3"/>
  <c r="E34" i="3"/>
  <c r="B34" i="3"/>
  <c r="N33" i="3"/>
  <c r="L33" i="3"/>
  <c r="U33" i="3" s="1"/>
  <c r="K33" i="3"/>
  <c r="T33" i="3" s="1"/>
  <c r="J33" i="3"/>
  <c r="S33" i="3" s="1"/>
  <c r="I33" i="3"/>
  <c r="R33" i="3" s="1"/>
  <c r="H33" i="3"/>
  <c r="Q33" i="3" s="1"/>
  <c r="G33" i="3"/>
  <c r="P33" i="3" s="1"/>
  <c r="F33" i="3"/>
  <c r="O33" i="3" s="1"/>
  <c r="E33" i="3"/>
  <c r="B33" i="3"/>
  <c r="Y32" i="3"/>
  <c r="P32" i="3"/>
  <c r="L32" i="3"/>
  <c r="K32" i="3"/>
  <c r="T32" i="3" s="1"/>
  <c r="J32" i="3"/>
  <c r="S32" i="3" s="1"/>
  <c r="I32" i="3"/>
  <c r="R32" i="3" s="1"/>
  <c r="H32" i="3"/>
  <c r="Q32" i="3" s="1"/>
  <c r="G32" i="3"/>
  <c r="F32" i="3"/>
  <c r="O32" i="3" s="1"/>
  <c r="E32" i="3"/>
  <c r="Y31" i="3"/>
  <c r="L31" i="3"/>
  <c r="U31" i="3" s="1"/>
  <c r="K31" i="3"/>
  <c r="T31" i="3" s="1"/>
  <c r="J31" i="3"/>
  <c r="I31" i="3"/>
  <c r="R31" i="3" s="1"/>
  <c r="H31" i="3"/>
  <c r="Q31" i="3" s="1"/>
  <c r="G31" i="3"/>
  <c r="P31" i="3" s="1"/>
  <c r="F31" i="3"/>
  <c r="O31" i="3" s="1"/>
  <c r="E31" i="3"/>
  <c r="N31" i="3" s="1"/>
  <c r="Y30" i="3"/>
  <c r="L30" i="3"/>
  <c r="U30" i="3" s="1"/>
  <c r="K30" i="3"/>
  <c r="T30" i="3" s="1"/>
  <c r="J30" i="3"/>
  <c r="S30" i="3" s="1"/>
  <c r="I30" i="3"/>
  <c r="R30" i="3" s="1"/>
  <c r="H30" i="3"/>
  <c r="G30" i="3"/>
  <c r="F30" i="3"/>
  <c r="O30" i="3" s="1"/>
  <c r="E30" i="3"/>
  <c r="N30" i="3" s="1"/>
  <c r="L29" i="3"/>
  <c r="U29" i="3" s="1"/>
  <c r="K29" i="3"/>
  <c r="T29" i="3" s="1"/>
  <c r="J29" i="3"/>
  <c r="S29" i="3" s="1"/>
  <c r="I29" i="3"/>
  <c r="R29" i="3" s="1"/>
  <c r="H29" i="3"/>
  <c r="Q29" i="3" s="1"/>
  <c r="G29" i="3"/>
  <c r="P29" i="3" s="1"/>
  <c r="F29" i="3"/>
  <c r="O29" i="3" s="1"/>
  <c r="E29" i="3"/>
  <c r="N29" i="3" s="1"/>
  <c r="C29" i="3"/>
  <c r="B28" i="3"/>
  <c r="Q27" i="3"/>
  <c r="L27" i="3"/>
  <c r="U27" i="3" s="1"/>
  <c r="K27" i="3"/>
  <c r="T27" i="3" s="1"/>
  <c r="J27" i="3"/>
  <c r="I27" i="3"/>
  <c r="R27" i="3" s="1"/>
  <c r="H27" i="3"/>
  <c r="G27" i="3"/>
  <c r="P27" i="3" s="1"/>
  <c r="F27" i="3"/>
  <c r="O27" i="3" s="1"/>
  <c r="E27" i="3"/>
  <c r="N27" i="3" s="1"/>
  <c r="B27" i="3"/>
  <c r="L26" i="3"/>
  <c r="U26" i="3" s="1"/>
  <c r="K26" i="3"/>
  <c r="T26" i="3" s="1"/>
  <c r="J26" i="3"/>
  <c r="S26" i="3" s="1"/>
  <c r="I26" i="3"/>
  <c r="R26" i="3" s="1"/>
  <c r="H26" i="3"/>
  <c r="Q26" i="3" s="1"/>
  <c r="G26" i="3"/>
  <c r="P26" i="3" s="1"/>
  <c r="F26" i="3"/>
  <c r="O26" i="3" s="1"/>
  <c r="E26" i="3"/>
  <c r="B26" i="3"/>
  <c r="P25" i="3"/>
  <c r="L25" i="3"/>
  <c r="K25" i="3"/>
  <c r="T25" i="3" s="1"/>
  <c r="J25" i="3"/>
  <c r="S25" i="3" s="1"/>
  <c r="I25" i="3"/>
  <c r="R25" i="3" s="1"/>
  <c r="H25" i="3"/>
  <c r="Q25" i="3" s="1"/>
  <c r="G25" i="3"/>
  <c r="F25" i="3"/>
  <c r="O25" i="3" s="1"/>
  <c r="E25" i="3"/>
  <c r="N25" i="3" s="1"/>
  <c r="B25" i="3"/>
  <c r="L24" i="3"/>
  <c r="U24" i="3" s="1"/>
  <c r="K24" i="3"/>
  <c r="T24" i="3" s="1"/>
  <c r="J24" i="3"/>
  <c r="S24" i="3" s="1"/>
  <c r="I24" i="3"/>
  <c r="R24" i="3" s="1"/>
  <c r="H24" i="3"/>
  <c r="Q24" i="3" s="1"/>
  <c r="G24" i="3"/>
  <c r="P24" i="3" s="1"/>
  <c r="F24" i="3"/>
  <c r="O24" i="3" s="1"/>
  <c r="E24" i="3"/>
  <c r="N24" i="3" s="1"/>
  <c r="B24" i="3"/>
  <c r="L23" i="3"/>
  <c r="U23" i="3" s="1"/>
  <c r="K23" i="3"/>
  <c r="T23" i="3" s="1"/>
  <c r="J23" i="3"/>
  <c r="S23" i="3" s="1"/>
  <c r="I23" i="3"/>
  <c r="R23" i="3" s="1"/>
  <c r="H23" i="3"/>
  <c r="Q23" i="3" s="1"/>
  <c r="G23" i="3"/>
  <c r="P23" i="3" s="1"/>
  <c r="F23" i="3"/>
  <c r="O23" i="3" s="1"/>
  <c r="E23" i="3"/>
  <c r="N23" i="3" s="1"/>
  <c r="B23" i="3"/>
  <c r="L22" i="3"/>
  <c r="U22" i="3" s="1"/>
  <c r="K22" i="3"/>
  <c r="T22" i="3" s="1"/>
  <c r="J22" i="3"/>
  <c r="S22" i="3" s="1"/>
  <c r="I22" i="3"/>
  <c r="R22" i="3" s="1"/>
  <c r="H22" i="3"/>
  <c r="Q22" i="3" s="1"/>
  <c r="G22" i="3"/>
  <c r="P22" i="3" s="1"/>
  <c r="F22" i="3"/>
  <c r="O22" i="3" s="1"/>
  <c r="E22" i="3"/>
  <c r="B22" i="3"/>
  <c r="T21" i="3"/>
  <c r="L21" i="3"/>
  <c r="U21" i="3" s="1"/>
  <c r="K21" i="3"/>
  <c r="J21" i="3"/>
  <c r="S21" i="3" s="1"/>
  <c r="I21" i="3"/>
  <c r="R21" i="3" s="1"/>
  <c r="H21" i="3"/>
  <c r="Q21" i="3" s="1"/>
  <c r="G21" i="3"/>
  <c r="P21" i="3" s="1"/>
  <c r="F21" i="3"/>
  <c r="O21" i="3" s="1"/>
  <c r="E21" i="3"/>
  <c r="N21" i="3" s="1"/>
  <c r="B21" i="3"/>
  <c r="R20" i="3"/>
  <c r="L20" i="3"/>
  <c r="U20" i="3" s="1"/>
  <c r="K20" i="3"/>
  <c r="J20" i="3"/>
  <c r="S20" i="3" s="1"/>
  <c r="I20" i="3"/>
  <c r="H20" i="3"/>
  <c r="Q20" i="3" s="1"/>
  <c r="G20" i="3"/>
  <c r="P20" i="3" s="1"/>
  <c r="F20" i="3"/>
  <c r="O20" i="3" s="1"/>
  <c r="E20" i="3"/>
  <c r="N20" i="3" s="1"/>
  <c r="B20" i="3"/>
  <c r="L19" i="3"/>
  <c r="U19" i="3" s="1"/>
  <c r="K19" i="3"/>
  <c r="T19" i="3" s="1"/>
  <c r="J19" i="3"/>
  <c r="S19" i="3" s="1"/>
  <c r="I19" i="3"/>
  <c r="R19" i="3" s="1"/>
  <c r="H19" i="3"/>
  <c r="Q19" i="3" s="1"/>
  <c r="G19" i="3"/>
  <c r="P19" i="3" s="1"/>
  <c r="F19" i="3"/>
  <c r="O19" i="3" s="1"/>
  <c r="E19" i="3"/>
  <c r="B19" i="3"/>
  <c r="R18" i="3"/>
  <c r="P18" i="3"/>
  <c r="L18" i="3"/>
  <c r="U18" i="3" s="1"/>
  <c r="K18" i="3"/>
  <c r="T18" i="3" s="1"/>
  <c r="J18" i="3"/>
  <c r="S18" i="3" s="1"/>
  <c r="I18" i="3"/>
  <c r="H18" i="3"/>
  <c r="Q18" i="3" s="1"/>
  <c r="G18" i="3"/>
  <c r="F18" i="3"/>
  <c r="O18" i="3" s="1"/>
  <c r="E18" i="3"/>
  <c r="N18" i="3" s="1"/>
  <c r="B18" i="3"/>
  <c r="O17" i="3"/>
  <c r="L17" i="3"/>
  <c r="U17" i="3" s="1"/>
  <c r="K17" i="3"/>
  <c r="T17" i="3" s="1"/>
  <c r="J17" i="3"/>
  <c r="S17" i="3" s="1"/>
  <c r="I17" i="3"/>
  <c r="R17" i="3" s="1"/>
  <c r="H17" i="3"/>
  <c r="Q17" i="3" s="1"/>
  <c r="G17" i="3"/>
  <c r="F17" i="3"/>
  <c r="E17" i="3"/>
  <c r="N17" i="3" s="1"/>
  <c r="B17" i="3"/>
  <c r="L16" i="3"/>
  <c r="U16" i="3" s="1"/>
  <c r="K16" i="3"/>
  <c r="T16" i="3" s="1"/>
  <c r="J16" i="3"/>
  <c r="S16" i="3" s="1"/>
  <c r="I16" i="3"/>
  <c r="R16" i="3" s="1"/>
  <c r="H16" i="3"/>
  <c r="Q16" i="3" s="1"/>
  <c r="G16" i="3"/>
  <c r="P16" i="3" s="1"/>
  <c r="F16" i="3"/>
  <c r="O16" i="3" s="1"/>
  <c r="E16" i="3"/>
  <c r="B16" i="3"/>
  <c r="L15" i="3"/>
  <c r="U15" i="3" s="1"/>
  <c r="K15" i="3"/>
  <c r="T15" i="3" s="1"/>
  <c r="J15" i="3"/>
  <c r="I15" i="3"/>
  <c r="R15" i="3" s="1"/>
  <c r="H15" i="3"/>
  <c r="Q15" i="3" s="1"/>
  <c r="G15" i="3"/>
  <c r="P15" i="3" s="1"/>
  <c r="F15" i="3"/>
  <c r="O15" i="3" s="1"/>
  <c r="E15" i="3"/>
  <c r="N15" i="3" s="1"/>
  <c r="B15" i="3"/>
  <c r="L14" i="3"/>
  <c r="U14" i="3" s="1"/>
  <c r="K14" i="3"/>
  <c r="T14" i="3" s="1"/>
  <c r="J14" i="3"/>
  <c r="S14" i="3" s="1"/>
  <c r="I14" i="3"/>
  <c r="R14" i="3" s="1"/>
  <c r="H14" i="3"/>
  <c r="Q14" i="3" s="1"/>
  <c r="G14" i="3"/>
  <c r="P14" i="3" s="1"/>
  <c r="F14" i="3"/>
  <c r="O14" i="3" s="1"/>
  <c r="E14" i="3"/>
  <c r="B14" i="3"/>
  <c r="L13" i="3"/>
  <c r="K13" i="3"/>
  <c r="T13" i="3" s="1"/>
  <c r="J13" i="3"/>
  <c r="S13" i="3" s="1"/>
  <c r="I13" i="3"/>
  <c r="R13" i="3" s="1"/>
  <c r="H13" i="3"/>
  <c r="Q13" i="3" s="1"/>
  <c r="G13" i="3"/>
  <c r="P13" i="3" s="1"/>
  <c r="F13" i="3"/>
  <c r="O13" i="3" s="1"/>
  <c r="E13" i="3"/>
  <c r="N13" i="3" s="1"/>
  <c r="B13" i="3"/>
  <c r="B12" i="3"/>
  <c r="L11" i="3"/>
  <c r="U11" i="3" s="1"/>
  <c r="K11" i="3"/>
  <c r="T11" i="3" s="1"/>
  <c r="J11" i="3"/>
  <c r="S11" i="3" s="1"/>
  <c r="I11" i="3"/>
  <c r="R11" i="3" s="1"/>
  <c r="H11" i="3"/>
  <c r="Q11" i="3" s="1"/>
  <c r="G11" i="3"/>
  <c r="P11" i="3" s="1"/>
  <c r="F11" i="3"/>
  <c r="O11" i="3" s="1"/>
  <c r="E11" i="3"/>
  <c r="N11" i="3" s="1"/>
  <c r="B11" i="3"/>
  <c r="L10" i="3"/>
  <c r="U10" i="3" s="1"/>
  <c r="K10" i="3"/>
  <c r="T10" i="3" s="1"/>
  <c r="J10" i="3"/>
  <c r="S10" i="3" s="1"/>
  <c r="I10" i="3"/>
  <c r="R10" i="3" s="1"/>
  <c r="H10" i="3"/>
  <c r="Q10" i="3" s="1"/>
  <c r="G10" i="3"/>
  <c r="P10" i="3" s="1"/>
  <c r="F10" i="3"/>
  <c r="O10" i="3" s="1"/>
  <c r="E10" i="3"/>
  <c r="N10" i="3" s="1"/>
  <c r="B10" i="3"/>
  <c r="L9" i="3"/>
  <c r="U9" i="3" s="1"/>
  <c r="K9" i="3"/>
  <c r="J9" i="3"/>
  <c r="S9" i="3" s="1"/>
  <c r="I9" i="3"/>
  <c r="R9" i="3" s="1"/>
  <c r="H9" i="3"/>
  <c r="Q9" i="3" s="1"/>
  <c r="G9" i="3"/>
  <c r="P9" i="3" s="1"/>
  <c r="F9" i="3"/>
  <c r="O9" i="3" s="1"/>
  <c r="E9" i="3"/>
  <c r="N9" i="3" s="1"/>
  <c r="B9" i="3"/>
  <c r="B8" i="3"/>
  <c r="AI100" i="2"/>
  <c r="AI99" i="2"/>
  <c r="AE99" i="2"/>
  <c r="AB99" i="2"/>
  <c r="Y99" i="2"/>
  <c r="V99" i="2"/>
  <c r="M99" i="2"/>
  <c r="J99" i="2"/>
  <c r="AG99" i="2" s="1"/>
  <c r="AI98" i="2"/>
  <c r="AG98" i="2"/>
  <c r="AE98" i="2"/>
  <c r="AB98" i="2"/>
  <c r="Y98" i="2"/>
  <c r="V98" i="2"/>
  <c r="M98" i="2"/>
  <c r="J98" i="2"/>
  <c r="AI97" i="2"/>
  <c r="I97" i="2"/>
  <c r="E96" i="3" s="1"/>
  <c r="AI96" i="2"/>
  <c r="AD96" i="2"/>
  <c r="L95" i="3" s="1"/>
  <c r="AA96" i="2"/>
  <c r="K95" i="3" s="1"/>
  <c r="X96" i="2"/>
  <c r="J95" i="3" s="1"/>
  <c r="U96" i="2"/>
  <c r="I95" i="3" s="1"/>
  <c r="R96" i="2"/>
  <c r="H95" i="3" s="1"/>
  <c r="O96" i="2"/>
  <c r="L96" i="2"/>
  <c r="F95" i="3" s="1"/>
  <c r="I96" i="2"/>
  <c r="E95" i="3" s="1"/>
  <c r="AI95" i="2"/>
  <c r="AE95" i="2"/>
  <c r="AB95" i="2"/>
  <c r="Y95" i="2"/>
  <c r="V95" i="2"/>
  <c r="P95" i="2"/>
  <c r="M95" i="2"/>
  <c r="J95" i="2"/>
  <c r="C95" i="2"/>
  <c r="C94" i="3" s="1"/>
  <c r="AI94" i="2"/>
  <c r="AE94" i="2"/>
  <c r="AB94" i="2"/>
  <c r="Y94" i="2"/>
  <c r="V94" i="2"/>
  <c r="S94" i="2"/>
  <c r="P94" i="2"/>
  <c r="M94" i="2"/>
  <c r="J94" i="2"/>
  <c r="C94" i="2"/>
  <c r="C93" i="3" s="1"/>
  <c r="AI93" i="2"/>
  <c r="AI92" i="2"/>
  <c r="AI91" i="2"/>
  <c r="AE91" i="2"/>
  <c r="AB91" i="2"/>
  <c r="AG91" i="2" s="1"/>
  <c r="Y91" i="2"/>
  <c r="V91" i="2"/>
  <c r="P91" i="2"/>
  <c r="M91" i="2"/>
  <c r="J91" i="2"/>
  <c r="C91" i="2"/>
  <c r="C90" i="3" s="1"/>
  <c r="AI90" i="2"/>
  <c r="AE90" i="2"/>
  <c r="AB90" i="2"/>
  <c r="Y90" i="2"/>
  <c r="V90" i="2"/>
  <c r="S90" i="2"/>
  <c r="AG90" i="2" s="1"/>
  <c r="P90" i="2"/>
  <c r="M90" i="2"/>
  <c r="J90" i="2"/>
  <c r="C90" i="2"/>
  <c r="C89" i="3" s="1"/>
  <c r="AI89" i="2"/>
  <c r="AE89" i="2"/>
  <c r="AB89" i="2"/>
  <c r="Y89" i="2"/>
  <c r="V89" i="2"/>
  <c r="S89" i="2"/>
  <c r="P89" i="2"/>
  <c r="AG89" i="2" s="1"/>
  <c r="M89" i="2"/>
  <c r="J89" i="2"/>
  <c r="C89" i="2"/>
  <c r="C88" i="3" s="1"/>
  <c r="AI88" i="2"/>
  <c r="AE88" i="2"/>
  <c r="AG88" i="2" s="1"/>
  <c r="AB88" i="2"/>
  <c r="Y88" i="2"/>
  <c r="V88" i="2"/>
  <c r="S88" i="2"/>
  <c r="P88" i="2"/>
  <c r="M88" i="2"/>
  <c r="J88" i="2"/>
  <c r="C88" i="2"/>
  <c r="C87" i="3" s="1"/>
  <c r="AI87" i="2"/>
  <c r="AE87" i="2"/>
  <c r="AB87" i="2"/>
  <c r="Y87" i="2"/>
  <c r="V87" i="2"/>
  <c r="S87" i="2"/>
  <c r="P87" i="2"/>
  <c r="M87" i="2"/>
  <c r="J87" i="2"/>
  <c r="C87" i="2"/>
  <c r="C86" i="3" s="1"/>
  <c r="C86" i="2"/>
  <c r="C85" i="3" s="1"/>
  <c r="AI85" i="2"/>
  <c r="AE85" i="2"/>
  <c r="AB85" i="2"/>
  <c r="Y85" i="2"/>
  <c r="V85" i="2"/>
  <c r="S85" i="2"/>
  <c r="P85" i="2"/>
  <c r="M85" i="2"/>
  <c r="J85" i="2"/>
  <c r="C85" i="2"/>
  <c r="C84" i="3" s="1"/>
  <c r="AI84" i="2"/>
  <c r="AE84" i="2"/>
  <c r="AB84" i="2"/>
  <c r="Y84" i="2"/>
  <c r="V84" i="2"/>
  <c r="S84" i="2"/>
  <c r="P84" i="2"/>
  <c r="M84" i="2"/>
  <c r="J84" i="2"/>
  <c r="C84" i="2"/>
  <c r="C83" i="3" s="1"/>
  <c r="AI83" i="2"/>
  <c r="AE83" i="2"/>
  <c r="AB83" i="2"/>
  <c r="Y83" i="2"/>
  <c r="V83" i="2"/>
  <c r="S83" i="2"/>
  <c r="P83" i="2"/>
  <c r="M83" i="2"/>
  <c r="J83" i="2"/>
  <c r="C83" i="2"/>
  <c r="C82" i="3" s="1"/>
  <c r="C82" i="2"/>
  <c r="C81" i="3" s="1"/>
  <c r="AI81" i="2"/>
  <c r="AE81" i="2"/>
  <c r="AB81" i="2"/>
  <c r="Y81" i="2"/>
  <c r="V81" i="2"/>
  <c r="P81" i="2"/>
  <c r="M81" i="2"/>
  <c r="J81" i="2"/>
  <c r="C81" i="2"/>
  <c r="C80" i="2"/>
  <c r="C79" i="3" s="1"/>
  <c r="B80" i="2"/>
  <c r="C79" i="2"/>
  <c r="C78" i="3" s="1"/>
  <c r="AI78" i="2"/>
  <c r="AE78" i="2"/>
  <c r="AB78" i="2"/>
  <c r="Y78" i="2"/>
  <c r="V78" i="2"/>
  <c r="S78" i="2"/>
  <c r="P78" i="2"/>
  <c r="M78" i="2"/>
  <c r="J78" i="2"/>
  <c r="C78" i="2"/>
  <c r="C77" i="3" s="1"/>
  <c r="C77" i="2"/>
  <c r="C76" i="3" s="1"/>
  <c r="AI76" i="2"/>
  <c r="AE76" i="2"/>
  <c r="AB76" i="2"/>
  <c r="Y76" i="2"/>
  <c r="V76" i="2"/>
  <c r="S76" i="2"/>
  <c r="P76" i="2"/>
  <c r="M76" i="2"/>
  <c r="J76" i="2"/>
  <c r="C76" i="2"/>
  <c r="C75" i="3" s="1"/>
  <c r="AI75" i="2"/>
  <c r="AE75" i="2"/>
  <c r="AG75" i="2" s="1"/>
  <c r="AB75" i="2"/>
  <c r="Y75" i="2"/>
  <c r="V75" i="2"/>
  <c r="S75" i="2"/>
  <c r="P75" i="2"/>
  <c r="M75" i="2"/>
  <c r="J75" i="2"/>
  <c r="C75" i="2"/>
  <c r="C74" i="3" s="1"/>
  <c r="AI74" i="2"/>
  <c r="AE74" i="2"/>
  <c r="AB74" i="2"/>
  <c r="Y74" i="2"/>
  <c r="V74" i="2"/>
  <c r="S74" i="2"/>
  <c r="P74" i="2"/>
  <c r="M74" i="2"/>
  <c r="J74" i="2"/>
  <c r="C74" i="2"/>
  <c r="C73" i="3" s="1"/>
  <c r="AI73" i="2"/>
  <c r="AE73" i="2"/>
  <c r="AB73" i="2"/>
  <c r="Y73" i="2"/>
  <c r="V73" i="2"/>
  <c r="S73" i="2"/>
  <c r="P73" i="2"/>
  <c r="M73" i="2"/>
  <c r="J73" i="2"/>
  <c r="C73" i="2"/>
  <c r="C72" i="3" s="1"/>
  <c r="AI72" i="2"/>
  <c r="AE72" i="2"/>
  <c r="AB72" i="2"/>
  <c r="Y72" i="2"/>
  <c r="V72" i="2"/>
  <c r="S72" i="2"/>
  <c r="AG72" i="2" s="1"/>
  <c r="P72" i="2"/>
  <c r="M72" i="2"/>
  <c r="J72" i="2"/>
  <c r="C72" i="2"/>
  <c r="C71" i="3" s="1"/>
  <c r="AI71" i="2"/>
  <c r="AE71" i="2"/>
  <c r="AB71" i="2"/>
  <c r="Y71" i="2"/>
  <c r="V71" i="2"/>
  <c r="S71" i="2"/>
  <c r="P71" i="2"/>
  <c r="M71" i="2"/>
  <c r="J71" i="2"/>
  <c r="AG71" i="2" s="1"/>
  <c r="C71" i="2"/>
  <c r="C70" i="3" s="1"/>
  <c r="C70" i="2"/>
  <c r="C69" i="3" s="1"/>
  <c r="AI69" i="2"/>
  <c r="AE69" i="2"/>
  <c r="AB69" i="2"/>
  <c r="Y69" i="2"/>
  <c r="V69" i="2"/>
  <c r="S69" i="2"/>
  <c r="P69" i="2"/>
  <c r="M69" i="2"/>
  <c r="J69" i="2"/>
  <c r="C69" i="2"/>
  <c r="C68" i="3" s="1"/>
  <c r="AI68" i="2"/>
  <c r="AE68" i="2"/>
  <c r="AB68" i="2"/>
  <c r="Y68" i="2"/>
  <c r="V68" i="2"/>
  <c r="S68" i="2"/>
  <c r="P68" i="2"/>
  <c r="M68" i="2"/>
  <c r="J68" i="2"/>
  <c r="C68" i="2"/>
  <c r="C67" i="3" s="1"/>
  <c r="AI67" i="2"/>
  <c r="AG67" i="2"/>
  <c r="AE67" i="2"/>
  <c r="AB67" i="2"/>
  <c r="Y67" i="2"/>
  <c r="V67" i="2"/>
  <c r="S67" i="2"/>
  <c r="P67" i="2"/>
  <c r="M67" i="2"/>
  <c r="J67" i="2"/>
  <c r="C67" i="2"/>
  <c r="C66" i="3" s="1"/>
  <c r="AI66" i="2"/>
  <c r="C66" i="2"/>
  <c r="C65" i="3" s="1"/>
  <c r="AI65" i="2"/>
  <c r="AE65" i="2"/>
  <c r="AB65" i="2"/>
  <c r="Y65" i="2"/>
  <c r="V65" i="2"/>
  <c r="S65" i="2"/>
  <c r="AG65" i="2" s="1"/>
  <c r="P65" i="2"/>
  <c r="M65" i="2"/>
  <c r="J65" i="2"/>
  <c r="C65" i="2"/>
  <c r="C64" i="3" s="1"/>
  <c r="AI64" i="2"/>
  <c r="AE64" i="2"/>
  <c r="AG64" i="2" s="1"/>
  <c r="AB64" i="2"/>
  <c r="Y64" i="2"/>
  <c r="V64" i="2"/>
  <c r="S64" i="2"/>
  <c r="P64" i="2"/>
  <c r="M64" i="2"/>
  <c r="J64" i="2"/>
  <c r="C64" i="2"/>
  <c r="C63" i="3" s="1"/>
  <c r="AI63" i="2"/>
  <c r="AH63" i="2"/>
  <c r="C63" i="2"/>
  <c r="C62" i="3" s="1"/>
  <c r="AI62" i="2"/>
  <c r="AE62" i="2"/>
  <c r="AB62" i="2"/>
  <c r="Y62" i="2"/>
  <c r="AG62" i="2" s="1"/>
  <c r="V62" i="2"/>
  <c r="S62" i="2"/>
  <c r="P62" i="2"/>
  <c r="M62" i="2"/>
  <c r="J62" i="2"/>
  <c r="C62" i="2"/>
  <c r="C61" i="3" s="1"/>
  <c r="C61" i="2"/>
  <c r="C60" i="3" s="1"/>
  <c r="AI60" i="2"/>
  <c r="AE60" i="2"/>
  <c r="AB60" i="2"/>
  <c r="AG60" i="2" s="1"/>
  <c r="Y60" i="2"/>
  <c r="V60" i="2"/>
  <c r="S60" i="2"/>
  <c r="P60" i="2"/>
  <c r="M60" i="2"/>
  <c r="J60" i="2"/>
  <c r="C60" i="2"/>
  <c r="C59" i="3" s="1"/>
  <c r="AI59" i="2"/>
  <c r="AE59" i="2"/>
  <c r="AB59" i="2"/>
  <c r="Y59" i="2"/>
  <c r="V59" i="2"/>
  <c r="S59" i="2"/>
  <c r="P59" i="2"/>
  <c r="M59" i="2"/>
  <c r="J59" i="2"/>
  <c r="C59" i="2"/>
  <c r="C58" i="3" s="1"/>
  <c r="C58" i="2"/>
  <c r="C57" i="3" s="1"/>
  <c r="C57" i="2"/>
  <c r="C56" i="3" s="1"/>
  <c r="AI55" i="2"/>
  <c r="AD55" i="2"/>
  <c r="AD97" i="2" s="1"/>
  <c r="L96" i="3" s="1"/>
  <c r="AA55" i="2"/>
  <c r="AA97" i="2" s="1"/>
  <c r="X55" i="2"/>
  <c r="X97" i="2" s="1"/>
  <c r="U55" i="2"/>
  <c r="U97" i="2" s="1"/>
  <c r="R55" i="2"/>
  <c r="R97" i="2" s="1"/>
  <c r="O55" i="2"/>
  <c r="O97" i="2" s="1"/>
  <c r="G96" i="3" s="1"/>
  <c r="L55" i="2"/>
  <c r="L97" i="2" s="1"/>
  <c r="F96" i="3" s="1"/>
  <c r="I55" i="2"/>
  <c r="E54" i="3" s="1"/>
  <c r="AI54" i="2"/>
  <c r="AE54" i="2"/>
  <c r="AB54" i="2"/>
  <c r="AG54" i="2" s="1"/>
  <c r="Y54" i="2"/>
  <c r="V54" i="2"/>
  <c r="S54" i="2"/>
  <c r="P54" i="2"/>
  <c r="M54" i="2"/>
  <c r="J54" i="2"/>
  <c r="C54" i="2"/>
  <c r="AI53" i="2"/>
  <c r="AE53" i="2"/>
  <c r="AB53" i="2"/>
  <c r="Y53" i="2"/>
  <c r="V53" i="2"/>
  <c r="S53" i="2"/>
  <c r="P53" i="2"/>
  <c r="M53" i="2"/>
  <c r="J53" i="2"/>
  <c r="C53" i="2"/>
  <c r="AI52" i="2"/>
  <c r="AE52" i="2"/>
  <c r="AB52" i="2"/>
  <c r="Y52" i="2"/>
  <c r="V52" i="2"/>
  <c r="S52" i="2"/>
  <c r="P52" i="2"/>
  <c r="M52" i="2"/>
  <c r="J52" i="2"/>
  <c r="C52" i="2"/>
  <c r="C51" i="3" s="1"/>
  <c r="AI51" i="2"/>
  <c r="AI50" i="2"/>
  <c r="AE50" i="2"/>
  <c r="AB50" i="2"/>
  <c r="AG50" i="2" s="1"/>
  <c r="Y50" i="2"/>
  <c r="V50" i="2"/>
  <c r="S50" i="2"/>
  <c r="P50" i="2"/>
  <c r="M50" i="2"/>
  <c r="J50" i="2"/>
  <c r="C50" i="2"/>
  <c r="C49" i="3" s="1"/>
  <c r="AI49" i="2"/>
  <c r="AE49" i="2"/>
  <c r="AB49" i="2"/>
  <c r="Y49" i="2"/>
  <c r="V49" i="2"/>
  <c r="S49" i="2"/>
  <c r="P49" i="2"/>
  <c r="M49" i="2"/>
  <c r="J49" i="2"/>
  <c r="AI48" i="2"/>
  <c r="AE48" i="2"/>
  <c r="AG48" i="2" s="1"/>
  <c r="AB48" i="2"/>
  <c r="Y48" i="2"/>
  <c r="V48" i="2"/>
  <c r="S48" i="2"/>
  <c r="P48" i="2"/>
  <c r="M48" i="2"/>
  <c r="J48" i="2"/>
  <c r="AI47" i="2"/>
  <c r="AE47" i="2"/>
  <c r="AB47" i="2"/>
  <c r="AG47" i="2" s="1"/>
  <c r="Y47" i="2"/>
  <c r="V47" i="2"/>
  <c r="S47" i="2"/>
  <c r="P47" i="2"/>
  <c r="M47" i="2"/>
  <c r="J47" i="2"/>
  <c r="C47" i="2"/>
  <c r="C46" i="3" s="1"/>
  <c r="AI46" i="2"/>
  <c r="AE46" i="2"/>
  <c r="AB46" i="2"/>
  <c r="Y46" i="2"/>
  <c r="V46" i="2"/>
  <c r="S46" i="2"/>
  <c r="P46" i="2"/>
  <c r="M46" i="2"/>
  <c r="J46" i="2"/>
  <c r="C46" i="2"/>
  <c r="C45" i="3" s="1"/>
  <c r="AI45" i="2"/>
  <c r="AE45" i="2"/>
  <c r="AB45" i="2"/>
  <c r="Y45" i="2"/>
  <c r="V45" i="2"/>
  <c r="S45" i="2"/>
  <c r="P45" i="2"/>
  <c r="M45" i="2"/>
  <c r="J45" i="2"/>
  <c r="C45" i="2"/>
  <c r="C44" i="3" s="1"/>
  <c r="AI44" i="2"/>
  <c r="AE44" i="2"/>
  <c r="AB44" i="2"/>
  <c r="Y44" i="2"/>
  <c r="V44" i="2"/>
  <c r="S44" i="2"/>
  <c r="P44" i="2"/>
  <c r="M44" i="2"/>
  <c r="J44" i="2"/>
  <c r="C44" i="2"/>
  <c r="C43" i="3" s="1"/>
  <c r="C43" i="2"/>
  <c r="C42" i="3" s="1"/>
  <c r="AI42" i="2"/>
  <c r="AE42" i="2"/>
  <c r="AG42" i="2" s="1"/>
  <c r="AB42" i="2"/>
  <c r="Y42" i="2"/>
  <c r="V42" i="2"/>
  <c r="S42" i="2"/>
  <c r="P42" i="2"/>
  <c r="M42" i="2"/>
  <c r="J42" i="2"/>
  <c r="C42" i="2"/>
  <c r="C41" i="3" s="1"/>
  <c r="AI41" i="2"/>
  <c r="AE41" i="2"/>
  <c r="AB41" i="2"/>
  <c r="Y41" i="2"/>
  <c r="AG41" i="2" s="1"/>
  <c r="V41" i="2"/>
  <c r="S41" i="2"/>
  <c r="P41" i="2"/>
  <c r="M41" i="2"/>
  <c r="J41" i="2"/>
  <c r="C41" i="2"/>
  <c r="C40" i="3" s="1"/>
  <c r="AI40" i="2"/>
  <c r="AE40" i="2"/>
  <c r="AG40" i="2" s="1"/>
  <c r="AB40" i="2"/>
  <c r="Y40" i="2"/>
  <c r="V40" i="2"/>
  <c r="S40" i="2"/>
  <c r="P40" i="2"/>
  <c r="M40" i="2"/>
  <c r="J40" i="2"/>
  <c r="C40" i="2"/>
  <c r="C39" i="3" s="1"/>
  <c r="AI39" i="2"/>
  <c r="AE39" i="2"/>
  <c r="AG39" i="2" s="1"/>
  <c r="AB39" i="2"/>
  <c r="Y39" i="2"/>
  <c r="V39" i="2"/>
  <c r="S39" i="2"/>
  <c r="P39" i="2"/>
  <c r="M39" i="2"/>
  <c r="J39" i="2"/>
  <c r="C39" i="2"/>
  <c r="C38" i="3" s="1"/>
  <c r="AI38" i="2"/>
  <c r="AE38" i="2"/>
  <c r="AG38" i="2" s="1"/>
  <c r="AB38" i="2"/>
  <c r="Y38" i="2"/>
  <c r="V38" i="2"/>
  <c r="S38" i="2"/>
  <c r="P38" i="2"/>
  <c r="M38" i="2"/>
  <c r="J38" i="2"/>
  <c r="C38" i="2"/>
  <c r="C37" i="3" s="1"/>
  <c r="AI37" i="2"/>
  <c r="AE37" i="2"/>
  <c r="AB37" i="2"/>
  <c r="Y37" i="2"/>
  <c r="AG37" i="2" s="1"/>
  <c r="V37" i="2"/>
  <c r="S37" i="2"/>
  <c r="P37" i="2"/>
  <c r="M37" i="2"/>
  <c r="J37" i="2"/>
  <c r="C37" i="2"/>
  <c r="C36" i="3" s="1"/>
  <c r="AI36" i="2"/>
  <c r="AE36" i="2"/>
  <c r="AG36" i="2" s="1"/>
  <c r="AB36" i="2"/>
  <c r="Y36" i="2"/>
  <c r="V36" i="2"/>
  <c r="S36" i="2"/>
  <c r="P36" i="2"/>
  <c r="M36" i="2"/>
  <c r="J36" i="2"/>
  <c r="C36" i="2"/>
  <c r="C35" i="3" s="1"/>
  <c r="AI35" i="2"/>
  <c r="AE35" i="2"/>
  <c r="AG35" i="2" s="1"/>
  <c r="AB35" i="2"/>
  <c r="Y35" i="2"/>
  <c r="V35" i="2"/>
  <c r="S35" i="2"/>
  <c r="P35" i="2"/>
  <c r="M35" i="2"/>
  <c r="J35" i="2"/>
  <c r="C35" i="2"/>
  <c r="C34" i="3" s="1"/>
  <c r="AI34" i="2"/>
  <c r="AE34" i="2"/>
  <c r="AG34" i="2" s="1"/>
  <c r="AB34" i="2"/>
  <c r="Y34" i="2"/>
  <c r="V34" i="2"/>
  <c r="S34" i="2"/>
  <c r="P34" i="2"/>
  <c r="M34" i="2"/>
  <c r="J34" i="2"/>
  <c r="C34" i="2"/>
  <c r="C33" i="3" s="1"/>
  <c r="AI33" i="2"/>
  <c r="AE33" i="2"/>
  <c r="AB33" i="2"/>
  <c r="Y33" i="2"/>
  <c r="AG33" i="2" s="1"/>
  <c r="V33" i="2"/>
  <c r="S33" i="2"/>
  <c r="P33" i="2"/>
  <c r="M33" i="2"/>
  <c r="J33" i="2"/>
  <c r="C33" i="2"/>
  <c r="C32" i="3" s="1"/>
  <c r="AI32" i="2"/>
  <c r="AE32" i="2"/>
  <c r="AG32" i="2" s="1"/>
  <c r="AB32" i="2"/>
  <c r="Y32" i="2"/>
  <c r="V32" i="2"/>
  <c r="S32" i="2"/>
  <c r="P32" i="2"/>
  <c r="M32" i="2"/>
  <c r="J32" i="2"/>
  <c r="C32" i="2"/>
  <c r="C31" i="3" s="1"/>
  <c r="AI31" i="2"/>
  <c r="AE31" i="2"/>
  <c r="AG31" i="2" s="1"/>
  <c r="AB31" i="2"/>
  <c r="Y31" i="2"/>
  <c r="V31" i="2"/>
  <c r="S31" i="2"/>
  <c r="P31" i="2"/>
  <c r="M31" i="2"/>
  <c r="J31" i="2"/>
  <c r="C31" i="2"/>
  <c r="C30" i="3" s="1"/>
  <c r="AI30" i="2"/>
  <c r="AE30" i="2"/>
  <c r="AG30" i="2" s="1"/>
  <c r="AB30" i="2"/>
  <c r="Y30" i="2"/>
  <c r="V30" i="2"/>
  <c r="S30" i="2"/>
  <c r="P30" i="2"/>
  <c r="M30" i="2"/>
  <c r="J30" i="2"/>
  <c r="C29" i="2"/>
  <c r="C28" i="3" s="1"/>
  <c r="AI28" i="2"/>
  <c r="AE28" i="2"/>
  <c r="AB28" i="2"/>
  <c r="Y28" i="2"/>
  <c r="AG28" i="2" s="1"/>
  <c r="V28" i="2"/>
  <c r="S28" i="2"/>
  <c r="P28" i="2"/>
  <c r="M28" i="2"/>
  <c r="J28" i="2"/>
  <c r="C28" i="2"/>
  <c r="C27" i="3" s="1"/>
  <c r="AI27" i="2"/>
  <c r="AE27" i="2"/>
  <c r="AG27" i="2" s="1"/>
  <c r="AB27" i="2"/>
  <c r="Y27" i="2"/>
  <c r="V27" i="2"/>
  <c r="S27" i="2"/>
  <c r="P27" i="2"/>
  <c r="M27" i="2"/>
  <c r="J27" i="2"/>
  <c r="C27" i="2"/>
  <c r="C26" i="3" s="1"/>
  <c r="AI26" i="2"/>
  <c r="AE26" i="2"/>
  <c r="AG26" i="2" s="1"/>
  <c r="AB26" i="2"/>
  <c r="Y26" i="2"/>
  <c r="V26" i="2"/>
  <c r="S26" i="2"/>
  <c r="P26" i="2"/>
  <c r="M26" i="2"/>
  <c r="J26" i="2"/>
  <c r="C26" i="2"/>
  <c r="C25" i="3" s="1"/>
  <c r="AI25" i="2"/>
  <c r="AE25" i="2"/>
  <c r="AG25" i="2" s="1"/>
  <c r="AB25" i="2"/>
  <c r="Y25" i="2"/>
  <c r="V25" i="2"/>
  <c r="S25" i="2"/>
  <c r="P25" i="2"/>
  <c r="M25" i="2"/>
  <c r="J25" i="2"/>
  <c r="C25" i="2"/>
  <c r="C24" i="3" s="1"/>
  <c r="AI24" i="2"/>
  <c r="AE24" i="2"/>
  <c r="AB24" i="2"/>
  <c r="Y24" i="2"/>
  <c r="AG24" i="2" s="1"/>
  <c r="V24" i="2"/>
  <c r="S24" i="2"/>
  <c r="P24" i="2"/>
  <c r="M24" i="2"/>
  <c r="J24" i="2"/>
  <c r="C24" i="2"/>
  <c r="C23" i="3" s="1"/>
  <c r="AI23" i="2"/>
  <c r="AE23" i="2"/>
  <c r="AG23" i="2" s="1"/>
  <c r="AB23" i="2"/>
  <c r="Y23" i="2"/>
  <c r="V23" i="2"/>
  <c r="S23" i="2"/>
  <c r="P23" i="2"/>
  <c r="M23" i="2"/>
  <c r="J23" i="2"/>
  <c r="C23" i="2"/>
  <c r="C22" i="3" s="1"/>
  <c r="AI22" i="2"/>
  <c r="AE22" i="2"/>
  <c r="AB22" i="2"/>
  <c r="Y22" i="2"/>
  <c r="V22" i="2"/>
  <c r="S22" i="2"/>
  <c r="P22" i="2"/>
  <c r="M22" i="2"/>
  <c r="J22" i="2"/>
  <c r="C22" i="2"/>
  <c r="C21" i="3" s="1"/>
  <c r="AI21" i="2"/>
  <c r="AE21" i="2"/>
  <c r="AG21" i="2" s="1"/>
  <c r="AB21" i="2"/>
  <c r="Y21" i="2"/>
  <c r="V21" i="2"/>
  <c r="S21" i="2"/>
  <c r="P21" i="2"/>
  <c r="M21" i="2"/>
  <c r="J21" i="2"/>
  <c r="C21" i="2"/>
  <c r="C20" i="3" s="1"/>
  <c r="AI20" i="2"/>
  <c r="AE20" i="2"/>
  <c r="AB20" i="2"/>
  <c r="Y20" i="2"/>
  <c r="AG20" i="2" s="1"/>
  <c r="V20" i="2"/>
  <c r="S20" i="2"/>
  <c r="P20" i="2"/>
  <c r="M20" i="2"/>
  <c r="J20" i="2"/>
  <c r="C20" i="2"/>
  <c r="C19" i="3" s="1"/>
  <c r="AI19" i="2"/>
  <c r="AE19" i="2"/>
  <c r="AG19" i="2" s="1"/>
  <c r="AB19" i="2"/>
  <c r="Y19" i="2"/>
  <c r="V19" i="2"/>
  <c r="S19" i="2"/>
  <c r="P19" i="2"/>
  <c r="M19" i="2"/>
  <c r="J19" i="2"/>
  <c r="C19" i="2"/>
  <c r="C18" i="3" s="1"/>
  <c r="AI18" i="2"/>
  <c r="AG18" i="2"/>
  <c r="AE18" i="2"/>
  <c r="AB18" i="2"/>
  <c r="Y18" i="2"/>
  <c r="V18" i="2"/>
  <c r="S18" i="2"/>
  <c r="P18" i="2"/>
  <c r="M18" i="2"/>
  <c r="J18" i="2"/>
  <c r="C18" i="2"/>
  <c r="C17" i="3" s="1"/>
  <c r="AI17" i="2"/>
  <c r="AE17" i="2"/>
  <c r="AG17" i="2" s="1"/>
  <c r="AB17" i="2"/>
  <c r="Y17" i="2"/>
  <c r="V17" i="2"/>
  <c r="S17" i="2"/>
  <c r="P17" i="2"/>
  <c r="M17" i="2"/>
  <c r="J17" i="2"/>
  <c r="C17" i="2"/>
  <c r="C16" i="3" s="1"/>
  <c r="AI16" i="2"/>
  <c r="AE16" i="2"/>
  <c r="AB16" i="2"/>
  <c r="Y16" i="2"/>
  <c r="AG16" i="2" s="1"/>
  <c r="V16" i="2"/>
  <c r="S16" i="2"/>
  <c r="P16" i="2"/>
  <c r="M16" i="2"/>
  <c r="J16" i="2"/>
  <c r="C16" i="2"/>
  <c r="C15" i="3" s="1"/>
  <c r="AJ15" i="2"/>
  <c r="AI15" i="2"/>
  <c r="AE15" i="2"/>
  <c r="AB15" i="2"/>
  <c r="Y15" i="2"/>
  <c r="V15" i="2"/>
  <c r="AK15" i="2" s="1"/>
  <c r="S15" i="2"/>
  <c r="P15" i="2"/>
  <c r="M15" i="2"/>
  <c r="J15" i="2"/>
  <c r="C15" i="2"/>
  <c r="C14" i="3" s="1"/>
  <c r="AI14" i="2"/>
  <c r="AE14" i="2"/>
  <c r="AB14" i="2"/>
  <c r="Y14" i="2"/>
  <c r="V14" i="2"/>
  <c r="S14" i="2"/>
  <c r="P14" i="2"/>
  <c r="M14" i="2"/>
  <c r="J14" i="2"/>
  <c r="C14" i="2"/>
  <c r="C13" i="3" s="1"/>
  <c r="C13" i="2"/>
  <c r="C12" i="3" s="1"/>
  <c r="AI12" i="2"/>
  <c r="AG12" i="2"/>
  <c r="AE12" i="2"/>
  <c r="AB12" i="2"/>
  <c r="Y12" i="2"/>
  <c r="V12" i="2"/>
  <c r="S12" i="2"/>
  <c r="P12" i="2"/>
  <c r="M12" i="2"/>
  <c r="J12" i="2"/>
  <c r="C12" i="2"/>
  <c r="C11" i="3" s="1"/>
  <c r="AI11" i="2"/>
  <c r="AE11" i="2"/>
  <c r="AG11" i="2" s="1"/>
  <c r="AB11" i="2"/>
  <c r="Y11" i="2"/>
  <c r="V11" i="2"/>
  <c r="S11" i="2"/>
  <c r="P11" i="2"/>
  <c r="M11" i="2"/>
  <c r="J11" i="2"/>
  <c r="C11" i="2"/>
  <c r="C10" i="3" s="1"/>
  <c r="AI10" i="2"/>
  <c r="AE10" i="2"/>
  <c r="AB10" i="2"/>
  <c r="Y10" i="2"/>
  <c r="AG10" i="2" s="1"/>
  <c r="V10" i="2"/>
  <c r="S10" i="2"/>
  <c r="P10" i="2"/>
  <c r="M10" i="2"/>
  <c r="J10" i="2"/>
  <c r="C10" i="2"/>
  <c r="C9" i="3" s="1"/>
  <c r="C9" i="2"/>
  <c r="C8" i="3" s="1"/>
  <c r="S101" i="1"/>
  <c r="H100" i="1"/>
  <c r="H99" i="1"/>
  <c r="AD98" i="1"/>
  <c r="AD101" i="1" s="1"/>
  <c r="AC98" i="1"/>
  <c r="AC101" i="1" s="1"/>
  <c r="AA98" i="1"/>
  <c r="AA101" i="1" s="1"/>
  <c r="S98" i="1"/>
  <c r="AN97" i="1"/>
  <c r="AM97" i="1"/>
  <c r="AK97" i="1"/>
  <c r="AJ97" i="1"/>
  <c r="AJ98" i="1" s="1"/>
  <c r="AJ101" i="1" s="1"/>
  <c r="AD97" i="1"/>
  <c r="AC97" i="1"/>
  <c r="AA97" i="1"/>
  <c r="Z97" i="1"/>
  <c r="Z98" i="1" s="1"/>
  <c r="Z101" i="1" s="1"/>
  <c r="T97" i="1"/>
  <c r="S97" i="1"/>
  <c r="Q97" i="1"/>
  <c r="P97" i="1"/>
  <c r="J97" i="1"/>
  <c r="I97" i="1"/>
  <c r="G97" i="1"/>
  <c r="F97" i="1"/>
  <c r="H96" i="1"/>
  <c r="H95" i="1"/>
  <c r="H94" i="1"/>
  <c r="H93" i="1"/>
  <c r="H92" i="1"/>
  <c r="H91" i="1"/>
  <c r="H90" i="1"/>
  <c r="H89" i="1"/>
  <c r="H88" i="1"/>
  <c r="H86" i="1"/>
  <c r="H85" i="1"/>
  <c r="H84" i="1"/>
  <c r="H82" i="1"/>
  <c r="H79" i="1"/>
  <c r="H77" i="1"/>
  <c r="H76" i="1"/>
  <c r="H75" i="1"/>
  <c r="H74" i="1"/>
  <c r="H73" i="1"/>
  <c r="H72" i="1"/>
  <c r="H70" i="1"/>
  <c r="AN56" i="1"/>
  <c r="AN98" i="1" s="1"/>
  <c r="AN101" i="1" s="1"/>
  <c r="AM56" i="1"/>
  <c r="AM98" i="1" s="1"/>
  <c r="AM101" i="1" s="1"/>
  <c r="AK56" i="1"/>
  <c r="AK98" i="1" s="1"/>
  <c r="AK101" i="1" s="1"/>
  <c r="AJ56" i="1"/>
  <c r="AD56" i="1"/>
  <c r="AC56" i="1"/>
  <c r="AA56" i="1"/>
  <c r="Z56" i="1"/>
  <c r="T56" i="1"/>
  <c r="T98" i="1" s="1"/>
  <c r="T101" i="1" s="1"/>
  <c r="S56" i="1"/>
  <c r="Q56" i="1"/>
  <c r="Q98" i="1" s="1"/>
  <c r="Q101" i="1" s="1"/>
  <c r="P56" i="1"/>
  <c r="P98" i="1" s="1"/>
  <c r="P101" i="1" s="1"/>
  <c r="J56" i="1"/>
  <c r="J98" i="1" s="1"/>
  <c r="J101" i="1" s="1"/>
  <c r="I56" i="1"/>
  <c r="I98" i="1" s="1"/>
  <c r="I101" i="1" s="1"/>
  <c r="G56" i="1"/>
  <c r="G98" i="1" s="1"/>
  <c r="G101" i="1" s="1"/>
  <c r="P52" i="1"/>
  <c r="D30" i="3" l="1"/>
  <c r="W51" i="3"/>
  <c r="Z51" i="3" s="1"/>
  <c r="W35" i="3"/>
  <c r="Z35" i="3" s="1"/>
  <c r="D38" i="3"/>
  <c r="D23" i="3"/>
  <c r="D22" i="3"/>
  <c r="X59" i="3"/>
  <c r="W90" i="3"/>
  <c r="Z90" i="3" s="1"/>
  <c r="D33" i="3"/>
  <c r="X52" i="3"/>
  <c r="W83" i="3"/>
  <c r="Z83" i="3" s="1"/>
  <c r="W93" i="3"/>
  <c r="Z93" i="3" s="1"/>
  <c r="D53" i="3"/>
  <c r="D75" i="3"/>
  <c r="Q95" i="3"/>
  <c r="S38" i="3"/>
  <c r="X94" i="3"/>
  <c r="D84" i="3"/>
  <c r="D35" i="3"/>
  <c r="D18" i="3"/>
  <c r="D29" i="3"/>
  <c r="D47" i="3"/>
  <c r="D80" i="3"/>
  <c r="N22" i="3"/>
  <c r="D36" i="3"/>
  <c r="N51" i="3"/>
  <c r="X51" i="3" s="1"/>
  <c r="R75" i="3"/>
  <c r="W84" i="3"/>
  <c r="Z84" i="3" s="1"/>
  <c r="D17" i="3"/>
  <c r="D73" i="3"/>
  <c r="W32" i="3"/>
  <c r="Z32" i="3" s="1"/>
  <c r="D41" i="3"/>
  <c r="D59" i="3"/>
  <c r="AG15" i="2"/>
  <c r="AG46" i="2"/>
  <c r="K96" i="3"/>
  <c r="AA100" i="2"/>
  <c r="AG69" i="2"/>
  <c r="AG87" i="2"/>
  <c r="D19" i="3"/>
  <c r="F56" i="1"/>
  <c r="F98" i="1" s="1"/>
  <c r="F101" i="1" s="1"/>
  <c r="AG49" i="2"/>
  <c r="G55" i="2"/>
  <c r="AG73" i="2"/>
  <c r="L100" i="2"/>
  <c r="D11" i="3"/>
  <c r="D21" i="3"/>
  <c r="U25" i="3"/>
  <c r="D25" i="3"/>
  <c r="S27" i="3"/>
  <c r="D27" i="3"/>
  <c r="U32" i="3"/>
  <c r="D32" i="3"/>
  <c r="R67" i="3"/>
  <c r="X67" i="3" s="1"/>
  <c r="W67" i="3"/>
  <c r="Z67" i="3" s="1"/>
  <c r="D92" i="4"/>
  <c r="H72" i="4"/>
  <c r="G72" i="4"/>
  <c r="O100" i="2"/>
  <c r="D34" i="3"/>
  <c r="N43" i="3"/>
  <c r="D43" i="3"/>
  <c r="I54" i="3"/>
  <c r="AG14" i="2"/>
  <c r="AG45" i="2"/>
  <c r="AG53" i="2"/>
  <c r="G95" i="3"/>
  <c r="G96" i="2"/>
  <c r="AD100" i="2"/>
  <c r="K54" i="3"/>
  <c r="T9" i="3"/>
  <c r="D9" i="3"/>
  <c r="O34" i="3"/>
  <c r="W34" i="3"/>
  <c r="Z34" i="3" s="1"/>
  <c r="AG74" i="2"/>
  <c r="AG81" i="2"/>
  <c r="N14" i="3"/>
  <c r="D14" i="3"/>
  <c r="H75" i="4"/>
  <c r="G75" i="4"/>
  <c r="AG22" i="2"/>
  <c r="AG76" i="2"/>
  <c r="T20" i="3"/>
  <c r="D20" i="3"/>
  <c r="Q30" i="3"/>
  <c r="W30" i="3"/>
  <c r="Z30" i="3" s="1"/>
  <c r="N45" i="3"/>
  <c r="D45" i="3"/>
  <c r="AG44" i="2"/>
  <c r="AG52" i="2"/>
  <c r="N16" i="3"/>
  <c r="D16" i="3"/>
  <c r="Q36" i="3"/>
  <c r="W36" i="3"/>
  <c r="Z36" i="3" s="1"/>
  <c r="T70" i="3"/>
  <c r="D70" i="3"/>
  <c r="H96" i="3"/>
  <c r="R100" i="2"/>
  <c r="AG85" i="2"/>
  <c r="D24" i="3"/>
  <c r="N40" i="3"/>
  <c r="X40" i="3" s="1"/>
  <c r="W40" i="3"/>
  <c r="Z40" i="3" s="1"/>
  <c r="D40" i="3"/>
  <c r="AG83" i="2"/>
  <c r="AG84" i="2"/>
  <c r="AG94" i="2"/>
  <c r="N26" i="3"/>
  <c r="D26" i="3"/>
  <c r="S31" i="3"/>
  <c r="X31" i="3" s="1"/>
  <c r="D31" i="3"/>
  <c r="S44" i="3"/>
  <c r="D44" i="3"/>
  <c r="X47" i="3"/>
  <c r="D61" i="3"/>
  <c r="I96" i="3"/>
  <c r="U100" i="2"/>
  <c r="AG59" i="2"/>
  <c r="AG68" i="2"/>
  <c r="U13" i="3"/>
  <c r="U54" i="3" s="1"/>
  <c r="D13" i="3"/>
  <c r="S15" i="3"/>
  <c r="D15" i="3"/>
  <c r="S37" i="3"/>
  <c r="D37" i="3"/>
  <c r="D46" i="3"/>
  <c r="O63" i="3"/>
  <c r="O95" i="3" s="1"/>
  <c r="W63" i="3"/>
  <c r="Z63" i="3" s="1"/>
  <c r="W68" i="3"/>
  <c r="Z68" i="3" s="1"/>
  <c r="N68" i="3"/>
  <c r="X68" i="3" s="1"/>
  <c r="D68" i="3"/>
  <c r="X70" i="3"/>
  <c r="D88" i="3"/>
  <c r="AG78" i="2"/>
  <c r="S39" i="3"/>
  <c r="D39" i="3"/>
  <c r="Q46" i="3"/>
  <c r="W46" i="3"/>
  <c r="Z46" i="3" s="1"/>
  <c r="J96" i="3"/>
  <c r="X100" i="2"/>
  <c r="P96" i="2"/>
  <c r="P97" i="2" s="1"/>
  <c r="D10" i="3"/>
  <c r="X41" i="3"/>
  <c r="W31" i="3"/>
  <c r="Z31" i="3" s="1"/>
  <c r="W53" i="3"/>
  <c r="Z53" i="3" s="1"/>
  <c r="D63" i="3"/>
  <c r="S74" i="3"/>
  <c r="S95" i="3" s="1"/>
  <c r="D74" i="3"/>
  <c r="O77" i="3"/>
  <c r="W77" i="3"/>
  <c r="Z77" i="3" s="1"/>
  <c r="N87" i="3"/>
  <c r="X87" i="3" s="1"/>
  <c r="W87" i="3"/>
  <c r="Z87" i="3" s="1"/>
  <c r="D87" i="3"/>
  <c r="D89" i="3"/>
  <c r="N32" i="3"/>
  <c r="X32" i="3" s="1"/>
  <c r="W59" i="3"/>
  <c r="Z59" i="3" s="1"/>
  <c r="D64" i="3"/>
  <c r="X72" i="3"/>
  <c r="AG95" i="2"/>
  <c r="D51" i="3"/>
  <c r="J54" i="3"/>
  <c r="X84" i="3"/>
  <c r="H85" i="4"/>
  <c r="G85" i="4"/>
  <c r="L54" i="3"/>
  <c r="X90" i="3"/>
  <c r="D19" i="5"/>
  <c r="C20" i="5"/>
  <c r="X71" i="3"/>
  <c r="F38" i="5"/>
  <c r="G12" i="5"/>
  <c r="R54" i="3"/>
  <c r="X48" i="3"/>
  <c r="W66" i="3"/>
  <c r="Z66" i="3" s="1"/>
  <c r="W70" i="3"/>
  <c r="Z70" i="3" s="1"/>
  <c r="F54" i="3"/>
  <c r="P17" i="3"/>
  <c r="N19" i="3"/>
  <c r="P30" i="3"/>
  <c r="N34" i="3"/>
  <c r="O35" i="3"/>
  <c r="X35" i="3" s="1"/>
  <c r="P36" i="3"/>
  <c r="P46" i="3"/>
  <c r="W47" i="3"/>
  <c r="Z47" i="3" s="1"/>
  <c r="D52" i="3"/>
  <c r="X83" i="3"/>
  <c r="X89" i="3"/>
  <c r="D62" i="4"/>
  <c r="N11" i="4"/>
  <c r="D64" i="4" s="1"/>
  <c r="M11" i="4"/>
  <c r="D63" i="4" s="1"/>
  <c r="H83" i="4"/>
  <c r="G83" i="4"/>
  <c r="G54" i="3"/>
  <c r="W52" i="3"/>
  <c r="Z52" i="3" s="1"/>
  <c r="D66" i="3"/>
  <c r="P66" i="3"/>
  <c r="P95" i="3" s="1"/>
  <c r="D67" i="3"/>
  <c r="D71" i="3"/>
  <c r="X86" i="3"/>
  <c r="O57" i="7"/>
  <c r="O104" i="7" s="1"/>
  <c r="O107" i="7" s="1"/>
  <c r="H54" i="3"/>
  <c r="W48" i="3"/>
  <c r="Z48" i="3" s="1"/>
  <c r="N58" i="3"/>
  <c r="W58" i="3"/>
  <c r="Z58" i="3" s="1"/>
  <c r="D58" i="3"/>
  <c r="T95" i="3"/>
  <c r="X64" i="3"/>
  <c r="W71" i="3"/>
  <c r="Z71" i="3" s="1"/>
  <c r="W82" i="3"/>
  <c r="Z82" i="3" s="1"/>
  <c r="X93" i="3"/>
  <c r="Y114" i="7"/>
  <c r="Y112" i="7"/>
  <c r="I100" i="2"/>
  <c r="D48" i="3"/>
  <c r="U95" i="3"/>
  <c r="D77" i="3"/>
  <c r="W89" i="3"/>
  <c r="Z89" i="3" s="1"/>
  <c r="X114" i="7"/>
  <c r="D72" i="3"/>
  <c r="N82" i="3"/>
  <c r="X82" i="3" s="1"/>
  <c r="D86" i="3"/>
  <c r="D94" i="3"/>
  <c r="N9" i="4"/>
  <c r="AN102" i="7"/>
  <c r="AJ57" i="9"/>
  <c r="CG16" i="9"/>
  <c r="BY77" i="9"/>
  <c r="CG77" i="9" s="1"/>
  <c r="CB97" i="9"/>
  <c r="CJ97" i="9" s="1"/>
  <c r="D83" i="3"/>
  <c r="W88" i="3"/>
  <c r="Z88" i="3" s="1"/>
  <c r="AA112" i="7"/>
  <c r="BY47" i="9"/>
  <c r="CG47" i="9" s="1"/>
  <c r="D93" i="3"/>
  <c r="F114" i="7"/>
  <c r="D82" i="3"/>
  <c r="CG99" i="9"/>
  <c r="D90" i="3"/>
  <c r="BZ57" i="9"/>
  <c r="CJ57" i="9"/>
  <c r="CB98" i="9"/>
  <c r="D49" i="3"/>
  <c r="O53" i="3"/>
  <c r="X53" i="3" s="1"/>
  <c r="N63" i="3"/>
  <c r="W72" i="3"/>
  <c r="Z72" i="3" s="1"/>
  <c r="N77" i="3"/>
  <c r="W86" i="3"/>
  <c r="Z86" i="3" s="1"/>
  <c r="N88" i="3"/>
  <c r="X88" i="3" s="1"/>
  <c r="W94" i="3"/>
  <c r="Z94" i="3" s="1"/>
  <c r="G55" i="4"/>
  <c r="F57" i="7"/>
  <c r="F104" i="7" s="1"/>
  <c r="F107" i="7" s="1"/>
  <c r="X17" i="7"/>
  <c r="O123" i="7"/>
  <c r="X103" i="7"/>
  <c r="F14" i="8"/>
  <c r="B15" i="8" s="1"/>
  <c r="D14" i="8"/>
  <c r="AK98" i="9"/>
  <c r="AK101" i="9" s="1"/>
  <c r="H9" i="4"/>
  <c r="H11" i="4" s="1"/>
  <c r="E141" i="4" s="1"/>
  <c r="E13" i="4"/>
  <c r="C17" i="6"/>
  <c r="G104" i="7"/>
  <c r="G107" i="7" s="1"/>
  <c r="G118" i="7" s="1"/>
  <c r="Y103" i="7"/>
  <c r="Y104" i="7" s="1"/>
  <c r="Y107" i="7" s="1"/>
  <c r="CL57" i="9"/>
  <c r="CL97" i="9" s="1"/>
  <c r="CL100" i="9" s="1"/>
  <c r="F97" i="9"/>
  <c r="I9" i="4"/>
  <c r="I11" i="4" s="1"/>
  <c r="H141" i="4" s="1"/>
  <c r="X36" i="7"/>
  <c r="BY12" i="9"/>
  <c r="CG12" i="9" s="1"/>
  <c r="CG19" i="9"/>
  <c r="CG25" i="9"/>
  <c r="AA57" i="7"/>
  <c r="BY28" i="9"/>
  <c r="CG28" i="9" s="1"/>
  <c r="BY33" i="9"/>
  <c r="CG33" i="9" s="1"/>
  <c r="BY80" i="9"/>
  <c r="CG80" i="9" s="1"/>
  <c r="X57" i="7"/>
  <c r="F112" i="7"/>
  <c r="AA103" i="7"/>
  <c r="O114" i="7"/>
  <c r="X106" i="7"/>
  <c r="S124" i="7"/>
  <c r="I30" i="8"/>
  <c r="L40" i="8"/>
  <c r="L42" i="8" s="1"/>
  <c r="BY11" i="9"/>
  <c r="CG11" i="9" s="1"/>
  <c r="CG18" i="9"/>
  <c r="CG24" i="9"/>
  <c r="AJ87" i="7"/>
  <c r="C43" i="8"/>
  <c r="CH11" i="9"/>
  <c r="I46" i="8"/>
  <c r="Z57" i="9"/>
  <c r="Z98" i="9" s="1"/>
  <c r="Z101" i="9" s="1"/>
  <c r="AJ97" i="9"/>
  <c r="F57" i="9"/>
  <c r="P54" i="3" l="1"/>
  <c r="P96" i="3" s="1"/>
  <c r="P99" i="3" s="1"/>
  <c r="B10" i="6" s="1"/>
  <c r="D10" i="6" s="1"/>
  <c r="H10" i="6" s="1"/>
  <c r="Q54" i="3"/>
  <c r="Q96" i="3" s="1"/>
  <c r="Q99" i="3" s="1"/>
  <c r="B11" i="6" s="1"/>
  <c r="D11" i="6" s="1"/>
  <c r="H11" i="6" s="1"/>
  <c r="O54" i="3"/>
  <c r="O96" i="3" s="1"/>
  <c r="O99" i="3" s="1"/>
  <c r="B9" i="6" s="1"/>
  <c r="D9" i="6" s="1"/>
  <c r="H9" i="6" s="1"/>
  <c r="X63" i="3"/>
  <c r="X46" i="3"/>
  <c r="W54" i="3"/>
  <c r="X36" i="3"/>
  <c r="S54" i="3"/>
  <c r="S96" i="3" s="1"/>
  <c r="S99" i="3" s="1"/>
  <c r="B13" i="6" s="1"/>
  <c r="D13" i="6" s="1"/>
  <c r="Z54" i="3"/>
  <c r="X30" i="3"/>
  <c r="N54" i="3"/>
  <c r="AA104" i="7"/>
  <c r="AA107" i="7" s="1"/>
  <c r="D17" i="6"/>
  <c r="C18" i="6"/>
  <c r="CB101" i="9"/>
  <c r="CJ101" i="9" s="1"/>
  <c r="CJ98" i="9"/>
  <c r="T96" i="3"/>
  <c r="T99" i="3" s="1"/>
  <c r="B14" i="6" s="1"/>
  <c r="D14" i="6" s="1"/>
  <c r="R95" i="3"/>
  <c r="R96" i="3" s="1"/>
  <c r="R99" i="3" s="1"/>
  <c r="B12" i="6" s="1"/>
  <c r="D12" i="6" s="1"/>
  <c r="H12" i="6" s="1"/>
  <c r="D54" i="3"/>
  <c r="AJ98" i="9"/>
  <c r="AJ101" i="9" s="1"/>
  <c r="L46" i="8"/>
  <c r="L48" i="8" s="1"/>
  <c r="I48" i="8"/>
  <c r="U96" i="3"/>
  <c r="U99" i="3" s="1"/>
  <c r="B15" i="6" s="1"/>
  <c r="D15" i="6" s="1"/>
  <c r="D20" i="5"/>
  <c r="C21" i="5"/>
  <c r="T54" i="3"/>
  <c r="G99" i="3"/>
  <c r="B10" i="5" s="1"/>
  <c r="D10" i="5" s="1"/>
  <c r="H10" i="5" s="1"/>
  <c r="CH57" i="9"/>
  <c r="BZ98" i="9"/>
  <c r="E99" i="3"/>
  <c r="N95" i="3"/>
  <c r="N96" i="3" s="1"/>
  <c r="N99" i="3" s="1"/>
  <c r="X58" i="3"/>
  <c r="L99" i="3"/>
  <c r="B15" i="5" s="1"/>
  <c r="D15" i="5" s="1"/>
  <c r="X104" i="7"/>
  <c r="X107" i="7" s="1"/>
  <c r="AJ102" i="7"/>
  <c r="AO87" i="7"/>
  <c r="AO102" i="7" s="1"/>
  <c r="I99" i="3"/>
  <c r="B12" i="5" s="1"/>
  <c r="D12" i="5" s="1"/>
  <c r="H12" i="5" s="1"/>
  <c r="D95" i="3"/>
  <c r="G97" i="2"/>
  <c r="J99" i="3"/>
  <c r="B13" i="5" s="1"/>
  <c r="D13" i="5" s="1"/>
  <c r="H99" i="3"/>
  <c r="B11" i="5" s="1"/>
  <c r="D11" i="5" s="1"/>
  <c r="H11" i="5" s="1"/>
  <c r="K99" i="3"/>
  <c r="B14" i="5" s="1"/>
  <c r="D14" i="5" s="1"/>
  <c r="X34" i="3"/>
  <c r="X77" i="3"/>
  <c r="G90" i="4"/>
  <c r="E134" i="4" s="1"/>
  <c r="E137" i="4" s="1"/>
  <c r="BY97" i="9"/>
  <c r="CG97" i="9" s="1"/>
  <c r="H63" i="4"/>
  <c r="G63" i="4"/>
  <c r="H64" i="4"/>
  <c r="G64" i="4"/>
  <c r="X66" i="3"/>
  <c r="H90" i="4"/>
  <c r="H134" i="4" s="1"/>
  <c r="H137" i="4" s="1"/>
  <c r="F99" i="3"/>
  <c r="B9" i="5" s="1"/>
  <c r="D9" i="5" s="1"/>
  <c r="H9" i="5" s="1"/>
  <c r="E14" i="8"/>
  <c r="G62" i="4"/>
  <c r="G67" i="4" s="1"/>
  <c r="E145" i="4" s="1"/>
  <c r="E148" i="4" s="1"/>
  <c r="H62" i="4"/>
  <c r="F98" i="9"/>
  <c r="F101" i="9" s="1"/>
  <c r="BY57" i="9"/>
  <c r="F15" i="8"/>
  <c r="B16" i="8" s="1"/>
  <c r="D15" i="8"/>
  <c r="E15" i="8" s="1"/>
  <c r="X54" i="3" l="1"/>
  <c r="D102" i="3"/>
  <c r="X99" i="3"/>
  <c r="B8" i="5"/>
  <c r="D96" i="3"/>
  <c r="G100" i="2"/>
  <c r="E150" i="4"/>
  <c r="E17" i="5" s="1"/>
  <c r="C19" i="6"/>
  <c r="D18" i="6"/>
  <c r="C22" i="5"/>
  <c r="D21" i="5"/>
  <c r="CH98" i="9"/>
  <c r="BZ101" i="9"/>
  <c r="CH101" i="9" s="1"/>
  <c r="CG57" i="9"/>
  <c r="BY98" i="9"/>
  <c r="F16" i="8"/>
  <c r="B17" i="8" s="1"/>
  <c r="D16" i="8"/>
  <c r="H67" i="4"/>
  <c r="H145" i="4" s="1"/>
  <c r="H148" i="4" s="1"/>
  <c r="H150" i="4" s="1"/>
  <c r="E17" i="6" s="1"/>
  <c r="O101" i="3"/>
  <c r="B8" i="6"/>
  <c r="W99" i="3"/>
  <c r="G17" i="6" l="1"/>
  <c r="H17" i="6" s="1"/>
  <c r="E14" i="6"/>
  <c r="G14" i="6" s="1"/>
  <c r="H14" i="6" s="1"/>
  <c r="E16" i="6"/>
  <c r="G16" i="6" s="1"/>
  <c r="H16" i="6" s="1"/>
  <c r="E13" i="6"/>
  <c r="E18" i="6"/>
  <c r="E15" i="6"/>
  <c r="G15" i="6" s="1"/>
  <c r="H15" i="6" s="1"/>
  <c r="C20" i="6"/>
  <c r="D19" i="6"/>
  <c r="D99" i="3"/>
  <c r="H98" i="2"/>
  <c r="H90" i="2"/>
  <c r="H85" i="2"/>
  <c r="H76" i="2"/>
  <c r="H72" i="2"/>
  <c r="H65" i="2"/>
  <c r="H67" i="2"/>
  <c r="H91" i="2"/>
  <c r="H87" i="2"/>
  <c r="H81" i="2"/>
  <c r="H78" i="2"/>
  <c r="H99" i="2"/>
  <c r="H94" i="2"/>
  <c r="H88" i="2"/>
  <c r="H84" i="2"/>
  <c r="H75" i="2"/>
  <c r="H71" i="2"/>
  <c r="H95" i="2"/>
  <c r="H68" i="2"/>
  <c r="H53" i="2"/>
  <c r="H45" i="2"/>
  <c r="H14" i="2"/>
  <c r="H40" i="2"/>
  <c r="H36" i="2"/>
  <c r="H32" i="2"/>
  <c r="H27" i="2"/>
  <c r="H23" i="2"/>
  <c r="H19" i="2"/>
  <c r="H83" i="2"/>
  <c r="H62" i="2"/>
  <c r="H49" i="2"/>
  <c r="H59" i="2"/>
  <c r="H46" i="2"/>
  <c r="H15" i="2"/>
  <c r="H10" i="2"/>
  <c r="H89" i="2"/>
  <c r="H64" i="2"/>
  <c r="H54" i="2"/>
  <c r="H41" i="2"/>
  <c r="H37" i="2"/>
  <c r="H33" i="2"/>
  <c r="H28" i="2"/>
  <c r="H24" i="2"/>
  <c r="H20" i="2"/>
  <c r="H16" i="2"/>
  <c r="H50" i="2"/>
  <c r="H74" i="2"/>
  <c r="H47" i="2"/>
  <c r="H52" i="2"/>
  <c r="H42" i="2"/>
  <c r="H38" i="2"/>
  <c r="H34" i="2"/>
  <c r="H30" i="2"/>
  <c r="H25" i="2"/>
  <c r="H21" i="2"/>
  <c r="H17" i="2"/>
  <c r="H11" i="2"/>
  <c r="H73" i="2"/>
  <c r="H60" i="2"/>
  <c r="H44" i="2"/>
  <c r="H69" i="2"/>
  <c r="H48" i="2"/>
  <c r="H39" i="2"/>
  <c r="H35" i="2"/>
  <c r="H31" i="2"/>
  <c r="H26" i="2"/>
  <c r="H22" i="2"/>
  <c r="H18" i="2"/>
  <c r="H12" i="2"/>
  <c r="Z107" i="2"/>
  <c r="K107" i="2"/>
  <c r="T107" i="2"/>
  <c r="AF107" i="2"/>
  <c r="Q107" i="2"/>
  <c r="AC107" i="2"/>
  <c r="N107" i="2"/>
  <c r="W107" i="2"/>
  <c r="E15" i="5"/>
  <c r="G15" i="5" s="1"/>
  <c r="H15" i="5" s="1"/>
  <c r="E13" i="5"/>
  <c r="E18" i="5"/>
  <c r="E16" i="5"/>
  <c r="G16" i="5" s="1"/>
  <c r="H16" i="5" s="1"/>
  <c r="E14" i="5"/>
  <c r="G14" i="5" s="1"/>
  <c r="H14" i="5" s="1"/>
  <c r="G17" i="5"/>
  <c r="H17" i="5" s="1"/>
  <c r="B38" i="5"/>
  <c r="D8" i="5"/>
  <c r="D22" i="5"/>
  <c r="C23" i="5"/>
  <c r="E16" i="8"/>
  <c r="B38" i="6"/>
  <c r="D8" i="6"/>
  <c r="D17" i="8"/>
  <c r="E17" i="8" s="1"/>
  <c r="F17" i="8"/>
  <c r="B18" i="8" s="1"/>
  <c r="CG98" i="9"/>
  <c r="BY101" i="9"/>
  <c r="CG101" i="9" s="1"/>
  <c r="W71" i="2" l="1"/>
  <c r="Z71" i="2"/>
  <c r="Q71" i="2"/>
  <c r="N71" i="2"/>
  <c r="AF71" i="2"/>
  <c r="AC71" i="2"/>
  <c r="K71" i="2"/>
  <c r="T71" i="2"/>
  <c r="W35" i="2"/>
  <c r="T35" i="2"/>
  <c r="Z35" i="2"/>
  <c r="AC35" i="2"/>
  <c r="Q35" i="2"/>
  <c r="AF35" i="2"/>
  <c r="N35" i="2"/>
  <c r="K35" i="2"/>
  <c r="Q38" i="2"/>
  <c r="AC38" i="2"/>
  <c r="K38" i="2"/>
  <c r="Z38" i="2"/>
  <c r="N38" i="2"/>
  <c r="AF38" i="2"/>
  <c r="T38" i="2"/>
  <c r="W38" i="2"/>
  <c r="T23" i="2"/>
  <c r="Q23" i="2"/>
  <c r="N23" i="2"/>
  <c r="W23" i="2"/>
  <c r="Z23" i="2"/>
  <c r="AC23" i="2"/>
  <c r="K23" i="2"/>
  <c r="AF23" i="2"/>
  <c r="Z85" i="2"/>
  <c r="AF85" i="2"/>
  <c r="T85" i="2"/>
  <c r="Q85" i="2"/>
  <c r="N85" i="2"/>
  <c r="AH85" i="2" s="1"/>
  <c r="K85" i="2"/>
  <c r="W85" i="2"/>
  <c r="AC85" i="2"/>
  <c r="W48" i="2"/>
  <c r="T48" i="2"/>
  <c r="Z48" i="2"/>
  <c r="AC48" i="2"/>
  <c r="AF48" i="2"/>
  <c r="N48" i="2"/>
  <c r="K48" i="2"/>
  <c r="Q48" i="2"/>
  <c r="Q42" i="2"/>
  <c r="AC42" i="2"/>
  <c r="K42" i="2"/>
  <c r="Z42" i="2"/>
  <c r="AF42" i="2"/>
  <c r="N42" i="2"/>
  <c r="T42" i="2"/>
  <c r="W42" i="2"/>
  <c r="N54" i="2"/>
  <c r="AF54" i="2"/>
  <c r="K54" i="2"/>
  <c r="Z54" i="2"/>
  <c r="Q54" i="2"/>
  <c r="T54" i="2"/>
  <c r="AC54" i="2"/>
  <c r="W54" i="2"/>
  <c r="T27" i="2"/>
  <c r="Q27" i="2"/>
  <c r="AF27" i="2"/>
  <c r="K27" i="2"/>
  <c r="N27" i="2"/>
  <c r="Z27" i="2"/>
  <c r="W27" i="2"/>
  <c r="AC27" i="2"/>
  <c r="T88" i="2"/>
  <c r="AC88" i="2"/>
  <c r="Q88" i="2"/>
  <c r="W88" i="2"/>
  <c r="Z88" i="2"/>
  <c r="K88" i="2"/>
  <c r="N88" i="2"/>
  <c r="AF88" i="2"/>
  <c r="AC90" i="2"/>
  <c r="K90" i="2"/>
  <c r="T90" i="2"/>
  <c r="Q90" i="2"/>
  <c r="W90" i="2"/>
  <c r="Z90" i="2"/>
  <c r="AF90" i="2"/>
  <c r="N90" i="2"/>
  <c r="K83" i="2"/>
  <c r="AC83" i="2"/>
  <c r="Z83" i="2"/>
  <c r="W83" i="2"/>
  <c r="AF83" i="2"/>
  <c r="Q83" i="2"/>
  <c r="T83" i="2"/>
  <c r="N83" i="2"/>
  <c r="AF37" i="2"/>
  <c r="N37" i="2"/>
  <c r="AH37" i="2" s="1"/>
  <c r="AC37" i="2"/>
  <c r="K37" i="2"/>
  <c r="Z37" i="2"/>
  <c r="Q37" i="2"/>
  <c r="T37" i="2"/>
  <c r="W37" i="2"/>
  <c r="T19" i="2"/>
  <c r="Q19" i="2"/>
  <c r="Z19" i="2"/>
  <c r="AC19" i="2"/>
  <c r="N19" i="2"/>
  <c r="AH19" i="2" s="1"/>
  <c r="K19" i="2"/>
  <c r="W19" i="2"/>
  <c r="AF19" i="2"/>
  <c r="AF76" i="2"/>
  <c r="Q76" i="2"/>
  <c r="N76" i="2"/>
  <c r="W76" i="2"/>
  <c r="AC76" i="2"/>
  <c r="T76" i="2"/>
  <c r="Z76" i="2"/>
  <c r="K76" i="2"/>
  <c r="C24" i="5"/>
  <c r="D23" i="5"/>
  <c r="W39" i="2"/>
  <c r="T39" i="2"/>
  <c r="Q39" i="2"/>
  <c r="Z39" i="2"/>
  <c r="N39" i="2"/>
  <c r="K39" i="2"/>
  <c r="AC39" i="2"/>
  <c r="AF39" i="2"/>
  <c r="AF41" i="2"/>
  <c r="N41" i="2"/>
  <c r="AC41" i="2"/>
  <c r="K41" i="2"/>
  <c r="Z41" i="2"/>
  <c r="Q41" i="2"/>
  <c r="W41" i="2"/>
  <c r="T41" i="2"/>
  <c r="Z84" i="2"/>
  <c r="Q84" i="2"/>
  <c r="N84" i="2"/>
  <c r="AF84" i="2"/>
  <c r="T84" i="2"/>
  <c r="AC84" i="2"/>
  <c r="K84" i="2"/>
  <c r="W84" i="2"/>
  <c r="H8" i="5"/>
  <c r="T69" i="2"/>
  <c r="N69" i="2"/>
  <c r="K69" i="2"/>
  <c r="Z69" i="2"/>
  <c r="W69" i="2"/>
  <c r="AF69" i="2"/>
  <c r="AC69" i="2"/>
  <c r="Q69" i="2"/>
  <c r="T52" i="2"/>
  <c r="Q52" i="2"/>
  <c r="K52" i="2"/>
  <c r="W52" i="2"/>
  <c r="AC52" i="2"/>
  <c r="AF52" i="2"/>
  <c r="Z52" i="2"/>
  <c r="N52" i="2"/>
  <c r="W64" i="2"/>
  <c r="N64" i="2"/>
  <c r="K64" i="2"/>
  <c r="Q64" i="2"/>
  <c r="AF64" i="2"/>
  <c r="T64" i="2"/>
  <c r="Z64" i="2"/>
  <c r="AC64" i="2"/>
  <c r="Z32" i="2"/>
  <c r="T32" i="2"/>
  <c r="Q32" i="2"/>
  <c r="AF32" i="2"/>
  <c r="W32" i="2"/>
  <c r="AC32" i="2"/>
  <c r="N32" i="2"/>
  <c r="K32" i="2"/>
  <c r="T94" i="2"/>
  <c r="K94" i="2"/>
  <c r="Q94" i="2"/>
  <c r="W94" i="2"/>
  <c r="AC94" i="2"/>
  <c r="Z94" i="2"/>
  <c r="N94" i="2"/>
  <c r="AF94" i="2"/>
  <c r="Q98" i="2"/>
  <c r="AF98" i="2"/>
  <c r="N98" i="2"/>
  <c r="K98" i="2"/>
  <c r="Z98" i="2"/>
  <c r="AC98" i="2"/>
  <c r="W98" i="2"/>
  <c r="W31" i="2"/>
  <c r="T31" i="2"/>
  <c r="AC31" i="2"/>
  <c r="K31" i="2"/>
  <c r="Z31" i="2"/>
  <c r="N31" i="2"/>
  <c r="Q31" i="2"/>
  <c r="AF31" i="2"/>
  <c r="AF33" i="2"/>
  <c r="N33" i="2"/>
  <c r="AC33" i="2"/>
  <c r="K33" i="2"/>
  <c r="T33" i="2"/>
  <c r="Q33" i="2"/>
  <c r="W33" i="2"/>
  <c r="Z33" i="2"/>
  <c r="Q34" i="2"/>
  <c r="AC34" i="2"/>
  <c r="K34" i="2"/>
  <c r="Z34" i="2"/>
  <c r="W34" i="2"/>
  <c r="AF34" i="2"/>
  <c r="N34" i="2"/>
  <c r="AH34" i="2" s="1"/>
  <c r="T34" i="2"/>
  <c r="W75" i="2"/>
  <c r="Z75" i="2"/>
  <c r="AF75" i="2"/>
  <c r="AC75" i="2"/>
  <c r="N75" i="2"/>
  <c r="AH75" i="2" s="1"/>
  <c r="Q75" i="2"/>
  <c r="T75" i="2"/>
  <c r="K75" i="2"/>
  <c r="T44" i="2"/>
  <c r="AF44" i="2"/>
  <c r="N44" i="2"/>
  <c r="AC44" i="2"/>
  <c r="K44" i="2"/>
  <c r="Q44" i="2"/>
  <c r="W44" i="2"/>
  <c r="Z44" i="2"/>
  <c r="Q47" i="2"/>
  <c r="AF47" i="2"/>
  <c r="N47" i="2"/>
  <c r="T47" i="2"/>
  <c r="W47" i="2"/>
  <c r="Z47" i="2"/>
  <c r="K47" i="2"/>
  <c r="AC47" i="2"/>
  <c r="T89" i="2"/>
  <c r="N89" i="2"/>
  <c r="K89" i="2"/>
  <c r="AF89" i="2"/>
  <c r="AC89" i="2"/>
  <c r="Z89" i="2"/>
  <c r="Q89" i="2"/>
  <c r="W89" i="2"/>
  <c r="Z36" i="2"/>
  <c r="T36" i="2"/>
  <c r="Q36" i="2"/>
  <c r="AF36" i="2"/>
  <c r="K36" i="2"/>
  <c r="N36" i="2"/>
  <c r="W36" i="2"/>
  <c r="AC36" i="2"/>
  <c r="Q99" i="2"/>
  <c r="AF99" i="2"/>
  <c r="AC99" i="2"/>
  <c r="Z99" i="2"/>
  <c r="N99" i="2"/>
  <c r="W99" i="2"/>
  <c r="K99" i="2"/>
  <c r="T60" i="2"/>
  <c r="W60" i="2"/>
  <c r="N60" i="2"/>
  <c r="AH60" i="2" s="1"/>
  <c r="AF60" i="2"/>
  <c r="K60" i="2"/>
  <c r="Z60" i="2"/>
  <c r="Q60" i="2"/>
  <c r="AC60" i="2"/>
  <c r="H55" i="2"/>
  <c r="AF10" i="2"/>
  <c r="N10" i="2"/>
  <c r="AC10" i="2"/>
  <c r="K10" i="2"/>
  <c r="T10" i="2"/>
  <c r="Q10" i="2"/>
  <c r="Z10" i="2"/>
  <c r="W10" i="2"/>
  <c r="Z40" i="2"/>
  <c r="T40" i="2"/>
  <c r="Q40" i="2"/>
  <c r="AC40" i="2"/>
  <c r="W40" i="2"/>
  <c r="AF40" i="2"/>
  <c r="K40" i="2"/>
  <c r="N40" i="2"/>
  <c r="W78" i="2"/>
  <c r="T78" i="2"/>
  <c r="Q78" i="2"/>
  <c r="N78" i="2"/>
  <c r="AH78" i="2" s="1"/>
  <c r="K78" i="2"/>
  <c r="Z78" i="2"/>
  <c r="AC78" i="2"/>
  <c r="AF78" i="2"/>
  <c r="AC30" i="2"/>
  <c r="K30" i="2"/>
  <c r="Z30" i="2"/>
  <c r="N30" i="2"/>
  <c r="W30" i="2"/>
  <c r="T30" i="2"/>
  <c r="Q30" i="2"/>
  <c r="AF30" i="2"/>
  <c r="AH107" i="2"/>
  <c r="W74" i="2"/>
  <c r="AC74" i="2"/>
  <c r="Z74" i="2"/>
  <c r="Q74" i="2"/>
  <c r="K74" i="2"/>
  <c r="AF74" i="2"/>
  <c r="N74" i="2"/>
  <c r="T74" i="2"/>
  <c r="AF73" i="2"/>
  <c r="N73" i="2"/>
  <c r="Q73" i="2"/>
  <c r="T73" i="2"/>
  <c r="W73" i="2"/>
  <c r="Z73" i="2"/>
  <c r="AC73" i="2"/>
  <c r="K73" i="2"/>
  <c r="AF50" i="2"/>
  <c r="N50" i="2"/>
  <c r="Z50" i="2"/>
  <c r="W50" i="2"/>
  <c r="AC50" i="2"/>
  <c r="K50" i="2"/>
  <c r="Q50" i="2"/>
  <c r="T50" i="2"/>
  <c r="W15" i="2"/>
  <c r="T15" i="2"/>
  <c r="K15" i="2"/>
  <c r="N15" i="2"/>
  <c r="AF15" i="2"/>
  <c r="AC15" i="2"/>
  <c r="Z15" i="2"/>
  <c r="Q15" i="2"/>
  <c r="Z14" i="2"/>
  <c r="W14" i="2"/>
  <c r="AF14" i="2"/>
  <c r="N14" i="2"/>
  <c r="AC14" i="2"/>
  <c r="K14" i="2"/>
  <c r="Q14" i="2"/>
  <c r="T14" i="2"/>
  <c r="Q81" i="2"/>
  <c r="Z81" i="2"/>
  <c r="W81" i="2"/>
  <c r="K81" i="2"/>
  <c r="AC81" i="2"/>
  <c r="N81" i="2"/>
  <c r="AF81" i="2"/>
  <c r="D20" i="6"/>
  <c r="C21" i="6"/>
  <c r="D18" i="8"/>
  <c r="F18" i="8"/>
  <c r="B19" i="8" s="1"/>
  <c r="K11" i="2"/>
  <c r="AC11" i="2"/>
  <c r="Z11" i="2"/>
  <c r="Q11" i="2"/>
  <c r="T11" i="2"/>
  <c r="N11" i="2"/>
  <c r="W11" i="2"/>
  <c r="AF11" i="2"/>
  <c r="Z45" i="2"/>
  <c r="W45" i="2"/>
  <c r="AC45" i="2"/>
  <c r="K45" i="2"/>
  <c r="N45" i="2"/>
  <c r="AH45" i="2" s="1"/>
  <c r="Q45" i="2"/>
  <c r="T45" i="2"/>
  <c r="AF45" i="2"/>
  <c r="G18" i="5"/>
  <c r="H18" i="5" s="1"/>
  <c r="E19" i="5"/>
  <c r="W18" i="2"/>
  <c r="T18" i="2"/>
  <c r="AC18" i="2"/>
  <c r="K18" i="2"/>
  <c r="Z18" i="2"/>
  <c r="AF18" i="2"/>
  <c r="N18" i="2"/>
  <c r="AH18" i="2" s="1"/>
  <c r="Q18" i="2"/>
  <c r="AF20" i="2"/>
  <c r="N20" i="2"/>
  <c r="AC20" i="2"/>
  <c r="K20" i="2"/>
  <c r="T20" i="2"/>
  <c r="Q20" i="2"/>
  <c r="Z20" i="2"/>
  <c r="W20" i="2"/>
  <c r="H96" i="2"/>
  <c r="K59" i="2"/>
  <c r="AC59" i="2"/>
  <c r="Q59" i="2"/>
  <c r="Z59" i="2"/>
  <c r="N59" i="2"/>
  <c r="AF59" i="2"/>
  <c r="W59" i="2"/>
  <c r="T59" i="2"/>
  <c r="AF91" i="2"/>
  <c r="K91" i="2"/>
  <c r="Z91" i="2"/>
  <c r="W91" i="2"/>
  <c r="Q91" i="2"/>
  <c r="AC91" i="2"/>
  <c r="N91" i="2"/>
  <c r="G18" i="6"/>
  <c r="H18" i="6" s="1"/>
  <c r="E19" i="6"/>
  <c r="H8" i="6"/>
  <c r="G13" i="5"/>
  <c r="W22" i="2"/>
  <c r="T22" i="2"/>
  <c r="AC22" i="2"/>
  <c r="K22" i="2"/>
  <c r="Z22" i="2"/>
  <c r="Q22" i="2"/>
  <c r="N22" i="2"/>
  <c r="AF22" i="2"/>
  <c r="AC21" i="2"/>
  <c r="K21" i="2"/>
  <c r="Z21" i="2"/>
  <c r="N21" i="2"/>
  <c r="AF21" i="2"/>
  <c r="W21" i="2"/>
  <c r="T21" i="2"/>
  <c r="Q21" i="2"/>
  <c r="AF24" i="2"/>
  <c r="N24" i="2"/>
  <c r="AC24" i="2"/>
  <c r="K24" i="2"/>
  <c r="T24" i="2"/>
  <c r="Q24" i="2"/>
  <c r="W24" i="2"/>
  <c r="Z24" i="2"/>
  <c r="AC49" i="2"/>
  <c r="K49" i="2"/>
  <c r="Z49" i="2"/>
  <c r="AF49" i="2"/>
  <c r="N49" i="2"/>
  <c r="AH49" i="2" s="1"/>
  <c r="Q49" i="2"/>
  <c r="W49" i="2"/>
  <c r="T49" i="2"/>
  <c r="Q68" i="2"/>
  <c r="W68" i="2"/>
  <c r="T68" i="2"/>
  <c r="AC68" i="2"/>
  <c r="Z68" i="2"/>
  <c r="N68" i="2"/>
  <c r="K68" i="2"/>
  <c r="AF68" i="2"/>
  <c r="AC67" i="2"/>
  <c r="K67" i="2"/>
  <c r="Q67" i="2"/>
  <c r="T67" i="2"/>
  <c r="N67" i="2"/>
  <c r="AF67" i="2"/>
  <c r="W67" i="2"/>
  <c r="Z67" i="2"/>
  <c r="G13" i="6"/>
  <c r="AF72" i="2"/>
  <c r="N72" i="2"/>
  <c r="Q72" i="2"/>
  <c r="W72" i="2"/>
  <c r="Z72" i="2"/>
  <c r="K72" i="2"/>
  <c r="AC72" i="2"/>
  <c r="T72" i="2"/>
  <c r="W12" i="2"/>
  <c r="T12" i="2"/>
  <c r="AC12" i="2"/>
  <c r="K12" i="2"/>
  <c r="Z12" i="2"/>
  <c r="AF12" i="2"/>
  <c r="N12" i="2"/>
  <c r="AH12" i="2" s="1"/>
  <c r="Q12" i="2"/>
  <c r="AF16" i="2"/>
  <c r="N16" i="2"/>
  <c r="AC16" i="2"/>
  <c r="K16" i="2"/>
  <c r="T16" i="2"/>
  <c r="Q16" i="2"/>
  <c r="W16" i="2"/>
  <c r="Z16" i="2"/>
  <c r="AC46" i="2"/>
  <c r="K46" i="2"/>
  <c r="W46" i="2"/>
  <c r="T46" i="2"/>
  <c r="Q46" i="2"/>
  <c r="N46" i="2"/>
  <c r="Z46" i="2"/>
  <c r="AF46" i="2"/>
  <c r="AC87" i="2"/>
  <c r="K87" i="2"/>
  <c r="W87" i="2"/>
  <c r="T87" i="2"/>
  <c r="Q87" i="2"/>
  <c r="Z87" i="2"/>
  <c r="N87" i="2"/>
  <c r="AH87" i="2" s="1"/>
  <c r="AF87" i="2"/>
  <c r="AC17" i="2"/>
  <c r="K17" i="2"/>
  <c r="Z17" i="2"/>
  <c r="T17" i="2"/>
  <c r="W17" i="2"/>
  <c r="AF17" i="2"/>
  <c r="N17" i="2"/>
  <c r="Q17" i="2"/>
  <c r="Z53" i="2"/>
  <c r="W53" i="2"/>
  <c r="T53" i="2"/>
  <c r="AC53" i="2"/>
  <c r="K53" i="2"/>
  <c r="N53" i="2"/>
  <c r="Q53" i="2"/>
  <c r="AF53" i="2"/>
  <c r="W26" i="2"/>
  <c r="T26" i="2"/>
  <c r="AC26" i="2"/>
  <c r="K26" i="2"/>
  <c r="Z26" i="2"/>
  <c r="AF26" i="2"/>
  <c r="Q26" i="2"/>
  <c r="N26" i="2"/>
  <c r="AC25" i="2"/>
  <c r="K25" i="2"/>
  <c r="Z25" i="2"/>
  <c r="W25" i="2"/>
  <c r="T25" i="2"/>
  <c r="N25" i="2"/>
  <c r="Q25" i="2"/>
  <c r="AF25" i="2"/>
  <c r="AF28" i="2"/>
  <c r="N28" i="2"/>
  <c r="AC28" i="2"/>
  <c r="K28" i="2"/>
  <c r="T28" i="2"/>
  <c r="Q28" i="2"/>
  <c r="W28" i="2"/>
  <c r="Z28" i="2"/>
  <c r="W62" i="2"/>
  <c r="AF62" i="2"/>
  <c r="K62" i="2"/>
  <c r="AC62" i="2"/>
  <c r="N62" i="2"/>
  <c r="Z62" i="2"/>
  <c r="T62" i="2"/>
  <c r="Q62" i="2"/>
  <c r="AF95" i="2"/>
  <c r="AC95" i="2"/>
  <c r="N95" i="2"/>
  <c r="K95" i="2"/>
  <c r="Q95" i="2"/>
  <c r="W95" i="2"/>
  <c r="Z95" i="2"/>
  <c r="AC65" i="2"/>
  <c r="K65" i="2"/>
  <c r="W65" i="2"/>
  <c r="T65" i="2"/>
  <c r="N65" i="2"/>
  <c r="AF65" i="2"/>
  <c r="Q65" i="2"/>
  <c r="Z65" i="2"/>
  <c r="E18" i="8" l="1"/>
  <c r="H97" i="2"/>
  <c r="H100" i="2" s="1"/>
  <c r="AH41" i="2"/>
  <c r="AH83" i="2"/>
  <c r="F19" i="8"/>
  <c r="B20" i="8" s="1"/>
  <c r="D19" i="8"/>
  <c r="E19" i="8" s="1"/>
  <c r="AH62" i="2"/>
  <c r="AH68" i="2"/>
  <c r="AH47" i="2"/>
  <c r="AH98" i="2"/>
  <c r="AH32" i="2"/>
  <c r="AH15" i="2"/>
  <c r="AH17" i="2"/>
  <c r="H13" i="6"/>
  <c r="C22" i="6"/>
  <c r="D21" i="6"/>
  <c r="AH64" i="2"/>
  <c r="AH48" i="2"/>
  <c r="AH28" i="2"/>
  <c r="AH72" i="2"/>
  <c r="AH25" i="2"/>
  <c r="AH21" i="2"/>
  <c r="AH14" i="2"/>
  <c r="AH31" i="2"/>
  <c r="AH84" i="2"/>
  <c r="AH27" i="2"/>
  <c r="AH54" i="2"/>
  <c r="AH38" i="2"/>
  <c r="AH52" i="2"/>
  <c r="T96" i="2"/>
  <c r="W96" i="2"/>
  <c r="E20" i="5"/>
  <c r="G19" i="5"/>
  <c r="H19" i="5" s="1"/>
  <c r="AH11" i="2"/>
  <c r="AH81" i="2"/>
  <c r="AH73" i="2"/>
  <c r="Z55" i="2"/>
  <c r="AH94" i="2"/>
  <c r="AH39" i="2"/>
  <c r="AH76" i="2"/>
  <c r="AH88" i="2"/>
  <c r="AH95" i="2"/>
  <c r="AH36" i="2"/>
  <c r="AH89" i="2"/>
  <c r="AH69" i="2"/>
  <c r="AH42" i="2"/>
  <c r="AH67" i="2"/>
  <c r="Q55" i="2"/>
  <c r="AH53" i="2"/>
  <c r="AH46" i="2"/>
  <c r="AH16" i="2"/>
  <c r="E20" i="6"/>
  <c r="G19" i="6"/>
  <c r="H19" i="6" s="1"/>
  <c r="N96" i="2"/>
  <c r="AH59" i="2"/>
  <c r="AH20" i="2"/>
  <c r="T55" i="2"/>
  <c r="H13" i="5"/>
  <c r="W55" i="2"/>
  <c r="W97" i="2" s="1"/>
  <c r="W100" i="2" s="1"/>
  <c r="AH22" i="2"/>
  <c r="Z96" i="2"/>
  <c r="AH74" i="2"/>
  <c r="AH30" i="2"/>
  <c r="AH40" i="2"/>
  <c r="K55" i="2"/>
  <c r="AH90" i="2"/>
  <c r="AH71" i="2"/>
  <c r="AF96" i="2"/>
  <c r="AH65" i="2"/>
  <c r="AH26" i="2"/>
  <c r="AH24" i="2"/>
  <c r="AH91" i="2"/>
  <c r="Q96" i="2"/>
  <c r="AH50" i="2"/>
  <c r="AC55" i="2"/>
  <c r="AH44" i="2"/>
  <c r="AH23" i="2"/>
  <c r="AH35" i="2"/>
  <c r="N55" i="2"/>
  <c r="AH10" i="2"/>
  <c r="AC96" i="2"/>
  <c r="K96" i="2"/>
  <c r="AF55" i="2"/>
  <c r="AF97" i="2" s="1"/>
  <c r="AF100" i="2" s="1"/>
  <c r="AH99" i="2"/>
  <c r="AH33" i="2"/>
  <c r="D24" i="5"/>
  <c r="C25" i="5"/>
  <c r="C23" i="6" l="1"/>
  <c r="D22" i="6"/>
  <c r="F20" i="8"/>
  <c r="B21" i="8" s="1"/>
  <c r="D20" i="8"/>
  <c r="E20" i="8" s="1"/>
  <c r="Q97" i="2"/>
  <c r="Q100" i="2" s="1"/>
  <c r="G20" i="5"/>
  <c r="E21" i="5"/>
  <c r="N97" i="2"/>
  <c r="N100" i="2" s="1"/>
  <c r="Z97" i="2"/>
  <c r="Z100" i="2" s="1"/>
  <c r="AK100" i="2" s="1"/>
  <c r="T97" i="2"/>
  <c r="T100" i="2" s="1"/>
  <c r="G20" i="6"/>
  <c r="H20" i="6" s="1"/>
  <c r="E21" i="6"/>
  <c r="C26" i="5"/>
  <c r="D25" i="5"/>
  <c r="AC97" i="2"/>
  <c r="AC100" i="2" s="1"/>
  <c r="K97" i="2"/>
  <c r="K100" i="2" s="1"/>
  <c r="E22" i="6" l="1"/>
  <c r="G21" i="6"/>
  <c r="C24" i="6"/>
  <c r="D23" i="6"/>
  <c r="F21" i="8"/>
  <c r="B22" i="8" s="1"/>
  <c r="D21" i="8"/>
  <c r="E21" i="8" s="1"/>
  <c r="C27" i="5"/>
  <c r="D26" i="5"/>
  <c r="E22" i="5"/>
  <c r="G21" i="5"/>
  <c r="H21" i="5" s="1"/>
  <c r="H20" i="5"/>
  <c r="C28" i="5" l="1"/>
  <c r="D27" i="5"/>
  <c r="F22" i="8"/>
  <c r="B23" i="8" s="1"/>
  <c r="D22" i="8"/>
  <c r="E22" i="8" s="1"/>
  <c r="H21" i="6"/>
  <c r="C25" i="6"/>
  <c r="D24" i="6"/>
  <c r="G22" i="6"/>
  <c r="E23" i="6"/>
  <c r="G22" i="5"/>
  <c r="E23" i="5"/>
  <c r="F23" i="8" l="1"/>
  <c r="B24" i="8" s="1"/>
  <c r="D23" i="8"/>
  <c r="E23" i="8" s="1"/>
  <c r="E24" i="6"/>
  <c r="G23" i="6"/>
  <c r="H23" i="6" s="1"/>
  <c r="D25" i="6"/>
  <c r="C26" i="6"/>
  <c r="H22" i="5"/>
  <c r="H22" i="6"/>
  <c r="G23" i="5"/>
  <c r="H23" i="5" s="1"/>
  <c r="E24" i="5"/>
  <c r="D28" i="5"/>
  <c r="C29" i="5"/>
  <c r="C27" i="6" l="1"/>
  <c r="D26" i="6"/>
  <c r="C30" i="5"/>
  <c r="D29" i="5"/>
  <c r="E25" i="5"/>
  <c r="G24" i="5"/>
  <c r="G24" i="6"/>
  <c r="E25" i="6"/>
  <c r="F24" i="8"/>
  <c r="B25" i="8" s="1"/>
  <c r="D24" i="8"/>
  <c r="E24" i="8" s="1"/>
  <c r="H24" i="6" l="1"/>
  <c r="H24" i="5"/>
  <c r="C31" i="5"/>
  <c r="D30" i="5"/>
  <c r="C28" i="6"/>
  <c r="D27" i="6"/>
  <c r="G25" i="6"/>
  <c r="H25" i="6" s="1"/>
  <c r="E26" i="6"/>
  <c r="E26" i="5"/>
  <c r="G25" i="5"/>
  <c r="H25" i="5" s="1"/>
  <c r="F25" i="8"/>
  <c r="B26" i="8" s="1"/>
  <c r="D25" i="8"/>
  <c r="E25" i="8" s="1"/>
  <c r="E27" i="5" l="1"/>
  <c r="G26" i="5"/>
  <c r="H26" i="5" s="1"/>
  <c r="C32" i="5"/>
  <c r="D31" i="5"/>
  <c r="G26" i="6"/>
  <c r="H26" i="6" s="1"/>
  <c r="E27" i="6"/>
  <c r="D28" i="6"/>
  <c r="C29" i="6"/>
  <c r="F26" i="8"/>
  <c r="B27" i="8" s="1"/>
  <c r="D26" i="8"/>
  <c r="E26" i="8" s="1"/>
  <c r="C30" i="6" l="1"/>
  <c r="D29" i="6"/>
  <c r="D27" i="8"/>
  <c r="E27" i="8" s="1"/>
  <c r="F27" i="8"/>
  <c r="B28" i="8" s="1"/>
  <c r="E28" i="6"/>
  <c r="G27" i="6"/>
  <c r="H27" i="6" s="1"/>
  <c r="D32" i="5"/>
  <c r="C33" i="5"/>
  <c r="G27" i="5"/>
  <c r="H27" i="5" s="1"/>
  <c r="E28" i="5"/>
  <c r="E29" i="5" l="1"/>
  <c r="G28" i="5"/>
  <c r="H28" i="5" s="1"/>
  <c r="C34" i="5"/>
  <c r="D33" i="5"/>
  <c r="G28" i="6"/>
  <c r="H28" i="6" s="1"/>
  <c r="E29" i="6"/>
  <c r="D28" i="8"/>
  <c r="E28" i="8" s="1"/>
  <c r="F28" i="8"/>
  <c r="B29" i="8" s="1"/>
  <c r="C31" i="6"/>
  <c r="D30" i="6"/>
  <c r="C32" i="6" l="1"/>
  <c r="D31" i="6"/>
  <c r="D29" i="8"/>
  <c r="E29" i="8" s="1"/>
  <c r="F29" i="8"/>
  <c r="B30" i="8" s="1"/>
  <c r="E30" i="6"/>
  <c r="G29" i="6"/>
  <c r="H29" i="6" s="1"/>
  <c r="D34" i="5"/>
  <c r="C35" i="5"/>
  <c r="E30" i="5"/>
  <c r="G29" i="5"/>
  <c r="H29" i="5" s="1"/>
  <c r="C36" i="5" l="1"/>
  <c r="D35" i="5"/>
  <c r="E31" i="5"/>
  <c r="G30" i="5"/>
  <c r="H30" i="5" s="1"/>
  <c r="G30" i="6"/>
  <c r="H30" i="6" s="1"/>
  <c r="E31" i="6"/>
  <c r="F30" i="8"/>
  <c r="B31" i="8" s="1"/>
  <c r="D30" i="8"/>
  <c r="E30" i="8" s="1"/>
  <c r="C33" i="6"/>
  <c r="D32" i="6"/>
  <c r="C34" i="6" l="1"/>
  <c r="D33" i="6"/>
  <c r="D31" i="8"/>
  <c r="E31" i="8" s="1"/>
  <c r="F31" i="8"/>
  <c r="B32" i="8" s="1"/>
  <c r="E32" i="6"/>
  <c r="G31" i="6"/>
  <c r="H31" i="6" s="1"/>
  <c r="E32" i="5"/>
  <c r="G31" i="5"/>
  <c r="H31" i="5" s="1"/>
  <c r="D36" i="5"/>
  <c r="C37" i="5"/>
  <c r="D37" i="5" l="1"/>
  <c r="D38" i="5" s="1"/>
  <c r="C38" i="5"/>
  <c r="E33" i="5"/>
  <c r="G32" i="5"/>
  <c r="H32" i="5" s="1"/>
  <c r="G32" i="6"/>
  <c r="H32" i="6" s="1"/>
  <c r="E33" i="6"/>
  <c r="F32" i="8"/>
  <c r="B33" i="8" s="1"/>
  <c r="D32" i="8"/>
  <c r="E32" i="8" s="1"/>
  <c r="D34" i="6"/>
  <c r="C35" i="6"/>
  <c r="C36" i="6" l="1"/>
  <c r="D35" i="6"/>
  <c r="F33" i="8"/>
  <c r="B34" i="8" s="1"/>
  <c r="D33" i="8"/>
  <c r="E33" i="8" s="1"/>
  <c r="E34" i="6"/>
  <c r="G33" i="6"/>
  <c r="H33" i="6" s="1"/>
  <c r="E34" i="5"/>
  <c r="G33" i="5"/>
  <c r="H33" i="5" s="1"/>
  <c r="E35" i="5" l="1"/>
  <c r="G34" i="5"/>
  <c r="H34" i="5" s="1"/>
  <c r="G34" i="6"/>
  <c r="H34" i="6" s="1"/>
  <c r="E35" i="6"/>
  <c r="F34" i="8"/>
  <c r="B35" i="8" s="1"/>
  <c r="D34" i="8"/>
  <c r="E34" i="8" s="1"/>
  <c r="C37" i="6"/>
  <c r="D36" i="6"/>
  <c r="D37" i="6" l="1"/>
  <c r="D38" i="6" s="1"/>
  <c r="C38" i="6"/>
  <c r="F35" i="8"/>
  <c r="B36" i="8" s="1"/>
  <c r="D35" i="8"/>
  <c r="E35" i="8" s="1"/>
  <c r="E36" i="6"/>
  <c r="G35" i="6"/>
  <c r="H35" i="6" s="1"/>
  <c r="G35" i="5"/>
  <c r="H35" i="5" s="1"/>
  <c r="E36" i="5"/>
  <c r="F36" i="8" l="1"/>
  <c r="B37" i="8" s="1"/>
  <c r="D36" i="8"/>
  <c r="E36" i="8" s="1"/>
  <c r="E37" i="5"/>
  <c r="G36" i="5"/>
  <c r="H36" i="5" s="1"/>
  <c r="G36" i="6"/>
  <c r="H36" i="6" s="1"/>
  <c r="E37" i="6"/>
  <c r="G37" i="6" l="1"/>
  <c r="E38" i="6"/>
  <c r="G37" i="5"/>
  <c r="E38" i="5"/>
  <c r="D37" i="8"/>
  <c r="E37" i="8" s="1"/>
  <c r="F37" i="8"/>
  <c r="B38" i="8" s="1"/>
  <c r="F38" i="8" l="1"/>
  <c r="B39" i="8" s="1"/>
  <c r="D38" i="8"/>
  <c r="E38" i="8" s="1"/>
  <c r="H37" i="5"/>
  <c r="D41" i="5"/>
  <c r="G38" i="5"/>
  <c r="H37" i="6"/>
  <c r="G38" i="6"/>
  <c r="D41" i="6"/>
  <c r="D40" i="6" l="1"/>
  <c r="H38" i="6"/>
  <c r="D42" i="6" s="1"/>
  <c r="D40" i="5"/>
  <c r="H38" i="5"/>
  <c r="D42" i="5" s="1"/>
  <c r="F39" i="8"/>
  <c r="B40" i="8" s="1"/>
  <c r="D39" i="8"/>
  <c r="E39" i="8" s="1"/>
  <c r="F40" i="8" l="1"/>
  <c r="B41" i="8" s="1"/>
  <c r="D40" i="8"/>
  <c r="E40" i="8" s="1"/>
  <c r="D41" i="8" l="1"/>
  <c r="E41" i="8" s="1"/>
  <c r="F41" i="8"/>
  <c r="B42" i="8" s="1"/>
  <c r="F42" i="8" l="1"/>
  <c r="D42" i="8"/>
  <c r="E42" i="8" l="1"/>
  <c r="D43" i="8"/>
  <c r="E43" i="8" s="1"/>
</calcChain>
</file>

<file path=xl/sharedStrings.xml><?xml version="1.0" encoding="utf-8"?>
<sst xmlns="http://schemas.openxmlformats.org/spreadsheetml/2006/main" count="1956" uniqueCount="390">
  <si>
    <t xml:space="preserve"> 9.0 Item wise Cumulative Progress and Year wise Breakdown of Revised Quantity and Cost to be Incurred.</t>
  </si>
  <si>
    <t>Taka in Lac</t>
  </si>
  <si>
    <t>Economic Code</t>
  </si>
  <si>
    <t>Economic 
Sub-Code</t>
  </si>
  <si>
    <t>Sub-Code wise component description</t>
  </si>
  <si>
    <t>Cumulative Progress Upto June 2019 (Year 1 to Year-5) †</t>
  </si>
  <si>
    <t>FY: 2019-2020 (Year-6)</t>
  </si>
  <si>
    <t>FY: 2020-21 (Year-7)</t>
  </si>
  <si>
    <t>FY: 2021-2022 (Year-8)</t>
  </si>
  <si>
    <t>Unit</t>
  </si>
  <si>
    <t>Quantity (In detail)</t>
  </si>
  <si>
    <t>Cost</t>
  </si>
  <si>
    <t>Total</t>
  </si>
  <si>
    <t>GOB
(FE)</t>
  </si>
  <si>
    <t>Project Aid</t>
  </si>
  <si>
    <t>Own Fund</t>
  </si>
  <si>
    <t>Others</t>
  </si>
  <si>
    <t>RPA</t>
  </si>
  <si>
    <t>DPA</t>
  </si>
  <si>
    <t>Through GOB</t>
  </si>
  <si>
    <t>Special Account</t>
  </si>
  <si>
    <t>Through PD</t>
  </si>
  <si>
    <t>Through DP</t>
  </si>
  <si>
    <t>(a) Revenue Component:</t>
  </si>
  <si>
    <t>Allowances</t>
  </si>
  <si>
    <t>Conveyance Allowance</t>
  </si>
  <si>
    <t>Part</t>
  </si>
  <si>
    <t>Overtime Allowance</t>
  </si>
  <si>
    <t>Other Allowance</t>
  </si>
  <si>
    <t xml:space="preserve">Supplies and services: 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</si>
  <si>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</si>
  <si>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</si>
  <si>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</si>
  <si>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</si>
  <si>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</si>
  <si>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</si>
  <si>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</si>
  <si>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</si>
  <si>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</si>
  <si>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</si>
  <si>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</si>
  <si>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</si>
  <si>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</si>
  <si>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</si>
  <si>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</si>
  <si>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Training Expenditure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</si>
  <si>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</si>
  <si>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</si>
  <si>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</si>
  <si>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</si>
  <si>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</si>
  <si>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</si>
  <si>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>Consultancy  : International - 71 M/M (Detail in Appendix-E of original approved DPP)
                      National - 324 M/M (Detail in Appendix-E of original approved DPP)</t>
  </si>
  <si>
    <t>MM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</si>
  <si>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</si>
  <si>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</si>
  <si>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</si>
  <si>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</si>
  <si>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</si>
  <si>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</si>
  <si>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 xml:space="preserve">Repair, Maintenance &amp; Rehabilitation: </t>
  </si>
  <si>
    <t xml:space="preserve"> Motor Vehicles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</si>
  <si>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</si>
  <si>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</si>
  <si>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</si>
  <si>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</si>
  <si>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</si>
  <si>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</si>
  <si>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>Drainage Structures :</t>
  </si>
  <si>
    <t xml:space="preserve"> Repair/Replacement of Regulator Gates and other related works(Rehabilitation Haors)</t>
  </si>
  <si>
    <t>Nos.</t>
  </si>
  <si>
    <t>Water Transport : Repair of Speedboat(s)</t>
  </si>
  <si>
    <t>Others : Repair &amp; Maintenance</t>
  </si>
  <si>
    <t>(a) Sub-total Revenue Component:</t>
  </si>
  <si>
    <t>(b) Capital Component:</t>
  </si>
  <si>
    <t>Acquisition of Assets:</t>
  </si>
  <si>
    <t xml:space="preserve"> Motor Vehicle :</t>
  </si>
  <si>
    <t>Jeep (above 2500 c.c. made by Pragati) -1 No.for Project Director, PMO, 
Jeep (2200 c.c. to 2500 c.c. made by Pragati) (4 Wheel Drive) -8 Nos. and Double Cabin Pickup-1 No. 
(1 for DPD, PMO, 1 for 4 EE, PMO, Kishoreganj 1 No., Netrokona 1 No., Sunamganj 1 No., Habiganj 1 No., Brahmanbaria 1 No., 1 for Planning Commission &amp; 1 Pickup for Deputy Chief  Extension Officer, PMO)= Total 10 Nos.</t>
  </si>
  <si>
    <t>7 nos.</t>
  </si>
  <si>
    <t>3 nos.</t>
  </si>
  <si>
    <t>Motorcycle - 35 Nos. (PMO 2 Nos.,Kishoreganj 11 Nos., Netrokona 6 Nos., Sunamganj 6 Nos., Habiganj 6 Nos.&amp; Brahmanbaria 4 Nos).</t>
  </si>
  <si>
    <t>30 nos</t>
  </si>
  <si>
    <t>5 nos.</t>
  </si>
  <si>
    <t>Water Transport :</t>
  </si>
  <si>
    <t>Speed Boat with Engine and all accessories (75 hp &amp; 6 Nos.)</t>
  </si>
  <si>
    <t>3 nos</t>
  </si>
  <si>
    <t>Mechinary &amp; Other Equipment</t>
  </si>
  <si>
    <t>Photocopier -7 nos (PMO 2 Nos.,Kishoreganj 1 No., Netrokona 1 No., Sunamganj 1 No., Habiganj 1No.&amp; Brahmanbaria 1 No).</t>
  </si>
  <si>
    <t>Fax -7 nos (PMO 2 Nos.,Kishoreganj 1 No., Netrokona 1 No., Sunamganj 1 No., Habiganj 1No.&amp; Brahmanbaria 1 No).</t>
  </si>
  <si>
    <t>2 nos.</t>
  </si>
  <si>
    <t>Survey Equipments (Digital leveling Instrument 5 nos., Total Station 2 nos. &amp; Hand Held GPS 10 Nos)</t>
  </si>
  <si>
    <t>11 nos.</t>
  </si>
  <si>
    <t>6 nos.</t>
  </si>
  <si>
    <t>Networking Equipment- 6 nos (PMO 1 No., Kishoreganj 1 No., Netrokona 1 No., Sunamganj 1 No., Habiganj 1No.&amp; Brahmanbaria 1 No)</t>
  </si>
  <si>
    <t>Engineering Laboratory Equipments for Kishoregonj WD Division</t>
  </si>
  <si>
    <t>Computers &amp; Accessories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</si>
  <si>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</si>
  <si>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27 nos.</t>
  </si>
  <si>
    <t>Laptop Computer -11 nos (PMO 6 Nos.,Kishoreganj 1 No., Netrokona 1 No., Sunamganj 1 No., Habiganj 1No.&amp; Brahmanbaria 1 No)</t>
  </si>
  <si>
    <t>4 nos.</t>
  </si>
  <si>
    <t xml:space="preserve">A3 Combo Printer 2 nos ( PMO) </t>
  </si>
  <si>
    <t>1 no.</t>
  </si>
  <si>
    <t>No.</t>
  </si>
  <si>
    <t>Laser Printer- 11 nos. (PMO 6 Nos.,Kishoreganj 1 No., Netrokona 1 No., Sunamganj 1 No., Habiganj 1No.&amp; Brahmanbaria 1 No.)</t>
  </si>
  <si>
    <t>Aircooler</t>
  </si>
  <si>
    <t xml:space="preserve">Acquisition/Purchase of lands and  landed properties of Assets: </t>
  </si>
  <si>
    <t>Land Acquisition ( 470 hectare)</t>
  </si>
  <si>
    <t>ha.</t>
  </si>
  <si>
    <t>Construction and Works:</t>
  </si>
  <si>
    <t>Irrigation Infrastructurs :</t>
  </si>
  <si>
    <t>Construction of Irrigation Inlet (New Haors)</t>
  </si>
  <si>
    <t xml:space="preserve"> Re-installation/Construction of Regulator/Causeway (Rehabilitation Sub-Projects)</t>
  </si>
  <si>
    <t xml:space="preserve"> Installation/Construction of New Regulators/Causeway/Bridge/Box Drainage Outlet) (New Haors)</t>
  </si>
  <si>
    <t xml:space="preserve"> Re-excavation of Khal/River (New Haors) (Earth Volume: 76.42 Lakh cum)</t>
  </si>
  <si>
    <t>Km.</t>
  </si>
  <si>
    <t>Others:</t>
  </si>
  <si>
    <t xml:space="preserve"> Re-excavation of Khal/River (Rehabilitation Sub-Projects) (Earth Volume: 20.12 Lakh cum)</t>
  </si>
  <si>
    <t xml:space="preserve"> Rehabilitation of Full Embankment (Resection/construction) (Rehabilitation Sub-Projects) (Earth Volume: 10.63 lakh cum)</t>
  </si>
  <si>
    <t xml:space="preserve"> Rehabilitation of Submergible Embankment  (Resection/construction)  (Rehabilitation Sub-Projects) (Earth Volume: 6.44 lakh cum)</t>
  </si>
  <si>
    <t>Construction of Submersible Embankment (New Haors) (Earth Volume: 29.98 lakh cum)</t>
  </si>
  <si>
    <t xml:space="preserve"> Rehabilitation of Regulator (New Haors)</t>
  </si>
  <si>
    <t>Embankment Slope Protection Work</t>
  </si>
  <si>
    <t>Threshing Floor Construction</t>
  </si>
  <si>
    <t>Construction of WMG Office</t>
  </si>
  <si>
    <t>O &amp; M during Construction</t>
  </si>
  <si>
    <t>(b)Sub-total Capital Component:</t>
  </si>
  <si>
    <t>Total Cost (a+b) :</t>
  </si>
  <si>
    <t>(c) Physical Contingency ( Lump sum):</t>
  </si>
  <si>
    <t>(d) Price Contingency (Lump sum):</t>
  </si>
  <si>
    <t>Grand Total (a+b+c+d) :</t>
  </si>
  <si>
    <t xml:space="preserve">                  †  Year 1 is FY 2014-15, Year 2 is FY 2015-16 and Year 3 is FY 2016-17 </t>
  </si>
  <si>
    <t>Year wise Financial and Physical Target Plan</t>
  </si>
  <si>
    <t>Annexure-II</t>
  </si>
  <si>
    <t xml:space="preserve">Name of the Project : Haor Flood Management and Livelihood Improvement Project.(BWDB Part) 
</t>
  </si>
  <si>
    <t>Name of agency/Division/Ministry: Bangladesh Water Development Board / Ministry of Water Resources</t>
  </si>
  <si>
    <t>Economic 
Sub-Code (In detail)</t>
  </si>
  <si>
    <t xml:space="preserve"> Sub Code Description
(In detail)</t>
  </si>
  <si>
    <t>Total Physical &amp; Financial Target</t>
  </si>
  <si>
    <t>FY: 2014-15 (Year-1)</t>
  </si>
  <si>
    <t>FY: 2015-16 (Year-2)</t>
  </si>
  <si>
    <t>FY: 2016-17 (Year-3)</t>
  </si>
  <si>
    <t>FY: 2017-18 (Year-4)</t>
  </si>
  <si>
    <t>FY: 2018-19 (Year-5)</t>
  </si>
  <si>
    <t>FY: 2019-20 (Year-6)</t>
  </si>
  <si>
    <t>FY: 2021-22 (Year-8)</t>
  </si>
  <si>
    <t>Unit
Cost</t>
  </si>
  <si>
    <t>Quantity</t>
  </si>
  <si>
    <t>Total
Cost 
(Taka in Lac)</t>
  </si>
  <si>
    <t>Weight</t>
  </si>
  <si>
    <t>Financial Amount (Taka in Lac)</t>
  </si>
  <si>
    <t>Physical</t>
  </si>
  <si>
    <t>% of Item</t>
  </si>
  <si>
    <t>% of Project</t>
  </si>
  <si>
    <t>Item</t>
  </si>
  <si>
    <t>Months</t>
  </si>
  <si>
    <t>-</t>
  </si>
  <si>
    <t>71+234</t>
  </si>
  <si>
    <t>item</t>
  </si>
  <si>
    <t>(a)Sub-total Revenue Component:</t>
  </si>
  <si>
    <t>Sets</t>
  </si>
  <si>
    <t>L.S</t>
  </si>
  <si>
    <t>LS</t>
  </si>
  <si>
    <t>ha</t>
  </si>
  <si>
    <t>km</t>
  </si>
  <si>
    <t>Km</t>
  </si>
  <si>
    <t>(b) Sub-total Capital Component:</t>
  </si>
  <si>
    <t xml:space="preserve"> </t>
  </si>
  <si>
    <t>#  Weight of each item            =</t>
  </si>
  <si>
    <t>(Est. cost of each respective item)</t>
  </si>
  <si>
    <t>(Total cost of all Physical items)</t>
  </si>
  <si>
    <t>#  Physical Percentage of item =</t>
  </si>
  <si>
    <t>Quantity/number targeted in each year</t>
  </si>
  <si>
    <t xml:space="preserve"> x 100</t>
  </si>
  <si>
    <t>Total quantity/number of respective item for whole project period</t>
  </si>
  <si>
    <t># Physical % of total Project    =</t>
  </si>
  <si>
    <t>Weight of each item x % of item</t>
  </si>
  <si>
    <t>Investment Cost</t>
  </si>
  <si>
    <t>Name of the Project                         :</t>
  </si>
  <si>
    <t xml:space="preserve"> Haor Flood Management and Livelihood Improvement Project.(BWDB Part)(Revised)</t>
  </si>
  <si>
    <t>Name of agency/Division/Ministry    :</t>
  </si>
  <si>
    <t>Bangladesh Water Development Board / Ministry of Water Resources</t>
  </si>
  <si>
    <t>(In Lakh Taka)</t>
  </si>
  <si>
    <t>Budget Head</t>
  </si>
  <si>
    <t>Economic Code/
Sub Code</t>
  </si>
  <si>
    <t xml:space="preserve"> Code/Sub Code Description</t>
  </si>
  <si>
    <t>Total Project Cost</t>
  </si>
  <si>
    <t>Financial</t>
  </si>
  <si>
    <t>CF</t>
  </si>
  <si>
    <t>Economic</t>
  </si>
  <si>
    <t>Year-1</t>
  </si>
  <si>
    <t>Year-2</t>
  </si>
  <si>
    <t>Year-3</t>
  </si>
  <si>
    <t>Year-4</t>
  </si>
  <si>
    <t>Year-5</t>
  </si>
  <si>
    <t>Year-6</t>
  </si>
  <si>
    <t>Year-7</t>
  </si>
  <si>
    <t>Year-8</t>
  </si>
  <si>
    <t xml:space="preserve"> Area,Yield and Gross Production Value</t>
  </si>
  <si>
    <t>Gross Area = 185475 ha.&amp; Net Cultivable Area = 156392 ha.</t>
  </si>
  <si>
    <t>PRE - PROJECT  CONDITION</t>
  </si>
  <si>
    <t>Sl.</t>
  </si>
  <si>
    <t>Area</t>
  </si>
  <si>
    <t>Yield</t>
  </si>
  <si>
    <t xml:space="preserve">  Unit Rate (Tk./mt.)</t>
  </si>
  <si>
    <t>Gross Prod. Value(Lakh Tk.)</t>
  </si>
  <si>
    <t>Crops</t>
  </si>
  <si>
    <t>(ha.)</t>
  </si>
  <si>
    <t>(mt./ha.)</t>
  </si>
  <si>
    <t>Prod. (mt.)</t>
  </si>
  <si>
    <t>ML</t>
  </si>
  <si>
    <t>Seed</t>
  </si>
  <si>
    <t>Urea</t>
  </si>
  <si>
    <t>TSP</t>
  </si>
  <si>
    <t>MP</t>
  </si>
  <si>
    <t>1.</t>
  </si>
  <si>
    <t>Boro (L)</t>
  </si>
  <si>
    <t>2.</t>
  </si>
  <si>
    <t>Boro (HYV)</t>
  </si>
  <si>
    <t>Total :</t>
  </si>
  <si>
    <t xml:space="preserve">         Cropping Intensity =</t>
  </si>
  <si>
    <t xml:space="preserve">                     Total  Paddy  Production =</t>
  </si>
  <si>
    <t>mt.</t>
  </si>
  <si>
    <t>POST - PROJECT  CONDITION</t>
  </si>
  <si>
    <t>%</t>
  </si>
  <si>
    <t xml:space="preserve">                     Incremental  Paddy  Production =</t>
  </si>
  <si>
    <t>Variable Cost of Cultivation</t>
  </si>
  <si>
    <t>Items</t>
  </si>
  <si>
    <t xml:space="preserve">                    Unit Rate (Taka)</t>
  </si>
  <si>
    <t xml:space="preserve">                      Total cost (Lakh Taka)</t>
  </si>
  <si>
    <t>Manual Labour</t>
  </si>
  <si>
    <t>Man-day</t>
  </si>
  <si>
    <t>Power Tiller</t>
  </si>
  <si>
    <t>3.</t>
  </si>
  <si>
    <t>Seed/Seedlings</t>
  </si>
  <si>
    <t>a)</t>
  </si>
  <si>
    <t>Paddy</t>
  </si>
  <si>
    <t>b)</t>
  </si>
  <si>
    <t>Wheat</t>
  </si>
  <si>
    <t>d)</t>
  </si>
  <si>
    <t>Mustard</t>
  </si>
  <si>
    <t>4.</t>
  </si>
  <si>
    <t>Fertilizers</t>
  </si>
  <si>
    <t xml:space="preserve">b) </t>
  </si>
  <si>
    <t>T.S.P.</t>
  </si>
  <si>
    <t>c)</t>
  </si>
  <si>
    <t>M.P.</t>
  </si>
  <si>
    <t>5.</t>
  </si>
  <si>
    <t>Insecticide</t>
  </si>
  <si>
    <t>6.</t>
  </si>
  <si>
    <t>Irrigation Cost</t>
  </si>
  <si>
    <t>Onion</t>
  </si>
  <si>
    <t>Jute</t>
  </si>
  <si>
    <t>e)</t>
  </si>
  <si>
    <t>Vegetables</t>
  </si>
  <si>
    <t>Incremental Farm Labour =</t>
  </si>
  <si>
    <t>mandays</t>
  </si>
  <si>
    <t>FIXED  COST</t>
  </si>
  <si>
    <t>A.</t>
  </si>
  <si>
    <t xml:space="preserve">                            PRE - PROJECT  CONDITION</t>
  </si>
  <si>
    <t>Rent &amp; rates</t>
  </si>
  <si>
    <t>Up-keep of stock</t>
  </si>
  <si>
    <t>Interest on credit</t>
  </si>
  <si>
    <t xml:space="preserve">                                                                 Total per hectare(Taka)</t>
  </si>
  <si>
    <t>Total for the project (Lakh Taka)</t>
  </si>
  <si>
    <t>(Net Area= 240578 ha.)</t>
  </si>
  <si>
    <t>B.</t>
  </si>
  <si>
    <t xml:space="preserve">                               POST - PROJECT  CONDITION</t>
  </si>
  <si>
    <t>SUMMARY  OF  BENEFIT</t>
  </si>
  <si>
    <t>Gross Production Value</t>
  </si>
  <si>
    <t>Cost of cultivation</t>
  </si>
  <si>
    <t>i) Variable Cost</t>
  </si>
  <si>
    <t>ii) Fixed Cost</t>
  </si>
  <si>
    <t>Net Benefit (A1-A2)</t>
  </si>
  <si>
    <t>Net Benefit (B1-B2)</t>
  </si>
  <si>
    <t>C.</t>
  </si>
  <si>
    <t>Net Incremental Benefit from Agriculture      (A3-B3)</t>
  </si>
  <si>
    <t>Computation of Internal Rate of Return</t>
  </si>
  <si>
    <t>(Financial)</t>
  </si>
  <si>
    <t xml:space="preserve"> (BDT In Lakh)</t>
  </si>
  <si>
    <t>Year</t>
  </si>
  <si>
    <t>Invest. Cost</t>
  </si>
  <si>
    <t xml:space="preserve">   O &amp; M</t>
  </si>
  <si>
    <t>Total Cost</t>
  </si>
  <si>
    <t xml:space="preserve"> Benefits from Agriculture</t>
  </si>
  <si>
    <t>Others Benefits</t>
  </si>
  <si>
    <t>Total Benefits</t>
  </si>
  <si>
    <t>Cashflow</t>
  </si>
  <si>
    <t>NPV @12%</t>
  </si>
  <si>
    <t>All calculations are based on project period of 30 years</t>
  </si>
  <si>
    <t>FIRR base case</t>
  </si>
  <si>
    <t>Benefit Cost Ratio</t>
  </si>
  <si>
    <t>(Economic)</t>
  </si>
  <si>
    <t xml:space="preserve"> (In Lakh Taka)</t>
  </si>
  <si>
    <t>EIRR base case</t>
  </si>
  <si>
    <t xml:space="preserve">   </t>
  </si>
  <si>
    <t>8.0 Economic code wise comparison of cost summary between the Original DPP and proposed Revised DPP</t>
  </si>
  <si>
    <t>(BDT in Lakh)</t>
  </si>
  <si>
    <t>Economic Sub-Code</t>
  </si>
  <si>
    <t>Original approved DPP</t>
  </si>
  <si>
    <t>Proposed 1st Revised DPP</t>
  </si>
  <si>
    <t>Difference</t>
  </si>
  <si>
    <t>Qty.</t>
  </si>
  <si>
    <t>Special Account*</t>
  </si>
  <si>
    <t>1 Item</t>
  </si>
  <si>
    <t>Supplies and Services</t>
  </si>
  <si>
    <t xml:space="preserve">71+324 </t>
  </si>
  <si>
    <t>71+324</t>
  </si>
  <si>
    <t>Repair, Maintenance &amp; Rehabilitation</t>
  </si>
  <si>
    <t>L.S.</t>
  </si>
  <si>
    <t>Sub-total : (a) Revenue Component:</t>
  </si>
  <si>
    <t xml:space="preserve">A3 Combo Printer 2 no ( PMO) </t>
  </si>
  <si>
    <t>Ori</t>
  </si>
  <si>
    <t>Pro</t>
  </si>
  <si>
    <t>Diff</t>
  </si>
  <si>
    <t>Land Acquisition ( 408 hectare)</t>
  </si>
  <si>
    <t>408 ha.</t>
  </si>
  <si>
    <t>Irrigation Infrastructures :</t>
  </si>
  <si>
    <t>7
(2+5)</t>
  </si>
  <si>
    <t>137
(57+35+
1+44)</t>
  </si>
  <si>
    <t>Sub-total : (b) Capital Component:</t>
  </si>
  <si>
    <t>Grand Total : (a)+(b)+(c)+(d):</t>
  </si>
  <si>
    <t>* DOSA, CONTASA, SAFE, IMPREST etc.</t>
  </si>
  <si>
    <t>c+d</t>
  </si>
  <si>
    <t>Phy.Works</t>
  </si>
  <si>
    <t>c+d+works</t>
  </si>
  <si>
    <t>other</t>
  </si>
  <si>
    <t>Reh</t>
  </si>
  <si>
    <t>New</t>
  </si>
  <si>
    <t>Annexure-IV</t>
  </si>
  <si>
    <t>Revised Amortization Schedule</t>
  </si>
  <si>
    <t>Name of Project</t>
  </si>
  <si>
    <t>: Haor Flood Management &amp; Livelihood Improvement Project (BWDB Part)</t>
  </si>
  <si>
    <t>Total Investment</t>
  </si>
  <si>
    <t>: BDT 97865.00 Lakh</t>
  </si>
  <si>
    <t>Loan Portion</t>
  </si>
  <si>
    <t>: BDT 59529.60 Lakh</t>
  </si>
  <si>
    <t>Loan Period</t>
  </si>
  <si>
    <t>: 40 Years Including 10 Uears grace Period</t>
  </si>
  <si>
    <t>Trate of Investment</t>
  </si>
  <si>
    <t>: 0.01% per annum</t>
  </si>
  <si>
    <t>(Taka in Lac)</t>
  </si>
  <si>
    <t>Beginning Principal Amount</t>
  </si>
  <si>
    <t>Yearly Fixed Amount to be Paid (Principal)</t>
  </si>
  <si>
    <t>Yearly Interes to be Paid</t>
  </si>
  <si>
    <t>Total Payment (Principal + Interest)</t>
  </si>
  <si>
    <t>Ending Principal Balance</t>
  </si>
  <si>
    <t>2014-15</t>
  </si>
  <si>
    <t>5= (3+4)</t>
  </si>
  <si>
    <t>6=(2-3)</t>
  </si>
  <si>
    <t>GoB</t>
  </si>
  <si>
    <t>Rev</t>
  </si>
  <si>
    <t>Cap</t>
  </si>
  <si>
    <t>2015-16</t>
  </si>
  <si>
    <t>Cum</t>
  </si>
  <si>
    <t>2016-17</t>
  </si>
  <si>
    <t>ADP</t>
  </si>
  <si>
    <t>2017-18</t>
  </si>
  <si>
    <t>July2016-Mar17</t>
  </si>
  <si>
    <t>Apr2017-June17</t>
  </si>
  <si>
    <t>Cumulative Progress Upto June 15, 2017(Year 1 + Year 2 +Part of Year 3) †</t>
  </si>
  <si>
    <t>FY:  June 16 to 30, 2017 of 2016-2017 (Remaining Part of Year-3)</t>
  </si>
  <si>
    <t>FY: 2017-2018 (Year-4)</t>
  </si>
  <si>
    <t>FY: 2018-2019 (Year-5)</t>
  </si>
  <si>
    <t>FY: 2020-2021 (Year-7)</t>
  </si>
  <si>
    <t>Agriculture Promotion Support Sub-project (APSS) : Field Programme, Farmer Training Programme, Field Staff Empowerment Programme, Farm Machinery &amp; Facility Support and Technology Development Programme.</t>
  </si>
  <si>
    <t>Small Scale Income Generation Sub-project (SIGS):  Floating Bed Vegetable Culture Scheme, Small-scale Vegetable Production Support Scheme, Fruit Production Support Scheme, Micro Poultry Raising Scheme and Small-scale Mushroom Culture Scheme.</t>
  </si>
  <si>
    <t>Compensation (Crop etc.)</t>
  </si>
  <si>
    <t>Jeep (above 2500 c.c. made by Pragati) -1 No.for Project Director, PMO and Jeep (2200 c.c. to 2500 c.c. made by Pragati) (4 Wheel Drive) -8 Nos.  (PMO 2 Nos., Kishoreganj 1 No., Netrokona 1 No., Sunamganj 1 No., Habiganj 1 No., Brahmanbaria 1 No.&amp; Deputy Chief(Extension Officer) 1 No.)</t>
  </si>
  <si>
    <t>2 nos</t>
  </si>
  <si>
    <t>26 nos</t>
  </si>
  <si>
    <t>9 nos.</t>
  </si>
  <si>
    <t>Speed Boat with Engine and all accessories (75 hp &amp; 5 Nos.)</t>
  </si>
  <si>
    <t>Engineering Laboratory Equipment 33 Nos.</t>
  </si>
  <si>
    <t>33 nos.</t>
  </si>
  <si>
    <t xml:space="preserve">A3 Combo Printer 1 no ( PMO) </t>
  </si>
  <si>
    <t>Laser Printer- 7 nos. (PMO 2 Nos.,Kishoreganj 1 No., Netrokona 1 No., Sunamganj 1 No., Habiganj 1No.&amp; Brahmanbaria 1 No.)</t>
  </si>
  <si>
    <t xml:space="preserve"> Re-installation/Construction of Regulator (Rehabilitation Haors)</t>
  </si>
  <si>
    <t xml:space="preserve"> Installation/Construction of New Regulators/Causeway/Bridge (New Haors)</t>
  </si>
  <si>
    <t xml:space="preserve"> Re-excavation of Khal/River (New Haors) </t>
  </si>
  <si>
    <t>Construction of Pipe Sluice/Culvert (New Haors)</t>
  </si>
  <si>
    <t xml:space="preserve"> Re-excavation of Khal/River (Rehabilitation Haors) </t>
  </si>
  <si>
    <t xml:space="preserve"> Rehabilitation of Full Embankment (Rehabilitation Haors)</t>
  </si>
  <si>
    <t xml:space="preserve"> Rehabilitation of Submergible Embankment (Rehabilitation Haors)</t>
  </si>
  <si>
    <t>Construction of Submersible Embankment (New Haors)</t>
  </si>
  <si>
    <t>Rehab./Construction of Closure (New Haors)</t>
  </si>
  <si>
    <t>Motorcycle - 45 Nos. (PMO 2 Nos.,Kishoreganj 11 Nos., Netrokona 6 Nos., Sunamganj 6 Nos., Habiganj 6 Nos.&amp; Brahmanbaria 4 Nos).</t>
  </si>
  <si>
    <t xml:space="preserve"> Re-excavation of Khal/River (New Haors) (Earth Volume: 68.97 Lakh cum)</t>
  </si>
  <si>
    <t xml:space="preserve"> Re-excavation of Khal/River (Rehabilitation Sub-Projects) (Earth Volume: 28.01 Lakh cum)</t>
  </si>
  <si>
    <t xml:space="preserve"> Rehabilitation of Submergible Embankment  (Resection/construction)  (Rehabilitation Sub-Projects) (Earth Volume: 7.43 lakh cum)</t>
  </si>
  <si>
    <t>Construction of Submersible Embankment (New Haors) (Earth Volume: 25.68 lakh cum)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</si>
</sst>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0"/>
    <numFmt numFmtId="165" formatCode="0.000"/>
    <numFmt numFmtId="166" formatCode="_(* #,##0.000_);_(* \(#,##0.000\);_(* &quot;-&quot;??_);_(@_)"/>
    <numFmt numFmtId="167" formatCode="0.0000000000000000"/>
  </numFmts>
  <fonts count="46"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u/>
      <sz val="10"/>
      <color indexed="12"/>
      <name val="Times New Roman"/>
      <family val="1"/>
    </font>
    <font>
      <b/>
      <sz val="9"/>
      <name val="Times New Roman"/>
      <family val="1"/>
    </font>
    <font>
      <sz val="14"/>
      <name val="Times New Roman"/>
      <family val="1"/>
    </font>
    <font>
      <b/>
      <sz val="16"/>
      <name val="Times New Roman"/>
      <family val="1"/>
    </font>
    <font>
      <sz val="10"/>
      <name val="Arial"/>
      <family val="2"/>
    </font>
    <font>
      <sz val="12"/>
      <name val="MS Sans Serif"/>
      <family val="2"/>
    </font>
    <font>
      <sz val="10"/>
      <name val="MS Sans Serif"/>
      <family val="2"/>
    </font>
    <font>
      <b/>
      <sz val="12"/>
      <name val="MS Sans Serif"/>
      <family val="2"/>
    </font>
    <font>
      <b/>
      <u/>
      <sz val="10"/>
      <name val="MS Sans Serif"/>
      <family val="2"/>
    </font>
    <font>
      <u/>
      <sz val="10"/>
      <name val="MS Sans Serif"/>
      <family val="2"/>
    </font>
    <font>
      <sz val="9"/>
      <name val="MS Sans Serif"/>
      <family val="2"/>
    </font>
    <font>
      <sz val="10"/>
      <color indexed="10"/>
      <name val="MS Sans Serif"/>
      <family val="2"/>
    </font>
    <font>
      <b/>
      <sz val="10"/>
      <name val="MS Sans Serif"/>
      <family val="2"/>
    </font>
    <font>
      <b/>
      <sz val="10"/>
      <name val="MS Sans Serif"/>
      <family val="2"/>
    </font>
    <font>
      <b/>
      <u/>
      <sz val="10"/>
      <name val="MS Sans Serif"/>
      <family val="2"/>
    </font>
    <font>
      <b/>
      <u/>
      <sz val="18"/>
      <name val="MS Sans Serif"/>
      <family val="2"/>
    </font>
    <font>
      <b/>
      <u/>
      <sz val="18"/>
      <name val="Times New Roman"/>
      <family val="1"/>
    </font>
    <font>
      <sz val="11"/>
      <color indexed="8"/>
      <name val="Calibri"/>
      <family val="3"/>
      <charset val="128"/>
    </font>
    <font>
      <b/>
      <sz val="8"/>
      <name val="Times New Roman"/>
      <family val="1"/>
    </font>
    <font>
      <sz val="13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b/>
      <sz val="20"/>
      <name val="Times New Roman"/>
      <family val="1"/>
    </font>
    <font>
      <sz val="20"/>
      <name val="Times New Roman"/>
      <family val="1"/>
    </font>
    <font>
      <sz val="9"/>
      <name val="Times New Roman"/>
      <family val="1"/>
    </font>
    <font>
      <b/>
      <sz val="18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b/>
      <sz val="5"/>
      <name val="Times New Roman"/>
      <family val="1"/>
    </font>
    <font>
      <b/>
      <sz val="10"/>
      <name val="Arial"/>
      <family val="2"/>
    </font>
    <font>
      <sz val="9.5"/>
      <name val="Times New Roman"/>
      <family val="1"/>
    </font>
    <font>
      <sz val="8.5"/>
      <name val="Times New Roman"/>
      <family val="1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sz val="2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2" fillId="0" borderId="0"/>
    <xf numFmtId="0" fontId="8" fillId="0" borderId="0">
      <alignment vertical="top"/>
      <protection locked="0"/>
    </xf>
    <xf numFmtId="0" fontId="12" fillId="0" borderId="0"/>
    <xf numFmtId="0" fontId="12" fillId="0" borderId="0"/>
    <xf numFmtId="0" fontId="14" fillId="0" borderId="0"/>
    <xf numFmtId="0" fontId="12" fillId="0" borderId="0"/>
    <xf numFmtId="0" fontId="25" fillId="0" borderId="0">
      <alignment vertical="center"/>
    </xf>
    <xf numFmtId="0" fontId="25" fillId="0" borderId="0">
      <alignment vertical="center"/>
    </xf>
  </cellStyleXfs>
  <cellXfs count="738">
    <xf numFmtId="0" fontId="0" fillId="0" borderId="0" xfId="0"/>
    <xf numFmtId="1" fontId="0" fillId="0" borderId="1" xfId="0" applyNumberFormat="1" applyBorder="1" applyAlignment="1">
      <alignment horizontal="center" vertical="top"/>
    </xf>
    <xf numFmtId="1" fontId="0" fillId="0" borderId="2" xfId="0" applyNumberFormat="1" applyBorder="1" applyAlignment="1">
      <alignment horizontal="center" vertical="top"/>
    </xf>
    <xf numFmtId="1" fontId="0" fillId="0" borderId="3" xfId="0" applyNumberFormat="1" applyBorder="1" applyAlignment="1">
      <alignment horizontal="center" vertical="top" wrapText="1"/>
    </xf>
    <xf numFmtId="1" fontId="0" fillId="0" borderId="4" xfId="0" applyNumberFormat="1" applyBorder="1" applyAlignment="1">
      <alignment horizontal="right"/>
    </xf>
    <xf numFmtId="2" fontId="0" fillId="0" borderId="5" xfId="0" applyNumberFormat="1" applyBorder="1" applyAlignment="1">
      <alignment horizontal="right"/>
    </xf>
    <xf numFmtId="2" fontId="0" fillId="0" borderId="6" xfId="0" applyNumberFormat="1" applyBorder="1" applyAlignment="1">
      <alignment horizontal="right"/>
    </xf>
    <xf numFmtId="1" fontId="0" fillId="0" borderId="7" xfId="0" applyNumberFormat="1" applyBorder="1" applyAlignment="1">
      <alignment horizontal="right"/>
    </xf>
    <xf numFmtId="2" fontId="0" fillId="0" borderId="8" xfId="2" applyNumberFormat="1" applyFont="1" applyBorder="1" applyAlignment="1" applyProtection="1">
      <alignment horizontal="right"/>
    </xf>
    <xf numFmtId="1" fontId="0" fillId="0" borderId="9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1" fontId="0" fillId="0" borderId="12" xfId="0" applyNumberFormat="1" applyBorder="1"/>
    <xf numFmtId="1" fontId="0" fillId="0" borderId="0" xfId="0" applyNumberFormat="1"/>
    <xf numFmtId="40" fontId="0" fillId="0" borderId="0" xfId="0" applyNumberFormat="1"/>
    <xf numFmtId="10" fontId="0" fillId="0" borderId="0" xfId="0" applyNumberFormat="1"/>
    <xf numFmtId="2" fontId="0" fillId="0" borderId="0" xfId="0" applyNumberFormat="1"/>
    <xf numFmtId="10" fontId="0" fillId="0" borderId="13" xfId="0" applyNumberFormat="1" applyBorder="1"/>
    <xf numFmtId="0" fontId="1" fillId="0" borderId="0" xfId="0" applyFont="1" applyAlignment="1">
      <alignment horizontal="center" vertical="center" wrapText="1"/>
    </xf>
    <xf numFmtId="1" fontId="0" fillId="0" borderId="2" xfId="0" applyNumberFormat="1" applyBorder="1" applyAlignment="1">
      <alignment horizontal="center" vertical="top" wrapText="1"/>
    </xf>
    <xf numFmtId="2" fontId="0" fillId="0" borderId="8" xfId="0" applyNumberFormat="1" applyBorder="1" applyAlignment="1">
      <alignment horizontal="right"/>
    </xf>
    <xf numFmtId="0" fontId="5" fillId="0" borderId="8" xfId="0" applyFont="1" applyBorder="1" applyAlignment="1" applyProtection="1">
      <alignment vertical="center"/>
      <protection locked="0"/>
    </xf>
    <xf numFmtId="2" fontId="5" fillId="0" borderId="8" xfId="0" applyNumberFormat="1" applyFont="1" applyBorder="1" applyAlignment="1" applyProtection="1">
      <alignment vertical="center"/>
      <protection locked="0"/>
    </xf>
    <xf numFmtId="2" fontId="5" fillId="0" borderId="8" xfId="0" applyNumberFormat="1" applyFont="1" applyBorder="1" applyAlignment="1">
      <alignment vertical="center"/>
    </xf>
    <xf numFmtId="0" fontId="5" fillId="0" borderId="8" xfId="0" applyFont="1" applyBorder="1" applyAlignment="1">
      <alignment horizontal="left" vertical="center" wrapText="1"/>
    </xf>
    <xf numFmtId="0" fontId="3" fillId="0" borderId="0" xfId="0" applyFont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5" fillId="0" borderId="15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2" fontId="2" fillId="0" borderId="16" xfId="0" applyNumberFormat="1" applyFont="1" applyBorder="1" applyAlignment="1">
      <alignment vertical="center"/>
    </xf>
    <xf numFmtId="0" fontId="0" fillId="0" borderId="13" xfId="0" applyBorder="1"/>
    <xf numFmtId="2" fontId="0" fillId="0" borderId="13" xfId="0" applyNumberFormat="1" applyBorder="1"/>
    <xf numFmtId="0" fontId="6" fillId="0" borderId="8" xfId="0" applyFont="1" applyBorder="1" applyAlignment="1">
      <alignment horizontal="left" vertical="center" wrapText="1"/>
    </xf>
    <xf numFmtId="2" fontId="13" fillId="0" borderId="0" xfId="5" applyNumberFormat="1" applyFont="1" applyAlignment="1">
      <alignment horizontal="center"/>
    </xf>
    <xf numFmtId="0" fontId="13" fillId="0" borderId="0" xfId="5" applyFont="1"/>
    <xf numFmtId="2" fontId="13" fillId="0" borderId="0" xfId="5" applyNumberFormat="1" applyFont="1" applyAlignment="1">
      <alignment horizontal="left"/>
    </xf>
    <xf numFmtId="2" fontId="15" fillId="0" borderId="0" xfId="5" applyNumberFormat="1" applyFont="1" applyAlignment="1">
      <alignment horizontal="center"/>
    </xf>
    <xf numFmtId="0" fontId="13" fillId="0" borderId="0" xfId="5" applyFont="1" applyAlignment="1">
      <alignment horizontal="center"/>
    </xf>
    <xf numFmtId="2" fontId="16" fillId="0" borderId="0" xfId="5" applyNumberFormat="1" applyFont="1" applyAlignment="1">
      <alignment horizontal="left"/>
    </xf>
    <xf numFmtId="2" fontId="17" fillId="0" borderId="0" xfId="5" applyNumberFormat="1" applyFont="1" applyAlignment="1">
      <alignment horizontal="left"/>
    </xf>
    <xf numFmtId="2" fontId="17" fillId="0" borderId="0" xfId="5" applyNumberFormat="1" applyFont="1" applyAlignment="1">
      <alignment horizontal="center"/>
    </xf>
    <xf numFmtId="2" fontId="18" fillId="0" borderId="14" xfId="5" applyNumberFormat="1" applyFont="1" applyBorder="1" applyAlignment="1">
      <alignment horizontal="center"/>
    </xf>
    <xf numFmtId="2" fontId="18" fillId="0" borderId="17" xfId="5" applyNumberFormat="1" applyFont="1" applyBorder="1" applyAlignment="1">
      <alignment horizontal="left"/>
    </xf>
    <xf numFmtId="2" fontId="18" fillId="0" borderId="18" xfId="5" applyNumberFormat="1" applyFont="1" applyBorder="1" applyAlignment="1">
      <alignment horizontal="left"/>
    </xf>
    <xf numFmtId="2" fontId="14" fillId="0" borderId="17" xfId="5" applyNumberFormat="1" applyBorder="1" applyAlignment="1">
      <alignment horizontal="center"/>
    </xf>
    <xf numFmtId="2" fontId="18" fillId="0" borderId="19" xfId="5" applyNumberFormat="1" applyFont="1" applyBorder="1" applyAlignment="1">
      <alignment horizontal="center"/>
    </xf>
    <xf numFmtId="2" fontId="18" fillId="0" borderId="17" xfId="5" applyNumberFormat="1" applyFont="1" applyBorder="1" applyAlignment="1">
      <alignment horizontal="center"/>
    </xf>
    <xf numFmtId="1" fontId="14" fillId="0" borderId="0" xfId="5" applyNumberFormat="1" applyAlignment="1">
      <alignment horizontal="center"/>
    </xf>
    <xf numFmtId="1" fontId="19" fillId="0" borderId="0" xfId="5" applyNumberFormat="1" applyFont="1" applyAlignment="1">
      <alignment horizontal="center"/>
    </xf>
    <xf numFmtId="2" fontId="19" fillId="0" borderId="0" xfId="5" applyNumberFormat="1" applyFont="1" applyAlignment="1">
      <alignment horizontal="center"/>
    </xf>
    <xf numFmtId="2" fontId="20" fillId="0" borderId="14" xfId="5" applyNumberFormat="1" applyFont="1" applyBorder="1" applyAlignment="1">
      <alignment horizontal="left"/>
    </xf>
    <xf numFmtId="1" fontId="14" fillId="0" borderId="14" xfId="5" applyNumberFormat="1" applyBorder="1" applyAlignment="1">
      <alignment horizontal="center"/>
    </xf>
    <xf numFmtId="2" fontId="14" fillId="0" borderId="14" xfId="5" applyNumberFormat="1" applyBorder="1" applyAlignment="1">
      <alignment horizontal="center"/>
    </xf>
    <xf numFmtId="9" fontId="14" fillId="0" borderId="0" xfId="6" applyNumberFormat="1" applyFont="1" applyAlignment="1">
      <alignment horizontal="center"/>
    </xf>
    <xf numFmtId="2" fontId="18" fillId="0" borderId="20" xfId="5" applyNumberFormat="1" applyFont="1" applyBorder="1" applyAlignment="1">
      <alignment horizontal="center"/>
    </xf>
    <xf numFmtId="2" fontId="14" fillId="0" borderId="20" xfId="5" applyNumberFormat="1" applyBorder="1" applyAlignment="1">
      <alignment horizontal="center"/>
    </xf>
    <xf numFmtId="2" fontId="14" fillId="0" borderId="21" xfId="5" applyNumberFormat="1" applyBorder="1" applyAlignment="1">
      <alignment horizontal="center"/>
    </xf>
    <xf numFmtId="2" fontId="18" fillId="0" borderId="16" xfId="5" applyNumberFormat="1" applyFont="1" applyBorder="1" applyAlignment="1">
      <alignment horizontal="center"/>
    </xf>
    <xf numFmtId="2" fontId="21" fillId="0" borderId="0" xfId="5" applyNumberFormat="1" applyFont="1" applyAlignment="1">
      <alignment horizontal="left"/>
    </xf>
    <xf numFmtId="2" fontId="14" fillId="0" borderId="0" xfId="5" quotePrefix="1" applyNumberFormat="1" applyAlignment="1">
      <alignment horizontal="center"/>
    </xf>
    <xf numFmtId="0" fontId="14" fillId="0" borderId="0" xfId="5" applyAlignment="1">
      <alignment horizontal="center"/>
    </xf>
    <xf numFmtId="2" fontId="22" fillId="0" borderId="0" xfId="5" applyNumberFormat="1" applyFont="1" applyAlignment="1">
      <alignment horizontal="left"/>
    </xf>
    <xf numFmtId="2" fontId="14" fillId="0" borderId="18" xfId="5" applyNumberFormat="1" applyBorder="1" applyAlignment="1">
      <alignment horizontal="center"/>
    </xf>
    <xf numFmtId="2" fontId="18" fillId="0" borderId="21" xfId="5" applyNumberFormat="1" applyFont="1" applyBorder="1" applyAlignment="1">
      <alignment horizontal="center"/>
    </xf>
    <xf numFmtId="2" fontId="23" fillId="0" borderId="0" xfId="5" applyNumberFormat="1" applyFont="1" applyAlignment="1">
      <alignment horizontal="center"/>
    </xf>
    <xf numFmtId="2" fontId="20" fillId="0" borderId="0" xfId="5" applyNumberFormat="1" applyFont="1" applyAlignment="1">
      <alignment horizontal="center"/>
    </xf>
    <xf numFmtId="2" fontId="16" fillId="0" borderId="0" xfId="5" applyNumberFormat="1" applyFont="1" applyAlignment="1">
      <alignment horizontal="center"/>
    </xf>
    <xf numFmtId="2" fontId="14" fillId="0" borderId="19" xfId="5" applyNumberFormat="1" applyBorder="1" applyAlignment="1">
      <alignment horizontal="center"/>
    </xf>
    <xf numFmtId="2" fontId="14" fillId="0" borderId="16" xfId="5" applyNumberFormat="1" applyBorder="1" applyAlignment="1">
      <alignment horizontal="center"/>
    </xf>
    <xf numFmtId="0" fontId="14" fillId="0" borderId="0" xfId="5" quotePrefix="1" applyAlignment="1">
      <alignment horizontal="center"/>
    </xf>
    <xf numFmtId="0" fontId="14" fillId="0" borderId="21" xfId="5" applyBorder="1" applyAlignment="1">
      <alignment horizontal="center"/>
    </xf>
    <xf numFmtId="2" fontId="14" fillId="0" borderId="0" xfId="5" applyNumberFormat="1" applyAlignment="1">
      <alignment horizontal="left"/>
    </xf>
    <xf numFmtId="0" fontId="14" fillId="0" borderId="21" xfId="5" applyBorder="1"/>
    <xf numFmtId="0" fontId="14" fillId="0" borderId="0" xfId="5"/>
    <xf numFmtId="2" fontId="14" fillId="0" borderId="22" xfId="5" applyNumberFormat="1" applyBorder="1"/>
    <xf numFmtId="0" fontId="14" fillId="0" borderId="23" xfId="5" applyBorder="1"/>
    <xf numFmtId="2" fontId="14" fillId="0" borderId="24" xfId="5" applyNumberFormat="1" applyBorder="1" applyAlignment="1">
      <alignment horizontal="center"/>
    </xf>
    <xf numFmtId="2" fontId="14" fillId="0" borderId="23" xfId="5" applyNumberFormat="1" applyBorder="1" applyAlignment="1">
      <alignment horizontal="center"/>
    </xf>
    <xf numFmtId="2" fontId="14" fillId="0" borderId="16" xfId="5" applyNumberFormat="1" applyBorder="1" applyAlignment="1">
      <alignment horizontal="left"/>
    </xf>
    <xf numFmtId="2" fontId="20" fillId="0" borderId="0" xfId="5" applyNumberFormat="1" applyFont="1" applyAlignment="1">
      <alignment horizontal="left"/>
    </xf>
    <xf numFmtId="2" fontId="14" fillId="0" borderId="0" xfId="5" applyNumberFormat="1"/>
    <xf numFmtId="2" fontId="21" fillId="0" borderId="0" xfId="5" applyNumberFormat="1" applyFont="1" applyAlignment="1">
      <alignment horizontal="center"/>
    </xf>
    <xf numFmtId="0" fontId="27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1" fillId="0" borderId="0" xfId="3" applyFont="1" applyAlignment="1" applyProtection="1">
      <alignment vertical="center"/>
      <protection locked="0"/>
    </xf>
    <xf numFmtId="0" fontId="28" fillId="0" borderId="0" xfId="4" applyFont="1" applyAlignment="1">
      <alignment horizontal="center"/>
    </xf>
    <xf numFmtId="0" fontId="28" fillId="0" borderId="0" xfId="4" applyFont="1" applyAlignment="1">
      <alignment horizontal="right"/>
    </xf>
    <xf numFmtId="4" fontId="1" fillId="0" borderId="0" xfId="3" applyNumberFormat="1" applyFont="1" applyAlignment="1" applyProtection="1">
      <alignment horizontal="center" vertical="center"/>
      <protection locked="0"/>
    </xf>
    <xf numFmtId="4" fontId="1" fillId="0" borderId="0" xfId="0" applyNumberFormat="1" applyFont="1" applyAlignment="1" applyProtection="1">
      <alignment vertical="center"/>
      <protection locked="0"/>
    </xf>
    <xf numFmtId="0" fontId="5" fillId="0" borderId="8" xfId="0" applyFont="1" applyBorder="1" applyAlignment="1">
      <alignment horizontal="right" vertical="center" wrapText="1"/>
    </xf>
    <xf numFmtId="0" fontId="0" fillId="0" borderId="8" xfId="0" applyBorder="1" applyAlignment="1">
      <alignment horizontal="right" vertical="center" wrapText="1"/>
    </xf>
    <xf numFmtId="0" fontId="5" fillId="0" borderId="8" xfId="0" applyFont="1" applyBorder="1" applyAlignment="1">
      <alignment horizontal="left" vertical="top" wrapText="1"/>
    </xf>
    <xf numFmtId="2" fontId="6" fillId="0" borderId="0" xfId="0" applyNumberFormat="1" applyFont="1" applyAlignment="1">
      <alignment vertical="center"/>
    </xf>
    <xf numFmtId="0" fontId="0" fillId="0" borderId="25" xfId="0" applyBorder="1" applyAlignment="1">
      <alignment horizontal="right" vertical="center" wrapText="1"/>
    </xf>
    <xf numFmtId="0" fontId="4" fillId="0" borderId="8" xfId="0" applyFont="1" applyBorder="1" applyAlignment="1" applyProtection="1">
      <alignment horizontal="justify" vertical="top" wrapText="1"/>
      <protection locked="0"/>
    </xf>
    <xf numFmtId="0" fontId="3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right" vertical="center" wrapText="1"/>
    </xf>
    <xf numFmtId="0" fontId="5" fillId="0" borderId="5" xfId="0" applyFont="1" applyBorder="1" applyAlignment="1">
      <alignment horizontal="right" vertical="center" wrapText="1"/>
    </xf>
    <xf numFmtId="0" fontId="0" fillId="0" borderId="25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5" fillId="0" borderId="25" xfId="0" applyFont="1" applyBorder="1" applyAlignment="1">
      <alignment vertical="top" wrapText="1"/>
    </xf>
    <xf numFmtId="0" fontId="5" fillId="0" borderId="15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4" fillId="0" borderId="25" xfId="0" applyFont="1" applyBorder="1" applyAlignment="1" applyProtection="1">
      <alignment vertical="top"/>
      <protection locked="0"/>
    </xf>
    <xf numFmtId="0" fontId="2" fillId="0" borderId="18" xfId="0" applyFont="1" applyBorder="1" applyAlignment="1" applyProtection="1">
      <alignment vertical="top" wrapText="1"/>
      <protection locked="0"/>
    </xf>
    <xf numFmtId="0" fontId="4" fillId="0" borderId="15" xfId="0" applyFont="1" applyBorder="1" applyAlignment="1" applyProtection="1">
      <alignment vertical="top"/>
      <protection locked="0"/>
    </xf>
    <xf numFmtId="0" fontId="4" fillId="0" borderId="5" xfId="0" applyFont="1" applyBorder="1" applyAlignment="1" applyProtection="1">
      <alignment vertical="top"/>
      <protection locked="0"/>
    </xf>
    <xf numFmtId="0" fontId="2" fillId="0" borderId="25" xfId="0" applyFont="1" applyBorder="1" applyAlignment="1" applyProtection="1">
      <alignment vertical="top"/>
      <protection locked="0"/>
    </xf>
    <xf numFmtId="0" fontId="2" fillId="0" borderId="15" xfId="0" applyFont="1" applyBorder="1" applyAlignment="1" applyProtection="1">
      <alignment vertical="top"/>
      <protection locked="0"/>
    </xf>
    <xf numFmtId="0" fontId="4" fillId="0" borderId="25" xfId="0" applyFont="1" applyBorder="1" applyAlignment="1" applyProtection="1">
      <alignment vertical="top" wrapText="1"/>
      <protection locked="0"/>
    </xf>
    <xf numFmtId="0" fontId="4" fillId="0" borderId="15" xfId="0" applyFont="1" applyBorder="1" applyAlignment="1" applyProtection="1">
      <alignment vertical="top" wrapText="1"/>
      <protection locked="0"/>
    </xf>
    <xf numFmtId="0" fontId="4" fillId="0" borderId="5" xfId="0" applyFont="1" applyBorder="1" applyAlignment="1" applyProtection="1">
      <alignment vertical="top" wrapText="1"/>
      <protection locked="0"/>
    </xf>
    <xf numFmtId="0" fontId="2" fillId="0" borderId="5" xfId="0" applyFont="1" applyBorder="1" applyAlignment="1" applyProtection="1">
      <alignment vertical="top"/>
      <protection locked="0"/>
    </xf>
    <xf numFmtId="4" fontId="4" fillId="0" borderId="25" xfId="0" applyNumberFormat="1" applyFont="1" applyBorder="1" applyAlignment="1" applyProtection="1">
      <alignment vertical="center"/>
      <protection locked="0"/>
    </xf>
    <xf numFmtId="0" fontId="5" fillId="0" borderId="25" xfId="0" applyFont="1" applyBorder="1" applyAlignment="1">
      <alignment horizontal="right" vertical="center" wrapText="1"/>
    </xf>
    <xf numFmtId="0" fontId="5" fillId="0" borderId="15" xfId="0" applyFont="1" applyBorder="1" applyAlignment="1">
      <alignment horizontal="right" vertical="center" wrapText="1"/>
    </xf>
    <xf numFmtId="0" fontId="32" fillId="0" borderId="8" xfId="0" applyFont="1" applyBorder="1" applyAlignment="1">
      <alignment vertical="center"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vertical="center" wrapText="1"/>
    </xf>
    <xf numFmtId="2" fontId="32" fillId="0" borderId="0" xfId="0" applyNumberFormat="1" applyFont="1" applyAlignment="1" applyProtection="1">
      <alignment vertical="center"/>
      <protection locked="0"/>
    </xf>
    <xf numFmtId="0" fontId="9" fillId="0" borderId="16" xfId="0" applyFont="1" applyBorder="1" applyAlignment="1">
      <alignment vertical="center"/>
    </xf>
    <xf numFmtId="0" fontId="9" fillId="0" borderId="16" xfId="0" applyFont="1" applyBorder="1" applyAlignment="1">
      <alignment horizontal="right" vertical="center"/>
    </xf>
    <xf numFmtId="0" fontId="9" fillId="0" borderId="18" xfId="0" applyFont="1" applyBorder="1" applyAlignment="1" applyProtection="1">
      <alignment vertical="center"/>
      <protection locked="0"/>
    </xf>
    <xf numFmtId="0" fontId="9" fillId="0" borderId="17" xfId="0" applyFont="1" applyBorder="1" applyAlignment="1" applyProtection="1">
      <alignment vertical="center"/>
      <protection locked="0"/>
    </xf>
    <xf numFmtId="0" fontId="9" fillId="0" borderId="14" xfId="0" applyFont="1" applyBorder="1" applyAlignment="1" applyProtection="1">
      <alignment vertical="center" wrapText="1"/>
      <protection locked="0"/>
    </xf>
    <xf numFmtId="0" fontId="32" fillId="0" borderId="8" xfId="0" applyFont="1" applyBorder="1" applyAlignment="1">
      <alignment horizontal="center" vertical="center"/>
    </xf>
    <xf numFmtId="0" fontId="32" fillId="0" borderId="15" xfId="0" applyFont="1" applyBorder="1" applyAlignment="1">
      <alignment vertical="center"/>
    </xf>
    <xf numFmtId="0" fontId="9" fillId="0" borderId="8" xfId="0" applyFont="1" applyBorder="1" applyAlignment="1">
      <alignment vertical="center" wrapText="1"/>
    </xf>
    <xf numFmtId="0" fontId="32" fillId="0" borderId="8" xfId="0" applyFont="1" applyBorder="1" applyAlignment="1">
      <alignment horizontal="right" vertical="center"/>
    </xf>
    <xf numFmtId="0" fontId="9" fillId="0" borderId="5" xfId="0" applyFont="1" applyBorder="1" applyAlignment="1">
      <alignment vertical="center" wrapText="1"/>
    </xf>
    <xf numFmtId="0" fontId="32" fillId="0" borderId="8" xfId="0" applyFont="1" applyBorder="1" applyAlignment="1">
      <alignment horizontal="justify" vertical="justify" wrapText="1"/>
    </xf>
    <xf numFmtId="0" fontId="9" fillId="0" borderId="0" xfId="0" applyFont="1" applyAlignment="1" applyProtection="1">
      <alignment vertical="center"/>
      <protection locked="0"/>
    </xf>
    <xf numFmtId="0" fontId="9" fillId="0" borderId="17" xfId="0" applyFont="1" applyBorder="1" applyAlignment="1" applyProtection="1">
      <alignment vertical="center" wrapText="1"/>
      <protection locked="0"/>
    </xf>
    <xf numFmtId="0" fontId="6" fillId="0" borderId="17" xfId="0" applyFont="1" applyBorder="1" applyAlignment="1" applyProtection="1">
      <alignment vertical="center"/>
      <protection locked="0"/>
    </xf>
    <xf numFmtId="0" fontId="6" fillId="0" borderId="14" xfId="0" applyFont="1" applyBorder="1" applyAlignment="1" applyProtection="1">
      <alignment vertical="center"/>
      <protection locked="0"/>
    </xf>
    <xf numFmtId="0" fontId="6" fillId="0" borderId="18" xfId="0" applyFont="1" applyBorder="1" applyAlignment="1" applyProtection="1">
      <alignment vertical="center"/>
      <protection locked="0"/>
    </xf>
    <xf numFmtId="0" fontId="3" fillId="0" borderId="17" xfId="0" applyFont="1" applyBorder="1" applyAlignment="1">
      <alignment horizontal="right" vertical="center"/>
    </xf>
    <xf numFmtId="0" fontId="3" fillId="0" borderId="8" xfId="0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right" vertical="center"/>
    </xf>
    <xf numFmtId="0" fontId="6" fillId="0" borderId="8" xfId="0" applyFont="1" applyBorder="1" applyAlignment="1" applyProtection="1">
      <alignment vertical="center"/>
      <protection locked="0"/>
    </xf>
    <xf numFmtId="2" fontId="6" fillId="0" borderId="8" xfId="0" applyNumberFormat="1" applyFont="1" applyBorder="1" applyAlignment="1">
      <alignment vertical="center"/>
    </xf>
    <xf numFmtId="2" fontId="26" fillId="0" borderId="8" xfId="0" applyNumberFormat="1" applyFont="1" applyBorder="1" applyAlignment="1">
      <alignment horizontal="center" vertical="center" wrapText="1"/>
    </xf>
    <xf numFmtId="0" fontId="4" fillId="0" borderId="5" xfId="0" applyFont="1" applyBorder="1" applyAlignment="1" applyProtection="1">
      <alignment horizontal="left" vertical="top" wrapText="1"/>
      <protection locked="0"/>
    </xf>
    <xf numFmtId="4" fontId="4" fillId="0" borderId="7" xfId="0" applyNumberFormat="1" applyFont="1" applyBorder="1" applyAlignment="1" applyProtection="1">
      <alignment vertical="top"/>
      <protection locked="0"/>
    </xf>
    <xf numFmtId="0" fontId="4" fillId="0" borderId="5" xfId="0" applyFont="1" applyBorder="1" applyAlignment="1" applyProtection="1">
      <alignment vertical="center" wrapText="1"/>
      <protection locked="0"/>
    </xf>
    <xf numFmtId="4" fontId="4" fillId="0" borderId="4" xfId="0" applyNumberFormat="1" applyFont="1" applyBorder="1" applyAlignment="1" applyProtection="1">
      <alignment horizontal="right" vertical="center"/>
      <protection locked="0"/>
    </xf>
    <xf numFmtId="4" fontId="2" fillId="0" borderId="27" xfId="0" applyNumberFormat="1" applyFont="1" applyBorder="1" applyAlignment="1" applyProtection="1">
      <alignment vertical="center"/>
      <protection locked="0"/>
    </xf>
    <xf numFmtId="0" fontId="0" fillId="0" borderId="17" xfId="0" applyBorder="1" applyAlignment="1" applyProtection="1">
      <alignment vertical="top"/>
      <protection locked="0"/>
    </xf>
    <xf numFmtId="4" fontId="0" fillId="0" borderId="0" xfId="0" applyNumberFormat="1" applyAlignment="1" applyProtection="1">
      <alignment vertical="center"/>
      <protection locked="0"/>
    </xf>
    <xf numFmtId="4" fontId="0" fillId="0" borderId="8" xfId="0" applyNumberFormat="1" applyBorder="1" applyAlignment="1" applyProtection="1">
      <alignment vertical="center"/>
      <protection locked="0"/>
    </xf>
    <xf numFmtId="0" fontId="4" fillId="0" borderId="8" xfId="0" applyFont="1" applyBorder="1" applyAlignment="1" applyProtection="1">
      <alignment vertical="center"/>
      <protection locked="0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 applyProtection="1">
      <alignment horizontal="justify" vertical="top" wrapText="1"/>
      <protection locked="0"/>
    </xf>
    <xf numFmtId="0" fontId="3" fillId="0" borderId="25" xfId="0" applyFont="1" applyBorder="1" applyAlignment="1" applyProtection="1">
      <alignment vertical="top" wrapText="1"/>
      <protection locked="0"/>
    </xf>
    <xf numFmtId="0" fontId="6" fillId="0" borderId="25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20" xfId="0" applyFont="1" applyBorder="1" applyAlignment="1" applyProtection="1">
      <alignment horizontal="right" vertical="center"/>
      <protection locked="0"/>
    </xf>
    <xf numFmtId="0" fontId="6" fillId="0" borderId="19" xfId="0" applyFont="1" applyBorder="1" applyAlignment="1" applyProtection="1">
      <alignment horizontal="right" vertical="center" wrapText="1"/>
      <protection locked="0"/>
    </xf>
    <xf numFmtId="0" fontId="6" fillId="0" borderId="0" xfId="0" applyFont="1" applyProtection="1">
      <protection locked="0"/>
    </xf>
    <xf numFmtId="0" fontId="6" fillId="0" borderId="0" xfId="3" applyFont="1" applyAlignment="1" applyProtection="1">
      <alignment vertical="center"/>
      <protection locked="0"/>
    </xf>
    <xf numFmtId="4" fontId="6" fillId="0" borderId="0" xfId="3" applyNumberFormat="1" applyFont="1" applyAlignment="1" applyProtection="1">
      <alignment horizontal="center" vertical="center"/>
      <protection locked="0"/>
    </xf>
    <xf numFmtId="4" fontId="6" fillId="0" borderId="0" xfId="0" applyNumberFormat="1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2" fontId="28" fillId="0" borderId="0" xfId="4" applyNumberFormat="1" applyFont="1"/>
    <xf numFmtId="2" fontId="5" fillId="0" borderId="0" xfId="3" applyNumberFormat="1" applyFont="1" applyAlignment="1" applyProtection="1">
      <alignment vertical="center"/>
      <protection locked="0"/>
    </xf>
    <xf numFmtId="0" fontId="28" fillId="0" borderId="0" xfId="4" applyFont="1"/>
    <xf numFmtId="0" fontId="29" fillId="0" borderId="0" xfId="4" applyFont="1"/>
    <xf numFmtId="4" fontId="29" fillId="0" borderId="0" xfId="4" applyNumberFormat="1" applyFont="1"/>
    <xf numFmtId="0" fontId="5" fillId="0" borderId="0" xfId="0" applyFont="1" applyAlignment="1" applyProtection="1">
      <alignment horizontal="right"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2" fontId="3" fillId="0" borderId="0" xfId="0" applyNumberFormat="1" applyFont="1" applyAlignment="1" applyProtection="1">
      <alignment horizontal="right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2" fontId="5" fillId="0" borderId="0" xfId="0" applyNumberFormat="1" applyFont="1" applyAlignment="1" applyProtection="1">
      <alignment horizontal="right" vertical="center"/>
      <protection locked="0"/>
    </xf>
    <xf numFmtId="0" fontId="0" fillId="0" borderId="0" xfId="0" applyAlignment="1">
      <alignment vertical="center" wrapText="1"/>
    </xf>
    <xf numFmtId="2" fontId="5" fillId="0" borderId="0" xfId="0" applyNumberFormat="1" applyFont="1" applyAlignment="1" applyProtection="1">
      <alignment vertical="center"/>
      <protection locked="0"/>
    </xf>
    <xf numFmtId="2" fontId="6" fillId="0" borderId="0" xfId="0" applyNumberFormat="1" applyFont="1" applyAlignment="1" applyProtection="1">
      <alignment vertical="center"/>
      <protection locked="0"/>
    </xf>
    <xf numFmtId="4" fontId="4" fillId="0" borderId="7" xfId="0" applyNumberFormat="1" applyFont="1" applyBorder="1" applyAlignment="1" applyProtection="1">
      <alignment horizontal="right" vertical="top"/>
      <protection locked="0"/>
    </xf>
    <xf numFmtId="4" fontId="4" fillId="0" borderId="25" xfId="0" applyNumberFormat="1" applyFont="1" applyBorder="1" applyAlignment="1" applyProtection="1">
      <alignment horizontal="right" vertical="top"/>
      <protection locked="0"/>
    </xf>
    <xf numFmtId="0" fontId="0" fillId="0" borderId="14" xfId="0" applyBorder="1" applyAlignment="1" applyProtection="1">
      <alignment vertical="top"/>
      <protection locked="0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4" fillId="0" borderId="5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vertical="center"/>
    </xf>
    <xf numFmtId="0" fontId="26" fillId="0" borderId="8" xfId="0" applyFont="1" applyBorder="1" applyAlignment="1">
      <alignment horizontal="center" vertical="center" wrapText="1"/>
    </xf>
    <xf numFmtId="0" fontId="3" fillId="0" borderId="23" xfId="0" applyFont="1" applyBorder="1" applyAlignment="1" applyProtection="1">
      <alignment vertical="center"/>
      <protection locked="0"/>
    </xf>
    <xf numFmtId="2" fontId="0" fillId="0" borderId="8" xfId="0" applyNumberFormat="1" applyBorder="1" applyAlignment="1">
      <alignment vertical="center"/>
    </xf>
    <xf numFmtId="0" fontId="0" fillId="0" borderId="22" xfId="0" applyBorder="1" applyAlignment="1" applyProtection="1">
      <alignment vertical="center"/>
      <protection locked="0"/>
    </xf>
    <xf numFmtId="0" fontId="1" fillId="0" borderId="0" xfId="0" applyFont="1" applyProtection="1">
      <protection locked="0"/>
    </xf>
    <xf numFmtId="4" fontId="4" fillId="0" borderId="8" xfId="0" applyNumberFormat="1" applyFont="1" applyBorder="1" applyAlignment="1" applyProtection="1">
      <alignment horizontal="right" vertical="top"/>
      <protection locked="0"/>
    </xf>
    <xf numFmtId="4" fontId="4" fillId="0" borderId="8" xfId="0" applyNumberFormat="1" applyFont="1" applyBorder="1" applyAlignment="1" applyProtection="1">
      <alignment horizontal="right" vertical="top" wrapText="1"/>
      <protection locked="0"/>
    </xf>
    <xf numFmtId="4" fontId="4" fillId="0" borderId="5" xfId="0" applyNumberFormat="1" applyFont="1" applyBorder="1" applyAlignment="1" applyProtection="1">
      <alignment horizontal="right" vertical="top" wrapText="1"/>
      <protection locked="0"/>
    </xf>
    <xf numFmtId="4" fontId="4" fillId="0" borderId="8" xfId="0" applyNumberFormat="1" applyFont="1" applyBorder="1" applyAlignment="1" applyProtection="1">
      <alignment vertical="top"/>
      <protection locked="0"/>
    </xf>
    <xf numFmtId="4" fontId="4" fillId="0" borderId="28" xfId="0" applyNumberFormat="1" applyFont="1" applyBorder="1" applyAlignment="1" applyProtection="1">
      <alignment vertical="top"/>
      <protection locked="0"/>
    </xf>
    <xf numFmtId="4" fontId="4" fillId="0" borderId="5" xfId="0" applyNumberFormat="1" applyFont="1" applyBorder="1" applyAlignment="1" applyProtection="1">
      <alignment vertical="top"/>
      <protection locked="0"/>
    </xf>
    <xf numFmtId="4" fontId="4" fillId="0" borderId="7" xfId="0" applyNumberFormat="1" applyFont="1" applyBorder="1" applyAlignment="1" applyProtection="1">
      <alignment horizontal="right" vertical="center"/>
      <protection locked="0"/>
    </xf>
    <xf numFmtId="4" fontId="4" fillId="0" borderId="8" xfId="0" applyNumberFormat="1" applyFont="1" applyBorder="1" applyAlignment="1" applyProtection="1">
      <alignment horizontal="right" vertical="center"/>
      <protection locked="0"/>
    </xf>
    <xf numFmtId="4" fontId="4" fillId="0" borderId="25" xfId="0" applyNumberFormat="1" applyFont="1" applyBorder="1" applyAlignment="1" applyProtection="1">
      <alignment horizontal="right" vertical="center"/>
      <protection locked="0"/>
    </xf>
    <xf numFmtId="4" fontId="4" fillId="0" borderId="5" xfId="0" applyNumberFormat="1" applyFont="1" applyBorder="1" applyAlignment="1" applyProtection="1">
      <alignment horizontal="right" vertical="center"/>
      <protection locked="0"/>
    </xf>
    <xf numFmtId="4" fontId="2" fillId="0" borderId="29" xfId="0" applyNumberFormat="1" applyFont="1" applyBorder="1" applyAlignment="1" applyProtection="1">
      <alignment vertical="center"/>
      <protection locked="0"/>
    </xf>
    <xf numFmtId="4" fontId="2" fillId="0" borderId="5" xfId="0" applyNumberFormat="1" applyFont="1" applyBorder="1" applyAlignment="1" applyProtection="1">
      <alignment vertical="center"/>
      <protection locked="0"/>
    </xf>
    <xf numFmtId="4" fontId="2" fillId="0" borderId="6" xfId="0" applyNumberFormat="1" applyFont="1" applyBorder="1" applyAlignment="1" applyProtection="1">
      <alignment vertical="center"/>
      <protection locked="0"/>
    </xf>
    <xf numFmtId="4" fontId="4" fillId="0" borderId="5" xfId="0" applyNumberFormat="1" applyFont="1" applyBorder="1" applyAlignment="1" applyProtection="1">
      <alignment horizontal="right" vertical="top"/>
      <protection locked="0"/>
    </xf>
    <xf numFmtId="43" fontId="4" fillId="0" borderId="8" xfId="1" applyNumberFormat="1" applyFont="1" applyBorder="1" applyAlignment="1" applyProtection="1">
      <alignment vertical="center"/>
      <protection locked="0"/>
    </xf>
    <xf numFmtId="4" fontId="2" fillId="0" borderId="7" xfId="0" applyNumberFormat="1" applyFont="1" applyBorder="1" applyAlignment="1" applyProtection="1">
      <alignment horizontal="right" vertical="center"/>
      <protection locked="0"/>
    </xf>
    <xf numFmtId="4" fontId="2" fillId="0" borderId="8" xfId="0" applyNumberFormat="1" applyFont="1" applyBorder="1" applyAlignment="1" applyProtection="1">
      <alignment horizontal="right" vertical="center"/>
      <protection locked="0"/>
    </xf>
    <xf numFmtId="4" fontId="2" fillId="0" borderId="25" xfId="0" applyNumberFormat="1" applyFont="1" applyBorder="1" applyAlignment="1" applyProtection="1">
      <alignment horizontal="right" vertical="center"/>
      <protection locked="0"/>
    </xf>
    <xf numFmtId="4" fontId="2" fillId="0" borderId="28" xfId="0" applyNumberFormat="1" applyFont="1" applyBorder="1" applyAlignment="1" applyProtection="1">
      <alignment horizontal="right" vertical="center"/>
      <protection locked="0"/>
    </xf>
    <xf numFmtId="4" fontId="2" fillId="0" borderId="29" xfId="0" applyNumberFormat="1" applyFont="1" applyBorder="1" applyAlignment="1" applyProtection="1">
      <alignment horizontal="center" vertical="center"/>
      <protection locked="0"/>
    </xf>
    <xf numFmtId="4" fontId="4" fillId="0" borderId="8" xfId="0" applyNumberFormat="1" applyFont="1" applyBorder="1" applyAlignment="1" applyProtection="1">
      <alignment vertical="center"/>
      <protection locked="0"/>
    </xf>
    <xf numFmtId="4" fontId="4" fillId="0" borderId="5" xfId="0" applyNumberFormat="1" applyFont="1" applyBorder="1" applyAlignment="1" applyProtection="1">
      <alignment vertical="center"/>
      <protection locked="0"/>
    </xf>
    <xf numFmtId="4" fontId="2" fillId="0" borderId="5" xfId="0" applyNumberFormat="1" applyFont="1" applyBorder="1" applyAlignment="1" applyProtection="1">
      <alignment horizontal="right" vertical="center"/>
      <protection locked="0"/>
    </xf>
    <xf numFmtId="0" fontId="32" fillId="0" borderId="8" xfId="0" applyFont="1" applyBorder="1" applyAlignment="1" applyProtection="1">
      <alignment vertical="center" wrapText="1"/>
      <protection locked="0"/>
    </xf>
    <xf numFmtId="4" fontId="0" fillId="0" borderId="0" xfId="0" applyNumberFormat="1" applyAlignment="1" applyProtection="1">
      <alignment vertical="top"/>
      <protection locked="0"/>
    </xf>
    <xf numFmtId="4" fontId="5" fillId="0" borderId="0" xfId="0" applyNumberFormat="1" applyFont="1" applyAlignment="1" applyProtection="1">
      <alignment horizontal="right" vertical="center"/>
      <protection locked="0"/>
    </xf>
    <xf numFmtId="4" fontId="5" fillId="0" borderId="0" xfId="0" applyNumberFormat="1" applyFont="1" applyAlignment="1" applyProtection="1">
      <alignment vertical="center"/>
      <protection locked="0"/>
    </xf>
    <xf numFmtId="4" fontId="34" fillId="0" borderId="0" xfId="4" applyNumberFormat="1" applyFont="1"/>
    <xf numFmtId="0" fontId="9" fillId="0" borderId="8" xfId="0" applyFont="1" applyBorder="1" applyAlignment="1">
      <alignment horizontal="center" vertical="center"/>
    </xf>
    <xf numFmtId="0" fontId="32" fillId="0" borderId="8" xfId="0" applyFont="1" applyBorder="1" applyAlignment="1">
      <alignment horizontal="center" vertical="center" wrapText="1"/>
    </xf>
    <xf numFmtId="0" fontId="32" fillId="0" borderId="25" xfId="0" applyFont="1" applyBorder="1" applyAlignment="1">
      <alignment horizontal="center" vertical="center" wrapText="1"/>
    </xf>
    <xf numFmtId="0" fontId="32" fillId="0" borderId="8" xfId="0" applyFont="1" applyBorder="1" applyAlignment="1" applyProtection="1">
      <alignment horizontal="center" vertical="center"/>
      <protection locked="0"/>
    </xf>
    <xf numFmtId="2" fontId="0" fillId="0" borderId="14" xfId="0" applyNumberFormat="1" applyBorder="1" applyAlignment="1">
      <alignment vertical="center"/>
    </xf>
    <xf numFmtId="2" fontId="0" fillId="0" borderId="14" xfId="0" applyNumberFormat="1" applyBorder="1" applyAlignment="1" applyProtection="1">
      <alignment vertical="center"/>
      <protection locked="0"/>
    </xf>
    <xf numFmtId="43" fontId="3" fillId="0" borderId="0" xfId="1" applyNumberFormat="1" applyFont="1" applyAlignment="1" applyProtection="1">
      <alignment vertical="center"/>
      <protection locked="0"/>
    </xf>
    <xf numFmtId="0" fontId="0" fillId="0" borderId="8" xfId="0" applyBorder="1" applyAlignment="1" applyProtection="1">
      <alignment horizontal="right" vertical="center"/>
      <protection locked="0"/>
    </xf>
    <xf numFmtId="0" fontId="3" fillId="0" borderId="8" xfId="0" applyFont="1" applyBorder="1" applyAlignment="1" applyProtection="1">
      <alignment horizontal="right" vertical="center"/>
      <protection locked="0"/>
    </xf>
    <xf numFmtId="0" fontId="5" fillId="0" borderId="25" xfId="0" applyFont="1" applyBorder="1" applyAlignment="1">
      <alignment vertical="center" wrapText="1"/>
    </xf>
    <xf numFmtId="43" fontId="0" fillId="0" borderId="0" xfId="0" applyNumberFormat="1" applyAlignment="1" applyProtection="1">
      <alignment vertical="center"/>
      <protection locked="0"/>
    </xf>
    <xf numFmtId="0" fontId="9" fillId="0" borderId="19" xfId="0" applyFont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top" wrapText="1"/>
    </xf>
    <xf numFmtId="1" fontId="2" fillId="0" borderId="8" xfId="0" applyNumberFormat="1" applyFont="1" applyBorder="1" applyAlignment="1">
      <alignment horizontal="center" vertical="top" wrapText="1"/>
    </xf>
    <xf numFmtId="0" fontId="2" fillId="0" borderId="18" xfId="0" applyFont="1" applyBorder="1" applyAlignment="1" applyProtection="1">
      <alignment vertical="center"/>
      <protection locked="0"/>
    </xf>
    <xf numFmtId="0" fontId="6" fillId="0" borderId="21" xfId="0" applyFont="1" applyBorder="1" applyAlignment="1" applyProtection="1">
      <alignment horizontal="right" vertical="center"/>
      <protection locked="0"/>
    </xf>
    <xf numFmtId="4" fontId="4" fillId="0" borderId="26" xfId="0" applyNumberFormat="1" applyFont="1" applyBorder="1" applyAlignment="1" applyProtection="1">
      <alignment horizontal="right" vertical="top"/>
      <protection locked="0"/>
    </xf>
    <xf numFmtId="0" fontId="3" fillId="0" borderId="18" xfId="0" applyFont="1" applyBorder="1" applyAlignment="1" applyProtection="1">
      <alignment horizontal="left" vertical="top" wrapText="1"/>
      <protection locked="0"/>
    </xf>
    <xf numFmtId="4" fontId="2" fillId="0" borderId="20" xfId="0" applyNumberFormat="1" applyFont="1" applyBorder="1" applyAlignment="1" applyProtection="1">
      <alignment horizontal="right" vertical="center"/>
      <protection locked="0"/>
    </xf>
    <xf numFmtId="4" fontId="4" fillId="0" borderId="19" xfId="0" applyNumberFormat="1" applyFont="1" applyBorder="1" applyAlignment="1" applyProtection="1">
      <alignment vertical="center"/>
      <protection locked="0"/>
    </xf>
    <xf numFmtId="4" fontId="4" fillId="0" borderId="14" xfId="0" applyNumberFormat="1" applyFont="1" applyBorder="1" applyAlignment="1" applyProtection="1">
      <alignment horizontal="center" vertical="top"/>
      <protection locked="0"/>
    </xf>
    <xf numFmtId="4" fontId="4" fillId="0" borderId="14" xfId="0" applyNumberFormat="1" applyFont="1" applyBorder="1" applyAlignment="1" applyProtection="1">
      <alignment horizontal="right" vertical="top"/>
      <protection locked="0"/>
    </xf>
    <xf numFmtId="4" fontId="4" fillId="0" borderId="14" xfId="0" applyNumberFormat="1" applyFont="1" applyBorder="1" applyAlignment="1" applyProtection="1">
      <alignment horizontal="right" vertical="center"/>
      <protection locked="0"/>
    </xf>
    <xf numFmtId="4" fontId="2" fillId="0" borderId="19" xfId="0" applyNumberFormat="1" applyFont="1" applyBorder="1" applyAlignment="1" applyProtection="1">
      <alignment horizontal="center" vertical="center"/>
      <protection locked="0"/>
    </xf>
    <xf numFmtId="4" fontId="4" fillId="0" borderId="18" xfId="0" applyNumberFormat="1" applyFont="1" applyBorder="1" applyAlignment="1" applyProtection="1">
      <alignment horizontal="right" vertical="top"/>
      <protection locked="0"/>
    </xf>
    <xf numFmtId="4" fontId="4" fillId="0" borderId="24" xfId="0" applyNumberFormat="1" applyFont="1" applyBorder="1" applyAlignment="1" applyProtection="1">
      <alignment horizontal="right" vertical="top" wrapText="1"/>
      <protection locked="0"/>
    </xf>
    <xf numFmtId="4" fontId="4" fillId="0" borderId="18" xfId="0" applyNumberFormat="1" applyFont="1" applyBorder="1" applyAlignment="1" applyProtection="1">
      <alignment horizontal="right" vertical="top" wrapText="1"/>
      <protection locked="0"/>
    </xf>
    <xf numFmtId="4" fontId="4" fillId="0" borderId="18" xfId="0" applyNumberFormat="1" applyFont="1" applyBorder="1" applyAlignment="1" applyProtection="1">
      <alignment vertical="top"/>
      <protection locked="0"/>
    </xf>
    <xf numFmtId="4" fontId="4" fillId="0" borderId="24" xfId="0" applyNumberFormat="1" applyFont="1" applyBorder="1" applyAlignment="1" applyProtection="1">
      <alignment vertical="top"/>
      <protection locked="0"/>
    </xf>
    <xf numFmtId="4" fontId="4" fillId="0" borderId="18" xfId="0" applyNumberFormat="1" applyFont="1" applyBorder="1" applyAlignment="1" applyProtection="1">
      <alignment horizontal="right" vertical="center"/>
      <protection locked="0"/>
    </xf>
    <xf numFmtId="4" fontId="4" fillId="0" borderId="26" xfId="0" applyNumberFormat="1" applyFont="1" applyBorder="1" applyAlignment="1" applyProtection="1">
      <alignment horizontal="right" vertical="center"/>
      <protection locked="0"/>
    </xf>
    <xf numFmtId="4" fontId="4" fillId="0" borderId="24" xfId="0" applyNumberFormat="1" applyFont="1" applyBorder="1" applyAlignment="1" applyProtection="1">
      <alignment horizontal="right" vertical="center"/>
      <protection locked="0"/>
    </xf>
    <xf numFmtId="4" fontId="2" fillId="0" borderId="26" xfId="0" applyNumberFormat="1" applyFont="1" applyBorder="1" applyAlignment="1" applyProtection="1">
      <alignment vertical="center"/>
      <protection locked="0"/>
    </xf>
    <xf numFmtId="4" fontId="2" fillId="0" borderId="24" xfId="0" applyNumberFormat="1" applyFont="1" applyBorder="1" applyAlignment="1" applyProtection="1">
      <alignment vertical="center"/>
      <protection locked="0"/>
    </xf>
    <xf numFmtId="4" fontId="4" fillId="0" borderId="24" xfId="0" applyNumberFormat="1" applyFont="1" applyBorder="1" applyAlignment="1" applyProtection="1">
      <alignment horizontal="right" vertical="top"/>
      <protection locked="0"/>
    </xf>
    <xf numFmtId="4" fontId="2" fillId="0" borderId="26" xfId="0" applyNumberFormat="1" applyFont="1" applyBorder="1" applyAlignment="1" applyProtection="1">
      <alignment horizontal="right" vertical="center"/>
      <protection locked="0"/>
    </xf>
    <xf numFmtId="4" fontId="2" fillId="0" borderId="24" xfId="0" applyNumberFormat="1" applyFont="1" applyBorder="1" applyAlignment="1" applyProtection="1">
      <alignment horizontal="center" vertical="center"/>
      <protection locked="0"/>
    </xf>
    <xf numFmtId="4" fontId="4" fillId="0" borderId="24" xfId="0" applyNumberFormat="1" applyFont="1" applyBorder="1" applyAlignment="1" applyProtection="1">
      <alignment vertical="center"/>
      <protection locked="0"/>
    </xf>
    <xf numFmtId="1" fontId="4" fillId="0" borderId="0" xfId="0" applyNumberFormat="1" applyFont="1" applyAlignment="1" applyProtection="1">
      <alignment vertical="center"/>
      <protection locked="0"/>
    </xf>
    <xf numFmtId="4" fontId="4" fillId="0" borderId="8" xfId="0" applyNumberFormat="1" applyFont="1" applyBorder="1" applyAlignment="1" applyProtection="1">
      <alignment horizontal="center" vertical="top"/>
      <protection locked="0"/>
    </xf>
    <xf numFmtId="4" fontId="4" fillId="0" borderId="8" xfId="0" applyNumberFormat="1" applyFont="1" applyBorder="1" applyAlignment="1" applyProtection="1">
      <alignment horizontal="center" vertical="center"/>
      <protection locked="0"/>
    </xf>
    <xf numFmtId="1" fontId="2" fillId="0" borderId="7" xfId="0" applyNumberFormat="1" applyFont="1" applyBorder="1" applyAlignment="1">
      <alignment horizontal="center" vertical="top" wrapText="1"/>
    </xf>
    <xf numFmtId="0" fontId="27" fillId="0" borderId="8" xfId="0" applyFont="1" applyBorder="1" applyAlignment="1" applyProtection="1">
      <alignment vertical="center"/>
      <protection locked="0"/>
    </xf>
    <xf numFmtId="0" fontId="10" fillId="0" borderId="5" xfId="0" applyFont="1" applyBorder="1" applyAlignment="1" applyProtection="1">
      <alignment vertical="center"/>
      <protection locked="0"/>
    </xf>
    <xf numFmtId="2" fontId="0" fillId="0" borderId="5" xfId="0" applyNumberFormat="1" applyBorder="1" applyAlignment="1">
      <alignment vertical="center"/>
    </xf>
    <xf numFmtId="2" fontId="0" fillId="0" borderId="0" xfId="0" applyNumberFormat="1" applyAlignment="1">
      <alignment vertical="center"/>
    </xf>
    <xf numFmtId="0" fontId="9" fillId="0" borderId="18" xfId="0" applyFont="1" applyBorder="1" applyAlignment="1">
      <alignment horizontal="center" vertical="center" wrapText="1"/>
    </xf>
    <xf numFmtId="1" fontId="9" fillId="0" borderId="8" xfId="0" applyNumberFormat="1" applyFont="1" applyBorder="1" applyAlignment="1">
      <alignment horizontal="center" vertical="center" wrapText="1"/>
    </xf>
    <xf numFmtId="0" fontId="32" fillId="0" borderId="8" xfId="0" applyFont="1" applyBorder="1" applyAlignment="1" applyProtection="1">
      <alignment vertical="center"/>
      <protection locked="0"/>
    </xf>
    <xf numFmtId="0" fontId="32" fillId="0" borderId="14" xfId="0" applyFont="1" applyBorder="1" applyAlignment="1">
      <alignment horizontal="center" vertical="center"/>
    </xf>
    <xf numFmtId="1" fontId="26" fillId="0" borderId="8" xfId="0" applyNumberFormat="1" applyFont="1" applyBorder="1" applyAlignment="1">
      <alignment horizontal="center" vertical="center" wrapText="1"/>
    </xf>
    <xf numFmtId="4" fontId="4" fillId="0" borderId="28" xfId="0" applyNumberFormat="1" applyFont="1" applyBorder="1" applyAlignment="1" applyProtection="1">
      <alignment horizontal="right" vertical="center"/>
      <protection locked="0"/>
    </xf>
    <xf numFmtId="4" fontId="4" fillId="0" borderId="28" xfId="0" applyNumberFormat="1" applyFont="1" applyBorder="1" applyAlignment="1" applyProtection="1">
      <alignment horizontal="right" vertical="top"/>
      <protection locked="0"/>
    </xf>
    <xf numFmtId="0" fontId="0" fillId="0" borderId="7" xfId="0" applyBorder="1" applyAlignment="1" applyProtection="1">
      <alignment vertical="center"/>
      <protection locked="0"/>
    </xf>
    <xf numFmtId="43" fontId="3" fillId="0" borderId="8" xfId="1" applyNumberFormat="1" applyFont="1" applyBorder="1" applyAlignment="1" applyProtection="1">
      <alignment horizontal="center" vertical="top" wrapText="1"/>
      <protection locked="0"/>
    </xf>
    <xf numFmtId="4" fontId="3" fillId="0" borderId="8" xfId="0" applyNumberFormat="1" applyFont="1" applyBorder="1" applyAlignment="1" applyProtection="1">
      <alignment horizontal="right" vertical="top"/>
      <protection locked="0"/>
    </xf>
    <xf numFmtId="4" fontId="3" fillId="0" borderId="8" xfId="0" applyNumberFormat="1" applyFont="1" applyBorder="1" applyAlignment="1" applyProtection="1">
      <alignment horizontal="right" vertical="center"/>
      <protection locked="0"/>
    </xf>
    <xf numFmtId="0" fontId="6" fillId="0" borderId="8" xfId="0" applyFont="1" applyBorder="1" applyAlignment="1" applyProtection="1">
      <alignment horizontal="right" vertical="center" wrapText="1"/>
      <protection locked="0"/>
    </xf>
    <xf numFmtId="4" fontId="6" fillId="0" borderId="8" xfId="0" applyNumberFormat="1" applyFont="1" applyBorder="1" applyAlignment="1" applyProtection="1">
      <alignment horizontal="right" vertical="center"/>
      <protection locked="0"/>
    </xf>
    <xf numFmtId="4" fontId="3" fillId="0" borderId="14" xfId="0" applyNumberFormat="1" applyFont="1" applyBorder="1" applyAlignment="1" applyProtection="1">
      <alignment horizontal="center" vertical="top"/>
      <protection locked="0"/>
    </xf>
    <xf numFmtId="4" fontId="6" fillId="0" borderId="25" xfId="0" applyNumberFormat="1" applyFont="1" applyBorder="1" applyAlignment="1" applyProtection="1">
      <alignment horizontal="right" vertical="center"/>
      <protection locked="0"/>
    </xf>
    <xf numFmtId="4" fontId="2" fillId="0" borderId="6" xfId="0" applyNumberFormat="1" applyFont="1" applyBorder="1" applyAlignment="1" applyProtection="1">
      <alignment horizontal="center" vertical="center"/>
      <protection locked="0"/>
    </xf>
    <xf numFmtId="4" fontId="2" fillId="0" borderId="4" xfId="0" applyNumberFormat="1" applyFont="1" applyBorder="1" applyAlignment="1" applyProtection="1">
      <alignment vertical="center"/>
      <protection locked="0"/>
    </xf>
    <xf numFmtId="4" fontId="2" fillId="0" borderId="14" xfId="0" applyNumberFormat="1" applyFont="1" applyBorder="1" applyAlignment="1" applyProtection="1">
      <alignment horizontal="center" vertical="center"/>
      <protection locked="0"/>
    </xf>
    <xf numFmtId="4" fontId="2" fillId="0" borderId="18" xfId="0" applyNumberFormat="1" applyFont="1" applyBorder="1" applyAlignment="1" applyProtection="1">
      <alignment horizontal="center" vertical="center"/>
      <protection locked="0"/>
    </xf>
    <xf numFmtId="4" fontId="2" fillId="0" borderId="28" xfId="0" applyNumberFormat="1" applyFont="1" applyBorder="1" applyAlignment="1" applyProtection="1">
      <alignment vertical="center"/>
      <protection locked="0"/>
    </xf>
    <xf numFmtId="4" fontId="2" fillId="0" borderId="7" xfId="0" applyNumberFormat="1" applyFont="1" applyBorder="1" applyAlignment="1" applyProtection="1">
      <alignment vertical="center"/>
      <protection locked="0"/>
    </xf>
    <xf numFmtId="0" fontId="10" fillId="0" borderId="8" xfId="0" applyFont="1" applyBorder="1" applyAlignment="1" applyProtection="1">
      <alignment vertical="center"/>
      <protection locked="0"/>
    </xf>
    <xf numFmtId="4" fontId="6" fillId="0" borderId="20" xfId="0" applyNumberFormat="1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vertical="top"/>
      <protection locked="0"/>
    </xf>
    <xf numFmtId="0" fontId="3" fillId="0" borderId="7" xfId="0" applyFont="1" applyBorder="1" applyAlignment="1" applyProtection="1">
      <alignment horizontal="left" vertical="top" wrapText="1"/>
      <protection locked="0"/>
    </xf>
    <xf numFmtId="4" fontId="4" fillId="0" borderId="6" xfId="0" applyNumberFormat="1" applyFont="1" applyBorder="1" applyAlignment="1" applyProtection="1">
      <alignment horizontal="right" vertical="center"/>
      <protection locked="0"/>
    </xf>
    <xf numFmtId="4" fontId="0" fillId="0" borderId="8" xfId="0" applyNumberFormat="1" applyBorder="1" applyAlignment="1" applyProtection="1">
      <alignment horizontal="left" vertical="top" wrapText="1"/>
      <protection locked="0"/>
    </xf>
    <xf numFmtId="4" fontId="4" fillId="0" borderId="14" xfId="0" applyNumberFormat="1" applyFont="1" applyBorder="1" applyAlignment="1" applyProtection="1">
      <alignment horizontal="center" vertical="center"/>
      <protection locked="0"/>
    </xf>
    <xf numFmtId="4" fontId="2" fillId="0" borderId="17" xfId="0" applyNumberFormat="1" applyFont="1" applyBorder="1" applyAlignment="1" applyProtection="1">
      <alignment vertical="top" wrapText="1"/>
      <protection locked="0"/>
    </xf>
    <xf numFmtId="0" fontId="6" fillId="0" borderId="5" xfId="0" applyFont="1" applyBorder="1" applyAlignment="1">
      <alignment vertical="center" wrapText="1"/>
    </xf>
    <xf numFmtId="0" fontId="2" fillId="0" borderId="0" xfId="0" applyFont="1" applyAlignment="1" applyProtection="1">
      <alignment horizontal="left" vertical="center"/>
      <protection locked="0"/>
    </xf>
    <xf numFmtId="0" fontId="1" fillId="0" borderId="8" xfId="0" applyFont="1" applyBorder="1" applyAlignment="1" applyProtection="1">
      <alignment vertical="center" wrapText="1"/>
      <protection locked="0"/>
    </xf>
    <xf numFmtId="2" fontId="0" fillId="0" borderId="18" xfId="0" applyNumberFormat="1" applyBorder="1" applyAlignment="1" applyProtection="1">
      <alignment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3" fillId="0" borderId="14" xfId="0" applyFont="1" applyBorder="1" applyAlignment="1" applyProtection="1">
      <alignment vertical="center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vertical="center" wrapText="1"/>
      <protection locked="0"/>
    </xf>
    <xf numFmtId="0" fontId="1" fillId="0" borderId="14" xfId="0" applyFont="1" applyBorder="1" applyAlignment="1" applyProtection="1">
      <alignment vertical="center" wrapText="1"/>
      <protection locked="0"/>
    </xf>
    <xf numFmtId="0" fontId="32" fillId="0" borderId="8" xfId="0" applyFont="1" applyBorder="1" applyAlignment="1" applyProtection="1">
      <alignment horizontal="justify" vertical="justify" wrapText="1"/>
      <protection locked="0"/>
    </xf>
    <xf numFmtId="0" fontId="32" fillId="0" borderId="14" xfId="0" applyFont="1" applyBorder="1" applyAlignment="1" applyProtection="1">
      <alignment horizontal="justify" vertical="justify" wrapText="1"/>
      <protection locked="0"/>
    </xf>
    <xf numFmtId="0" fontId="0" fillId="0" borderId="5" xfId="0" applyBorder="1" applyAlignment="1" applyProtection="1">
      <alignment vertical="center" wrapText="1"/>
      <protection locked="0"/>
    </xf>
    <xf numFmtId="0" fontId="1" fillId="0" borderId="5" xfId="0" applyFont="1" applyBorder="1" applyAlignment="1" applyProtection="1">
      <alignment vertical="center" wrapText="1"/>
      <protection locked="0"/>
    </xf>
    <xf numFmtId="0" fontId="1" fillId="0" borderId="19" xfId="0" applyFont="1" applyBorder="1" applyAlignment="1" applyProtection="1">
      <alignment vertical="center" wrapText="1"/>
      <protection locked="0"/>
    </xf>
    <xf numFmtId="0" fontId="4" fillId="0" borderId="8" xfId="0" applyFont="1" applyBorder="1" applyAlignment="1" applyProtection="1">
      <alignment vertical="center" wrapText="1"/>
      <protection locked="0"/>
    </xf>
    <xf numFmtId="0" fontId="4" fillId="0" borderId="8" xfId="0" applyFont="1" applyBorder="1" applyAlignment="1" applyProtection="1">
      <alignment horizontal="left" vertical="top" wrapText="1"/>
      <protection locked="0"/>
    </xf>
    <xf numFmtId="0" fontId="4" fillId="0" borderId="14" xfId="0" applyFont="1" applyBorder="1" applyAlignment="1" applyProtection="1">
      <alignment horizontal="left" vertical="top" wrapText="1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0" fillId="0" borderId="14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horizontal="justify" vertical="justify" wrapText="1"/>
      <protection locked="0"/>
    </xf>
    <xf numFmtId="0" fontId="0" fillId="0" borderId="14" xfId="0" applyBorder="1" applyAlignment="1" applyProtection="1">
      <alignment horizontal="justify" vertical="justify" wrapText="1"/>
      <protection locked="0"/>
    </xf>
    <xf numFmtId="0" fontId="1" fillId="0" borderId="8" xfId="0" applyFont="1" applyBorder="1" applyAlignment="1" applyProtection="1">
      <alignment horizontal="left" vertical="top" wrapText="1"/>
      <protection locked="0"/>
    </xf>
    <xf numFmtId="2" fontId="0" fillId="0" borderId="8" xfId="0" applyNumberFormat="1" applyBorder="1" applyAlignment="1">
      <alignment vertical="top"/>
    </xf>
    <xf numFmtId="2" fontId="0" fillId="0" borderId="8" xfId="0" applyNumberFormat="1" applyBorder="1" applyAlignment="1" applyProtection="1">
      <alignment vertical="top"/>
      <protection locked="0"/>
    </xf>
    <xf numFmtId="0" fontId="1" fillId="0" borderId="8" xfId="0" applyFont="1" applyBorder="1" applyAlignment="1" applyProtection="1">
      <alignment horizontal="justify" vertical="justify" wrapText="1"/>
      <protection locked="0"/>
    </xf>
    <xf numFmtId="0" fontId="0" fillId="0" borderId="8" xfId="0" applyBorder="1" applyAlignment="1" applyProtection="1">
      <alignment horizontal="center" vertical="justify" wrapText="1"/>
      <protection locked="0"/>
    </xf>
    <xf numFmtId="0" fontId="6" fillId="0" borderId="8" xfId="0" applyFont="1" applyBorder="1" applyAlignment="1" applyProtection="1">
      <alignment horizontal="left" vertical="top" wrapText="1"/>
      <protection locked="0"/>
    </xf>
    <xf numFmtId="0" fontId="6" fillId="0" borderId="14" xfId="0" applyFont="1" applyBorder="1" applyAlignment="1" applyProtection="1">
      <alignment horizontal="left" vertical="top" wrapText="1"/>
      <protection locked="0"/>
    </xf>
    <xf numFmtId="0" fontId="2" fillId="0" borderId="14" xfId="0" applyFont="1" applyBorder="1" applyAlignment="1" applyProtection="1">
      <alignment horizontal="left" vertical="top" wrapText="1"/>
      <protection locked="0"/>
    </xf>
    <xf numFmtId="2" fontId="0" fillId="0" borderId="18" xfId="0" applyNumberFormat="1" applyBorder="1" applyAlignment="1">
      <alignment vertical="center"/>
    </xf>
    <xf numFmtId="0" fontId="1" fillId="0" borderId="8" xfId="0" applyFont="1" applyBorder="1" applyAlignment="1" applyProtection="1">
      <alignment vertical="center"/>
      <protection locked="0"/>
    </xf>
    <xf numFmtId="0" fontId="1" fillId="0" borderId="14" xfId="0" applyFont="1" applyBorder="1" applyAlignment="1" applyProtection="1">
      <alignment vertical="center"/>
      <protection locked="0"/>
    </xf>
    <xf numFmtId="0" fontId="3" fillId="0" borderId="0" xfId="0" applyFont="1" applyAlignment="1" applyProtection="1">
      <alignment vertical="center" wrapText="1"/>
      <protection locked="0"/>
    </xf>
    <xf numFmtId="2" fontId="3" fillId="0" borderId="0" xfId="0" applyNumberFormat="1" applyFont="1" applyAlignment="1" applyProtection="1">
      <alignment vertical="center" wrapText="1"/>
      <protection locked="0"/>
    </xf>
    <xf numFmtId="0" fontId="4" fillId="0" borderId="0" xfId="0" applyFont="1" applyAlignment="1">
      <alignment horizontal="center" vertical="top" wrapText="1"/>
    </xf>
    <xf numFmtId="0" fontId="6" fillId="0" borderId="23" xfId="0" applyFont="1" applyBorder="1" applyAlignment="1">
      <alignment horizontal="center" vertical="center" wrapText="1"/>
    </xf>
    <xf numFmtId="0" fontId="6" fillId="0" borderId="18" xfId="0" applyFont="1" applyBorder="1" applyAlignment="1">
      <alignment vertical="top" wrapText="1"/>
    </xf>
    <xf numFmtId="0" fontId="6" fillId="0" borderId="17" xfId="0" applyFont="1" applyBorder="1" applyAlignment="1">
      <alignment vertical="top" wrapText="1"/>
    </xf>
    <xf numFmtId="0" fontId="2" fillId="0" borderId="25" xfId="0" applyFont="1" applyBorder="1" applyAlignment="1">
      <alignment vertical="top" wrapText="1"/>
    </xf>
    <xf numFmtId="2" fontId="2" fillId="0" borderId="25" xfId="0" applyNumberFormat="1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7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6" fillId="0" borderId="25" xfId="0" applyFont="1" applyBorder="1" applyAlignment="1">
      <alignment vertical="top" textRotation="90" wrapText="1"/>
    </xf>
    <xf numFmtId="0" fontId="6" fillId="0" borderId="26" xfId="0" applyFont="1" applyBorder="1" applyAlignment="1">
      <alignment vertical="top" textRotation="90" wrapText="1"/>
    </xf>
    <xf numFmtId="0" fontId="2" fillId="0" borderId="15" xfId="0" applyFont="1" applyBorder="1" applyAlignment="1">
      <alignment vertical="top" wrapText="1"/>
    </xf>
    <xf numFmtId="2" fontId="2" fillId="0" borderId="15" xfId="0" applyNumberFormat="1" applyFont="1" applyBorder="1" applyAlignment="1">
      <alignment vertical="top" wrapText="1"/>
    </xf>
    <xf numFmtId="0" fontId="6" fillId="0" borderId="15" xfId="0" applyFont="1" applyBorder="1" applyAlignment="1">
      <alignment vertical="top" textRotation="90" wrapText="1"/>
    </xf>
    <xf numFmtId="0" fontId="6" fillId="0" borderId="22" xfId="0" applyFont="1" applyBorder="1" applyAlignment="1">
      <alignment vertical="top" textRotation="90" wrapText="1"/>
    </xf>
    <xf numFmtId="0" fontId="3" fillId="0" borderId="15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2" fillId="0" borderId="18" xfId="0" applyNumberFormat="1" applyFont="1" applyBorder="1" applyAlignment="1">
      <alignment horizontal="center" vertical="top" wrapText="1"/>
    </xf>
    <xf numFmtId="0" fontId="2" fillId="0" borderId="17" xfId="0" applyFont="1" applyBorder="1" applyAlignment="1" applyProtection="1">
      <alignment vertical="center"/>
      <protection locked="0"/>
    </xf>
    <xf numFmtId="0" fontId="0" fillId="0" borderId="15" xfId="0" applyBorder="1" applyAlignment="1" applyProtection="1">
      <alignment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>
      <alignment vertical="center"/>
    </xf>
    <xf numFmtId="0" fontId="2" fillId="0" borderId="17" xfId="0" applyFont="1" applyBorder="1" applyAlignment="1" applyProtection="1">
      <alignment vertical="top" wrapText="1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2" fontId="1" fillId="0" borderId="0" xfId="0" applyNumberFormat="1" applyFont="1" applyAlignment="1" applyProtection="1">
      <alignment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 vertical="top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2" fontId="3" fillId="0" borderId="8" xfId="0" applyNumberFormat="1" applyFont="1" applyBorder="1" applyAlignment="1" applyProtection="1">
      <alignment vertical="center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0" fillId="0" borderId="25" xfId="0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33" fillId="0" borderId="0" xfId="0" applyFont="1" applyAlignment="1">
      <alignment vertical="top"/>
    </xf>
    <xf numFmtId="0" fontId="0" fillId="0" borderId="5" xfId="0" applyBorder="1" applyAlignment="1" applyProtection="1">
      <alignment horizontal="justify" vertical="top" wrapText="1"/>
      <protection locked="0"/>
    </xf>
    <xf numFmtId="0" fontId="36" fillId="0" borderId="8" xfId="0" applyFont="1" applyBorder="1" applyAlignment="1">
      <alignment horizontal="center" vertical="center" wrapText="1"/>
    </xf>
    <xf numFmtId="0" fontId="35" fillId="0" borderId="8" xfId="0" applyFont="1" applyBorder="1" applyAlignment="1" applyProtection="1">
      <alignment horizontal="center" vertical="top" wrapText="1"/>
      <protection locked="0"/>
    </xf>
    <xf numFmtId="2" fontId="32" fillId="0" borderId="8" xfId="0" applyNumberFormat="1" applyFont="1" applyBorder="1" applyAlignment="1">
      <alignment vertical="center"/>
    </xf>
    <xf numFmtId="2" fontId="32" fillId="0" borderId="14" xfId="0" applyNumberFormat="1" applyFont="1" applyBorder="1" applyAlignment="1">
      <alignment vertical="center"/>
    </xf>
    <xf numFmtId="2" fontId="32" fillId="0" borderId="8" xfId="0" applyNumberFormat="1" applyFont="1" applyBorder="1" applyAlignment="1" applyProtection="1">
      <alignment vertical="center"/>
      <protection locked="0"/>
    </xf>
    <xf numFmtId="2" fontId="32" fillId="0" borderId="14" xfId="0" applyNumberFormat="1" applyFont="1" applyBorder="1" applyAlignment="1" applyProtection="1">
      <alignment vertical="center"/>
      <protection locked="0"/>
    </xf>
    <xf numFmtId="2" fontId="5" fillId="0" borderId="8" xfId="0" applyNumberFormat="1" applyFont="1" applyBorder="1" applyAlignment="1">
      <alignment horizontal="right" vertical="center" wrapText="1"/>
    </xf>
    <xf numFmtId="0" fontId="41" fillId="0" borderId="8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/>
    </xf>
    <xf numFmtId="2" fontId="41" fillId="0" borderId="8" xfId="0" applyNumberFormat="1" applyFont="1" applyBorder="1" applyAlignment="1">
      <alignment horizontal="center"/>
    </xf>
    <xf numFmtId="2" fontId="43" fillId="0" borderId="8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vertical="center"/>
    </xf>
    <xf numFmtId="0" fontId="1" fillId="0" borderId="8" xfId="0" applyFont="1" applyBorder="1" applyAlignment="1" applyProtection="1">
      <alignment horizontal="left" vertical="center" wrapText="1"/>
      <protection locked="0"/>
    </xf>
    <xf numFmtId="0" fontId="3" fillId="0" borderId="18" xfId="0" applyFont="1" applyBorder="1" applyAlignment="1" applyProtection="1">
      <alignment vertical="center"/>
      <protection locked="0"/>
    </xf>
    <xf numFmtId="2" fontId="0" fillId="0" borderId="17" xfId="0" applyNumberFormat="1" applyBorder="1" applyAlignment="1">
      <alignment vertical="center"/>
    </xf>
    <xf numFmtId="0" fontId="0" fillId="0" borderId="17" xfId="0" applyBorder="1" applyAlignment="1" applyProtection="1">
      <alignment vertical="center"/>
      <protection locked="0"/>
    </xf>
    <xf numFmtId="0" fontId="2" fillId="0" borderId="18" xfId="0" applyFont="1" applyBorder="1" applyAlignment="1" applyProtection="1">
      <alignment vertical="center" wrapText="1"/>
      <protection locked="0"/>
    </xf>
    <xf numFmtId="0" fontId="1" fillId="0" borderId="0" xfId="0" applyFont="1" applyAlignment="1">
      <alignment vertical="top"/>
    </xf>
    <xf numFmtId="0" fontId="6" fillId="0" borderId="25" xfId="0" applyFont="1" applyBorder="1" applyAlignment="1">
      <alignment vertical="top" wrapText="1"/>
    </xf>
    <xf numFmtId="0" fontId="6" fillId="0" borderId="15" xfId="0" applyFont="1" applyBorder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26" fillId="0" borderId="8" xfId="0" applyFont="1" applyBorder="1" applyAlignment="1">
      <alignment horizontal="center" vertical="top" wrapText="1"/>
    </xf>
    <xf numFmtId="0" fontId="9" fillId="0" borderId="8" xfId="0" applyFont="1" applyBorder="1" applyAlignment="1">
      <alignment horizontal="center" vertical="top" wrapText="1"/>
    </xf>
    <xf numFmtId="0" fontId="3" fillId="0" borderId="8" xfId="0" applyFont="1" applyBorder="1" applyAlignment="1" applyProtection="1">
      <alignment horizontal="center" vertical="top"/>
      <protection locked="0"/>
    </xf>
    <xf numFmtId="0" fontId="3" fillId="0" borderId="0" xfId="0" applyFont="1" applyAlignment="1" applyProtection="1">
      <alignment horizontal="center" vertical="top"/>
      <protection locked="0"/>
    </xf>
    <xf numFmtId="0" fontId="2" fillId="0" borderId="0" xfId="0" applyFont="1" applyAlignment="1" applyProtection="1">
      <alignment horizontal="left" vertical="top"/>
      <protection locked="0"/>
    </xf>
    <xf numFmtId="0" fontId="3" fillId="0" borderId="20" xfId="0" applyFont="1" applyBorder="1" applyAlignment="1" applyProtection="1">
      <alignment vertical="top"/>
      <protection locked="0"/>
    </xf>
    <xf numFmtId="0" fontId="0" fillId="0" borderId="15" xfId="0" applyBorder="1" applyAlignment="1" applyProtection="1">
      <alignment vertical="top"/>
      <protection locked="0"/>
    </xf>
    <xf numFmtId="0" fontId="1" fillId="0" borderId="8" xfId="0" applyFont="1" applyBorder="1" applyAlignment="1" applyProtection="1">
      <alignment horizontal="center" vertical="top"/>
      <protection locked="0"/>
    </xf>
    <xf numFmtId="0" fontId="1" fillId="0" borderId="8" xfId="0" applyFont="1" applyBorder="1" applyAlignment="1" applyProtection="1">
      <alignment vertical="top" wrapText="1"/>
      <protection locked="0"/>
    </xf>
    <xf numFmtId="2" fontId="0" fillId="0" borderId="18" xfId="0" applyNumberFormat="1" applyBorder="1" applyAlignment="1" applyProtection="1">
      <alignment vertical="top"/>
      <protection locked="0"/>
    </xf>
    <xf numFmtId="0" fontId="3" fillId="0" borderId="8" xfId="0" applyFont="1" applyBorder="1" applyAlignment="1" applyProtection="1">
      <alignment vertical="top"/>
      <protection locked="0"/>
    </xf>
    <xf numFmtId="0" fontId="0" fillId="0" borderId="8" xfId="0" applyBorder="1" applyAlignment="1" applyProtection="1">
      <alignment horizontal="center" vertical="top"/>
      <protection locked="0"/>
    </xf>
    <xf numFmtId="0" fontId="0" fillId="0" borderId="8" xfId="0" applyBorder="1" applyAlignment="1" applyProtection="1">
      <alignment vertical="top" wrapText="1"/>
      <protection locked="0"/>
    </xf>
    <xf numFmtId="0" fontId="0" fillId="0" borderId="25" xfId="0" applyBorder="1" applyAlignment="1" applyProtection="1">
      <alignment horizontal="center" vertical="top"/>
      <protection locked="0"/>
    </xf>
    <xf numFmtId="2" fontId="0" fillId="0" borderId="0" xfId="0" applyNumberFormat="1" applyAlignment="1">
      <alignment vertical="top"/>
    </xf>
    <xf numFmtId="2" fontId="0" fillId="0" borderId="0" xfId="0" applyNumberFormat="1" applyAlignment="1" applyProtection="1">
      <alignment vertical="top"/>
      <protection locked="0"/>
    </xf>
    <xf numFmtId="0" fontId="1" fillId="0" borderId="25" xfId="0" applyFont="1" applyBorder="1" applyAlignment="1" applyProtection="1">
      <alignment horizontal="center" vertical="top"/>
      <protection locked="0"/>
    </xf>
    <xf numFmtId="0" fontId="0" fillId="0" borderId="15" xfId="0" applyBorder="1" applyAlignment="1" applyProtection="1">
      <alignment horizontal="center" vertical="top"/>
      <protection locked="0"/>
    </xf>
    <xf numFmtId="0" fontId="32" fillId="0" borderId="8" xfId="0" applyFont="1" applyBorder="1" applyAlignment="1" applyProtection="1">
      <alignment horizontal="justify" vertical="top" wrapText="1"/>
      <protection locked="0"/>
    </xf>
    <xf numFmtId="0" fontId="0" fillId="0" borderId="5" xfId="0" applyBorder="1" applyAlignment="1" applyProtection="1">
      <alignment horizontal="center" vertical="top"/>
      <protection locked="0"/>
    </xf>
    <xf numFmtId="0" fontId="0" fillId="0" borderId="8" xfId="0" applyBorder="1" applyAlignment="1" applyProtection="1">
      <alignment horizontal="center" vertical="top" wrapText="1"/>
      <protection locked="0"/>
    </xf>
    <xf numFmtId="0" fontId="0" fillId="0" borderId="25" xfId="0" applyBorder="1" applyAlignment="1" applyProtection="1">
      <alignment horizontal="center" vertical="top" wrapText="1"/>
      <protection locked="0"/>
    </xf>
    <xf numFmtId="0" fontId="0" fillId="0" borderId="5" xfId="0" applyBorder="1" applyAlignment="1" applyProtection="1">
      <alignment vertical="top" wrapText="1"/>
      <protection locked="0"/>
    </xf>
    <xf numFmtId="0" fontId="0" fillId="0" borderId="15" xfId="0" applyBorder="1" applyAlignment="1" applyProtection="1">
      <alignment horizontal="center" vertical="top" wrapText="1"/>
      <protection locked="0"/>
    </xf>
    <xf numFmtId="0" fontId="0" fillId="0" borderId="5" xfId="0" applyBorder="1" applyAlignment="1" applyProtection="1">
      <alignment horizontal="center" vertical="top" wrapText="1"/>
      <protection locked="0"/>
    </xf>
    <xf numFmtId="0" fontId="1" fillId="0" borderId="5" xfId="0" applyFont="1" applyBorder="1" applyAlignment="1" applyProtection="1">
      <alignment vertical="top" wrapText="1"/>
      <protection locked="0"/>
    </xf>
    <xf numFmtId="0" fontId="4" fillId="0" borderId="8" xfId="0" applyFont="1" applyBorder="1" applyAlignment="1" applyProtection="1">
      <alignment vertical="top" wrapText="1"/>
      <protection locked="0"/>
    </xf>
    <xf numFmtId="0" fontId="4" fillId="0" borderId="18" xfId="0" applyFont="1" applyBorder="1" applyAlignment="1" applyProtection="1">
      <alignment vertical="top" wrapText="1"/>
      <protection locked="0"/>
    </xf>
    <xf numFmtId="0" fontId="1" fillId="0" borderId="8" xfId="0" applyFont="1" applyBorder="1" applyAlignment="1" applyProtection="1">
      <alignment vertical="top"/>
      <protection locked="0"/>
    </xf>
    <xf numFmtId="0" fontId="0" fillId="0" borderId="8" xfId="0" applyBorder="1" applyAlignment="1" applyProtection="1">
      <alignment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0" fillId="0" borderId="0" xfId="0" applyAlignment="1" applyProtection="1">
      <alignment vertical="top"/>
      <protection locked="0"/>
    </xf>
    <xf numFmtId="0" fontId="0" fillId="0" borderId="25" xfId="0" applyBorder="1" applyAlignment="1" applyProtection="1">
      <alignment vertical="top"/>
      <protection locked="0"/>
    </xf>
    <xf numFmtId="0" fontId="0" fillId="0" borderId="5" xfId="0" applyBorder="1" applyAlignment="1" applyProtection="1">
      <alignment vertical="top"/>
      <protection locked="0"/>
    </xf>
    <xf numFmtId="0" fontId="1" fillId="0" borderId="15" xfId="0" applyFont="1" applyBorder="1" applyAlignment="1" applyProtection="1">
      <alignment horizontal="center" vertical="top"/>
      <protection locked="0"/>
    </xf>
    <xf numFmtId="0" fontId="1" fillId="0" borderId="5" xfId="0" applyFont="1" applyBorder="1" applyAlignment="1" applyProtection="1">
      <alignment horizontal="center" vertical="top"/>
      <protection locked="0"/>
    </xf>
    <xf numFmtId="2" fontId="0" fillId="0" borderId="18" xfId="0" applyNumberFormat="1" applyBorder="1" applyAlignment="1">
      <alignment vertical="top"/>
    </xf>
    <xf numFmtId="0" fontId="1" fillId="0" borderId="0" xfId="0" applyFont="1" applyAlignment="1" applyProtection="1">
      <alignment vertical="top"/>
      <protection locked="0"/>
    </xf>
    <xf numFmtId="2" fontId="3" fillId="0" borderId="0" xfId="0" applyNumberFormat="1" applyFont="1" applyAlignment="1" applyProtection="1">
      <alignment vertical="top" wrapText="1"/>
      <protection locked="0"/>
    </xf>
    <xf numFmtId="2" fontId="3" fillId="0" borderId="0" xfId="0" applyNumberFormat="1" applyFont="1" applyAlignment="1" applyProtection="1">
      <alignment vertical="top"/>
      <protection locked="0"/>
    </xf>
    <xf numFmtId="0" fontId="3" fillId="0" borderId="0" xfId="0" applyFont="1" applyAlignment="1" applyProtection="1">
      <alignment vertical="top" wrapText="1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justify" vertical="justify" wrapText="1"/>
      <protection locked="0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right" vertical="center"/>
    </xf>
    <xf numFmtId="0" fontId="6" fillId="0" borderId="8" xfId="0" applyFont="1" applyBorder="1" applyAlignment="1" applyProtection="1">
      <alignment vertical="center" wrapText="1"/>
      <protection locked="0"/>
    </xf>
    <xf numFmtId="0" fontId="3" fillId="0" borderId="8" xfId="0" applyFont="1" applyBorder="1" applyAlignment="1" applyProtection="1">
      <alignment vertical="center" wrapText="1"/>
      <protection locked="0"/>
    </xf>
    <xf numFmtId="0" fontId="3" fillId="0" borderId="8" xfId="0" applyFont="1" applyBorder="1" applyAlignment="1" applyProtection="1">
      <alignment horizontal="justify" vertical="top" wrapText="1"/>
      <protection locked="0"/>
    </xf>
    <xf numFmtId="0" fontId="3" fillId="0" borderId="5" xfId="0" applyFont="1" applyBorder="1" applyAlignment="1" applyProtection="1">
      <alignment vertical="center" wrapText="1"/>
      <protection locked="0"/>
    </xf>
    <xf numFmtId="0" fontId="6" fillId="0" borderId="5" xfId="0" applyFont="1" applyBorder="1" applyAlignment="1" applyProtection="1">
      <alignment vertical="center" wrapText="1"/>
      <protection locked="0"/>
    </xf>
    <xf numFmtId="0" fontId="6" fillId="0" borderId="17" xfId="0" applyFont="1" applyBorder="1" applyAlignment="1" applyProtection="1">
      <alignment horizontal="left" vertical="center"/>
      <protection locked="0"/>
    </xf>
    <xf numFmtId="2" fontId="3" fillId="0" borderId="14" xfId="0" applyNumberFormat="1" applyFont="1" applyBorder="1" applyAlignment="1">
      <alignment vertical="center"/>
    </xf>
    <xf numFmtId="3" fontId="4" fillId="0" borderId="8" xfId="0" applyNumberFormat="1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right" vertical="center"/>
      <protection locked="0"/>
    </xf>
    <xf numFmtId="2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horizontal="right"/>
      <protection locked="0"/>
    </xf>
    <xf numFmtId="4" fontId="2" fillId="0" borderId="14" xfId="0" applyNumberFormat="1" applyFont="1" applyBorder="1" applyAlignment="1" applyProtection="1">
      <alignment horizontal="right" vertical="center"/>
      <protection locked="0"/>
    </xf>
    <xf numFmtId="4" fontId="2" fillId="0" borderId="18" xfId="0" applyNumberFormat="1" applyFont="1" applyBorder="1" applyAlignment="1" applyProtection="1">
      <alignment vertical="center"/>
      <protection locked="0"/>
    </xf>
    <xf numFmtId="4" fontId="2" fillId="0" borderId="28" xfId="0" applyNumberFormat="1" applyFont="1" applyBorder="1" applyAlignment="1" applyProtection="1">
      <alignment horizontal="center" vertical="center"/>
      <protection locked="0"/>
    </xf>
    <xf numFmtId="4" fontId="2" fillId="0" borderId="17" xfId="0" applyNumberFormat="1" applyFont="1" applyBorder="1" applyAlignment="1" applyProtection="1">
      <alignment horizontal="center" vertical="center"/>
      <protection locked="0"/>
    </xf>
    <xf numFmtId="2" fontId="0" fillId="0" borderId="17" xfId="0" applyNumberFormat="1" applyBorder="1" applyAlignment="1" applyProtection="1">
      <alignment vertical="center"/>
      <protection locked="0"/>
    </xf>
    <xf numFmtId="2" fontId="1" fillId="0" borderId="8" xfId="0" applyNumberFormat="1" applyFont="1" applyBorder="1" applyAlignment="1">
      <alignment vertical="center"/>
    </xf>
    <xf numFmtId="2" fontId="1" fillId="0" borderId="8" xfId="0" applyNumberFormat="1" applyFont="1" applyBorder="1" applyAlignment="1" applyProtection="1">
      <alignment vertical="center"/>
      <protection locked="0"/>
    </xf>
    <xf numFmtId="2" fontId="1" fillId="0" borderId="14" xfId="0" applyNumberFormat="1" applyFont="1" applyBorder="1" applyAlignment="1" applyProtection="1">
      <alignment vertical="center"/>
      <protection locked="0"/>
    </xf>
    <xf numFmtId="0" fontId="0" fillId="0" borderId="8" xfId="0" applyBorder="1" applyAlignment="1" applyProtection="1">
      <alignment horizontal="justify" vertical="top" wrapText="1"/>
      <protection locked="0"/>
    </xf>
    <xf numFmtId="0" fontId="3" fillId="0" borderId="18" xfId="0" applyFont="1" applyBorder="1" applyAlignment="1">
      <alignment horizontal="center" vertical="center"/>
    </xf>
    <xf numFmtId="0" fontId="4" fillId="0" borderId="18" xfId="0" applyFont="1" applyBorder="1" applyAlignment="1" applyProtection="1">
      <alignment vertical="center" wrapText="1"/>
      <protection locked="0"/>
    </xf>
    <xf numFmtId="0" fontId="4" fillId="0" borderId="17" xfId="0" applyFont="1" applyBorder="1" applyAlignment="1" applyProtection="1">
      <alignment vertical="center" wrapText="1"/>
      <protection locked="0"/>
    </xf>
    <xf numFmtId="0" fontId="1" fillId="0" borderId="17" xfId="0" applyFont="1" applyBorder="1" applyAlignment="1" applyProtection="1">
      <alignment vertical="center" wrapText="1"/>
      <protection locked="0"/>
    </xf>
    <xf numFmtId="0" fontId="3" fillId="0" borderId="17" xfId="0" applyFont="1" applyBorder="1" applyAlignment="1" applyProtection="1">
      <alignment vertical="center"/>
      <protection locked="0"/>
    </xf>
    <xf numFmtId="2" fontId="6" fillId="0" borderId="8" xfId="0" applyNumberFormat="1" applyFont="1" applyBorder="1" applyAlignment="1" applyProtection="1">
      <alignment vertical="center"/>
      <protection locked="0"/>
    </xf>
    <xf numFmtId="2" fontId="1" fillId="0" borderId="18" xfId="0" applyNumberFormat="1" applyFont="1" applyBorder="1" applyAlignment="1" applyProtection="1">
      <alignment vertical="center"/>
      <protection locked="0"/>
    </xf>
    <xf numFmtId="2" fontId="6" fillId="0" borderId="14" xfId="0" applyNumberFormat="1" applyFont="1" applyBorder="1" applyAlignment="1" applyProtection="1">
      <alignment vertical="center"/>
      <protection locked="0"/>
    </xf>
    <xf numFmtId="2" fontId="9" fillId="0" borderId="8" xfId="0" applyNumberFormat="1" applyFont="1" applyBorder="1" applyAlignment="1" applyProtection="1">
      <alignment vertical="center"/>
      <protection locked="0"/>
    </xf>
    <xf numFmtId="2" fontId="9" fillId="0" borderId="14" xfId="0" applyNumberFormat="1" applyFont="1" applyBorder="1" applyAlignment="1" applyProtection="1">
      <alignment vertical="center"/>
      <protection locked="0"/>
    </xf>
    <xf numFmtId="0" fontId="9" fillId="0" borderId="8" xfId="0" applyFont="1" applyBorder="1" applyAlignment="1" applyProtection="1">
      <alignment vertical="center"/>
      <protection locked="0"/>
    </xf>
    <xf numFmtId="2" fontId="1" fillId="0" borderId="15" xfId="0" applyNumberFormat="1" applyFont="1" applyBorder="1" applyAlignment="1" applyProtection="1">
      <alignment vertical="center"/>
      <protection locked="0"/>
    </xf>
    <xf numFmtId="0" fontId="41" fillId="0" borderId="8" xfId="0" applyFont="1" applyBorder="1"/>
    <xf numFmtId="0" fontId="1" fillId="0" borderId="15" xfId="0" applyFont="1" applyBorder="1" applyAlignment="1" applyProtection="1">
      <alignment vertical="center"/>
      <protection locked="0"/>
    </xf>
    <xf numFmtId="0" fontId="1" fillId="0" borderId="5" xfId="0" applyFont="1" applyBorder="1" applyAlignment="1" applyProtection="1">
      <alignment vertical="center"/>
      <protection locked="0"/>
    </xf>
    <xf numFmtId="0" fontId="41" fillId="0" borderId="0" xfId="0" applyFont="1" applyAlignment="1">
      <alignment horizontal="center" vertical="center" wrapText="1"/>
    </xf>
    <xf numFmtId="2" fontId="41" fillId="0" borderId="0" xfId="0" applyNumberFormat="1" applyFont="1" applyAlignment="1">
      <alignment horizontal="center"/>
    </xf>
    <xf numFmtId="0" fontId="41" fillId="0" borderId="14" xfId="0" applyFont="1" applyBorder="1" applyAlignment="1">
      <alignment horizontal="center"/>
    </xf>
    <xf numFmtId="0" fontId="41" fillId="0" borderId="14" xfId="0" applyFont="1" applyBorder="1"/>
    <xf numFmtId="0" fontId="42" fillId="0" borderId="0" xfId="0" applyFont="1"/>
    <xf numFmtId="0" fontId="43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41" fillId="0" borderId="22" xfId="0" applyFont="1" applyBorder="1" applyAlignment="1">
      <alignment horizontal="center"/>
    </xf>
    <xf numFmtId="2" fontId="41" fillId="0" borderId="22" xfId="0" applyNumberFormat="1" applyFont="1" applyBorder="1" applyAlignment="1">
      <alignment horizontal="center"/>
    </xf>
    <xf numFmtId="0" fontId="0" fillId="0" borderId="14" xfId="0" applyBorder="1" applyAlignment="1" applyProtection="1">
      <alignment horizontal="right" vertical="top"/>
      <protection locked="0"/>
    </xf>
    <xf numFmtId="0" fontId="6" fillId="0" borderId="17" xfId="0" applyFont="1" applyBorder="1" applyAlignment="1" applyProtection="1">
      <alignment vertical="top" wrapText="1"/>
      <protection locked="0"/>
    </xf>
    <xf numFmtId="0" fontId="0" fillId="0" borderId="17" xfId="0" applyBorder="1" applyAlignment="1">
      <alignment vertical="center" wrapText="1"/>
    </xf>
    <xf numFmtId="0" fontId="6" fillId="0" borderId="17" xfId="0" applyFont="1" applyBorder="1" applyAlignment="1" applyProtection="1">
      <alignment vertical="center" wrapText="1"/>
      <protection locked="0"/>
    </xf>
    <xf numFmtId="0" fontId="0" fillId="0" borderId="14" xfId="0" applyBorder="1" applyAlignment="1">
      <alignment vertical="center" wrapText="1"/>
    </xf>
    <xf numFmtId="0" fontId="2" fillId="0" borderId="17" xfId="0" applyFont="1" applyBorder="1" applyAlignment="1" applyProtection="1">
      <alignment vertical="center" wrapText="1"/>
      <protection locked="0"/>
    </xf>
    <xf numFmtId="0" fontId="0" fillId="0" borderId="17" xfId="0" applyBorder="1" applyAlignment="1">
      <alignment vertical="center"/>
    </xf>
    <xf numFmtId="0" fontId="0" fillId="0" borderId="14" xfId="0" applyBorder="1" applyAlignment="1">
      <alignment vertical="center"/>
    </xf>
    <xf numFmtId="2" fontId="2" fillId="0" borderId="17" xfId="0" applyNumberFormat="1" applyFont="1" applyBorder="1" applyAlignment="1" applyProtection="1">
      <alignment vertical="center" wrapText="1"/>
      <protection locked="0"/>
    </xf>
    <xf numFmtId="2" fontId="3" fillId="0" borderId="18" xfId="0" applyNumberFormat="1" applyFont="1" applyBorder="1" applyAlignment="1" applyProtection="1">
      <alignment horizontal="center" vertical="top" wrapText="1"/>
      <protection locked="0"/>
    </xf>
    <xf numFmtId="2" fontId="0" fillId="0" borderId="8" xfId="0" applyNumberFormat="1" applyBorder="1" applyAlignment="1" applyProtection="1">
      <alignment vertical="center"/>
      <protection locked="0"/>
    </xf>
    <xf numFmtId="4" fontId="1" fillId="0" borderId="14" xfId="0" applyNumberFormat="1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vertical="top" wrapText="1"/>
      <protection locked="0"/>
    </xf>
    <xf numFmtId="0" fontId="1" fillId="0" borderId="25" xfId="0" applyFont="1" applyBorder="1" applyAlignment="1">
      <alignment horizontal="right" vertical="center" wrapText="1"/>
    </xf>
    <xf numFmtId="0" fontId="1" fillId="0" borderId="25" xfId="0" applyFont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4" fontId="3" fillId="0" borderId="0" xfId="0" applyNumberFormat="1" applyFont="1" applyAlignment="1" applyProtection="1">
      <alignment vertical="center"/>
      <protection locked="0"/>
    </xf>
    <xf numFmtId="0" fontId="0" fillId="0" borderId="8" xfId="0" applyBorder="1" applyAlignment="1" applyProtection="1">
      <alignment horizontal="left" vertical="top" wrapText="1"/>
      <protection locked="0"/>
    </xf>
    <xf numFmtId="4" fontId="37" fillId="0" borderId="0" xfId="4" applyNumberFormat="1" applyFont="1"/>
    <xf numFmtId="43" fontId="3" fillId="0" borderId="8" xfId="1" applyNumberFormat="1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0" fillId="0" borderId="8" xfId="0" applyBorder="1" applyAlignment="1" applyProtection="1">
      <alignment horizontal="justify" vertical="center" wrapText="1"/>
      <protection locked="0"/>
    </xf>
    <xf numFmtId="2" fontId="32" fillId="0" borderId="8" xfId="0" applyNumberFormat="1" applyFont="1" applyBorder="1" applyAlignment="1" applyProtection="1">
      <alignment horizontal="center" vertical="top" wrapText="1"/>
      <protection locked="0"/>
    </xf>
    <xf numFmtId="0" fontId="38" fillId="0" borderId="8" xfId="0" applyFont="1" applyBorder="1" applyAlignment="1">
      <alignment horizontal="left" vertical="center" wrapText="1"/>
    </xf>
    <xf numFmtId="0" fontId="32" fillId="0" borderId="5" xfId="0" applyFont="1" applyBorder="1" applyAlignment="1" applyProtection="1">
      <alignment horizontal="justify" vertical="top" wrapText="1"/>
      <protection locked="0"/>
    </xf>
    <xf numFmtId="9" fontId="0" fillId="0" borderId="14" xfId="0" applyNumberFormat="1" applyBorder="1" applyAlignment="1" applyProtection="1">
      <alignment horizontal="center" vertical="top"/>
      <protection locked="0"/>
    </xf>
    <xf numFmtId="0" fontId="39" fillId="0" borderId="5" xfId="0" applyFont="1" applyBorder="1" applyAlignment="1" applyProtection="1">
      <alignment horizontal="justify" vertical="top" wrapText="1"/>
      <protection locked="0"/>
    </xf>
    <xf numFmtId="0" fontId="3" fillId="0" borderId="18" xfId="0" applyFont="1" applyBorder="1" applyAlignment="1" applyProtection="1">
      <alignment horizontal="center" vertical="top" wrapText="1"/>
      <protection locked="0"/>
    </xf>
    <xf numFmtId="0" fontId="0" fillId="0" borderId="17" xfId="0" applyBorder="1" applyAlignment="1">
      <alignment vertical="top"/>
    </xf>
    <xf numFmtId="0" fontId="0" fillId="0" borderId="14" xfId="0" applyBorder="1" applyAlignment="1" applyProtection="1">
      <alignment horizontal="right" vertical="top" wrapText="1"/>
      <protection locked="0"/>
    </xf>
    <xf numFmtId="0" fontId="1" fillId="0" borderId="14" xfId="0" applyFont="1" applyBorder="1" applyAlignment="1" applyProtection="1">
      <alignment horizontal="right" vertical="top"/>
      <protection locked="0"/>
    </xf>
    <xf numFmtId="0" fontId="9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4" fontId="2" fillId="0" borderId="25" xfId="0" applyNumberFormat="1" applyFont="1" applyBorder="1" applyAlignment="1" applyProtection="1">
      <alignment vertical="center"/>
      <protection locked="0"/>
    </xf>
    <xf numFmtId="0" fontId="0" fillId="0" borderId="5" xfId="0" applyBorder="1" applyAlignment="1">
      <alignment vertical="center"/>
    </xf>
    <xf numFmtId="0" fontId="2" fillId="0" borderId="25" xfId="0" applyFont="1" applyBorder="1" applyAlignment="1" applyProtection="1">
      <alignment horizontal="center" vertical="top"/>
      <protection locked="0"/>
    </xf>
    <xf numFmtId="4" fontId="2" fillId="0" borderId="25" xfId="0" applyNumberFormat="1" applyFont="1" applyBorder="1" applyAlignment="1" applyProtection="1">
      <alignment horizontal="center" vertical="center"/>
      <protection locked="0"/>
    </xf>
    <xf numFmtId="4" fontId="2" fillId="0" borderId="5" xfId="0" applyNumberFormat="1" applyFont="1" applyBorder="1" applyAlignment="1" applyProtection="1">
      <alignment horizontal="center" vertical="center"/>
      <protection locked="0"/>
    </xf>
    <xf numFmtId="0" fontId="2" fillId="0" borderId="31" xfId="0" applyFont="1" applyBorder="1" applyAlignment="1">
      <alignment horizontal="center" vertical="top" wrapText="1"/>
    </xf>
    <xf numFmtId="0" fontId="4" fillId="0" borderId="25" xfId="0" applyFont="1" applyBorder="1" applyAlignment="1" applyProtection="1">
      <alignment horizontal="center" vertical="top" wrapText="1"/>
      <protection locked="0"/>
    </xf>
    <xf numFmtId="4" fontId="6" fillId="0" borderId="25" xfId="0" applyNumberFormat="1" applyFont="1" applyBorder="1" applyAlignment="1" applyProtection="1">
      <alignment vertical="center"/>
      <protection locked="0"/>
    </xf>
    <xf numFmtId="0" fontId="3" fillId="0" borderId="5" xfId="0" applyFont="1" applyBorder="1" applyAlignment="1">
      <alignment vertical="center"/>
    </xf>
    <xf numFmtId="0" fontId="2" fillId="0" borderId="14" xfId="0" applyFont="1" applyBorder="1" applyAlignment="1" applyProtection="1">
      <alignment horizontal="right" vertical="center"/>
      <protection locked="0"/>
    </xf>
    <xf numFmtId="0" fontId="1" fillId="0" borderId="17" xfId="0" applyFont="1" applyBorder="1" applyAlignment="1" applyProtection="1">
      <alignment horizontal="left" vertical="center"/>
      <protection locked="0"/>
    </xf>
    <xf numFmtId="0" fontId="1" fillId="0" borderId="14" xfId="0" applyFont="1" applyBorder="1" applyAlignment="1" applyProtection="1">
      <alignment horizontal="right" vertical="center"/>
      <protection locked="0"/>
    </xf>
    <xf numFmtId="0" fontId="0" fillId="0" borderId="14" xfId="0" applyBorder="1" applyAlignment="1" applyProtection="1">
      <alignment horizontal="right" vertical="center" wrapText="1"/>
      <protection locked="0"/>
    </xf>
    <xf numFmtId="164" fontId="32" fillId="0" borderId="0" xfId="0" applyNumberFormat="1" applyFont="1" applyAlignment="1" applyProtection="1">
      <alignment vertical="center"/>
      <protection locked="0"/>
    </xf>
    <xf numFmtId="164" fontId="26" fillId="0" borderId="8" xfId="0" applyNumberFormat="1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vertical="center"/>
    </xf>
    <xf numFmtId="165" fontId="3" fillId="0" borderId="8" xfId="0" applyNumberFormat="1" applyFont="1" applyBorder="1" applyAlignment="1">
      <alignment vertical="center"/>
    </xf>
    <xf numFmtId="164" fontId="6" fillId="0" borderId="8" xfId="0" applyNumberFormat="1" applyFont="1" applyBorder="1" applyAlignment="1">
      <alignment vertical="center"/>
    </xf>
    <xf numFmtId="165" fontId="0" fillId="0" borderId="8" xfId="0" applyNumberFormat="1" applyBorder="1" applyAlignment="1" applyProtection="1">
      <alignment vertical="center"/>
      <protection locked="0"/>
    </xf>
    <xf numFmtId="165" fontId="0" fillId="0" borderId="0" xfId="0" applyNumberFormat="1" applyAlignment="1" applyProtection="1">
      <alignment vertical="center"/>
      <protection locked="0"/>
    </xf>
    <xf numFmtId="165" fontId="5" fillId="0" borderId="8" xfId="0" applyNumberFormat="1" applyFont="1" applyBorder="1" applyAlignment="1" applyProtection="1">
      <alignment vertical="center"/>
      <protection locked="0"/>
    </xf>
    <xf numFmtId="0" fontId="9" fillId="0" borderId="8" xfId="0" applyFont="1" applyBorder="1" applyAlignment="1" applyProtection="1">
      <alignment horizontal="left" vertical="center" wrapText="1"/>
      <protection locked="0"/>
    </xf>
    <xf numFmtId="0" fontId="32" fillId="0" borderId="0" xfId="0" applyFont="1" applyAlignment="1" applyProtection="1">
      <alignment horizontal="center" vertical="center"/>
      <protection locked="0"/>
    </xf>
    <xf numFmtId="0" fontId="3" fillId="0" borderId="17" xfId="0" applyFont="1" applyBorder="1" applyAlignment="1">
      <alignment horizontal="center" vertical="center"/>
    </xf>
    <xf numFmtId="0" fontId="32" fillId="0" borderId="18" xfId="0" applyFont="1" applyBorder="1" applyAlignment="1">
      <alignment horizontal="center" vertical="center" wrapText="1"/>
    </xf>
    <xf numFmtId="0" fontId="9" fillId="0" borderId="8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9" fillId="0" borderId="14" xfId="0" applyFont="1" applyBorder="1" applyAlignment="1" applyProtection="1">
      <alignment vertical="center"/>
      <protection locked="0"/>
    </xf>
    <xf numFmtId="0" fontId="9" fillId="0" borderId="8" xfId="0" applyFont="1" applyBorder="1" applyAlignment="1">
      <alignment horizontal="center" vertical="top"/>
    </xf>
    <xf numFmtId="0" fontId="9" fillId="0" borderId="8" xfId="0" applyFont="1" applyBorder="1" applyAlignment="1">
      <alignment vertical="top"/>
    </xf>
    <xf numFmtId="0" fontId="32" fillId="0" borderId="8" xfId="0" applyFont="1" applyBorder="1" applyAlignment="1">
      <alignment horizontal="right" vertical="center" wrapText="1"/>
    </xf>
    <xf numFmtId="0" fontId="32" fillId="0" borderId="26" xfId="0" applyFont="1" applyBorder="1" applyAlignment="1">
      <alignment vertical="center"/>
    </xf>
    <xf numFmtId="0" fontId="32" fillId="0" borderId="22" xfId="0" applyFont="1" applyBorder="1" applyAlignment="1">
      <alignment vertical="center"/>
    </xf>
    <xf numFmtId="0" fontId="9" fillId="0" borderId="18" xfId="0" applyFont="1" applyBorder="1" applyAlignment="1" applyProtection="1">
      <alignment vertical="center" wrapText="1"/>
      <protection locked="0"/>
    </xf>
    <xf numFmtId="0" fontId="9" fillId="0" borderId="14" xfId="0" applyFont="1" applyBorder="1" applyAlignment="1">
      <alignment horizontal="left" vertical="center" wrapText="1"/>
    </xf>
    <xf numFmtId="0" fontId="32" fillId="0" borderId="14" xfId="0" applyFont="1" applyBorder="1" applyAlignment="1">
      <alignment horizontal="justify" vertical="justify" wrapText="1"/>
    </xf>
    <xf numFmtId="0" fontId="9" fillId="0" borderId="14" xfId="0" applyFont="1" applyBorder="1" applyAlignment="1">
      <alignment horizontal="left" vertical="justify" wrapText="1"/>
    </xf>
    <xf numFmtId="0" fontId="32" fillId="0" borderId="14" xfId="0" applyFont="1" applyBorder="1" applyAlignment="1">
      <alignment horizontal="left" vertical="justify" wrapText="1"/>
    </xf>
    <xf numFmtId="0" fontId="9" fillId="0" borderId="19" xfId="0" applyFont="1" applyBorder="1" applyAlignment="1">
      <alignment horizontal="left" vertical="justify" wrapText="1"/>
    </xf>
    <xf numFmtId="0" fontId="9" fillId="0" borderId="14" xfId="0" applyFont="1" applyBorder="1" applyAlignment="1">
      <alignment horizontal="justify" vertical="justify" wrapText="1"/>
    </xf>
    <xf numFmtId="0" fontId="32" fillId="0" borderId="14" xfId="0" applyFont="1" applyBorder="1" applyAlignment="1">
      <alignment horizontal="left" vertical="center" wrapText="1"/>
    </xf>
    <xf numFmtId="0" fontId="32" fillId="0" borderId="8" xfId="0" applyFont="1" applyBorder="1" applyAlignment="1">
      <alignment vertical="top"/>
    </xf>
    <xf numFmtId="0" fontId="0" fillId="0" borderId="8" xfId="0" applyBorder="1"/>
    <xf numFmtId="0" fontId="32" fillId="0" borderId="8" xfId="0" applyFont="1" applyBorder="1" applyAlignment="1">
      <alignment horizontal="center" vertical="top"/>
    </xf>
    <xf numFmtId="0" fontId="6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 applyProtection="1">
      <alignment horizontal="center" vertical="center" wrapText="1"/>
      <protection locked="0"/>
    </xf>
    <xf numFmtId="1" fontId="0" fillId="0" borderId="8" xfId="0" applyNumberFormat="1" applyBorder="1" applyAlignment="1" applyProtection="1">
      <alignment vertical="top"/>
      <protection locked="0"/>
    </xf>
    <xf numFmtId="166" fontId="32" fillId="0" borderId="8" xfId="1" applyNumberFormat="1" applyFont="1" applyBorder="1" applyAlignment="1" applyProtection="1">
      <alignment horizontal="center" vertical="top" wrapText="1"/>
      <protection locked="0"/>
    </xf>
    <xf numFmtId="167" fontId="0" fillId="0" borderId="0" xfId="0" applyNumberFormat="1"/>
    <xf numFmtId="166" fontId="3" fillId="0" borderId="8" xfId="1" applyNumberFormat="1" applyFont="1" applyBorder="1" applyAlignment="1" applyProtection="1">
      <alignment horizontal="left" vertical="top" wrapText="1"/>
      <protection locked="0"/>
    </xf>
    <xf numFmtId="0" fontId="3" fillId="0" borderId="0" xfId="0" applyFont="1" applyAlignment="1" applyProtection="1">
      <alignment vertical="top"/>
      <protection locked="0"/>
    </xf>
    <xf numFmtId="0" fontId="0" fillId="0" borderId="14" xfId="0" applyBorder="1"/>
    <xf numFmtId="0" fontId="0" fillId="0" borderId="17" xfId="0" applyBorder="1"/>
    <xf numFmtId="0" fontId="6" fillId="0" borderId="8" xfId="0" applyFont="1" applyBorder="1" applyAlignment="1">
      <alignment horizontal="center" vertical="top" wrapText="1"/>
    </xf>
    <xf numFmtId="0" fontId="3" fillId="0" borderId="8" xfId="0" applyFont="1" applyBorder="1" applyAlignment="1" applyProtection="1">
      <alignment horizontal="center" vertical="top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right" vertical="center"/>
    </xf>
    <xf numFmtId="0" fontId="3" fillId="0" borderId="0" xfId="0" applyFont="1" applyAlignment="1" applyProtection="1">
      <alignment vertical="center"/>
      <protection locked="0"/>
    </xf>
    <xf numFmtId="0" fontId="6" fillId="0" borderId="18" xfId="0" applyFont="1" applyBorder="1" applyAlignment="1">
      <alignment horizontal="center" vertical="top" wrapText="1"/>
    </xf>
    <xf numFmtId="0" fontId="11" fillId="0" borderId="0" xfId="0" applyFont="1" applyAlignment="1">
      <alignment horizontal="right" vertical="center"/>
    </xf>
    <xf numFmtId="0" fontId="9" fillId="0" borderId="8" xfId="0" applyFont="1" applyBorder="1" applyAlignment="1">
      <alignment horizontal="center" vertical="center" wrapText="1"/>
    </xf>
    <xf numFmtId="2" fontId="3" fillId="0" borderId="0" xfId="0" applyNumberFormat="1" applyFont="1" applyAlignment="1" applyProtection="1">
      <alignment vertical="center"/>
      <protection locked="0"/>
    </xf>
    <xf numFmtId="164" fontId="3" fillId="0" borderId="0" xfId="0" applyNumberFormat="1" applyFont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right"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2" fontId="0" fillId="0" borderId="0" xfId="0" applyNumberFormat="1" applyAlignment="1" applyProtection="1">
      <alignment vertical="center"/>
      <protection locked="0"/>
    </xf>
    <xf numFmtId="0" fontId="1" fillId="0" borderId="0" xfId="0" applyFont="1" applyAlignment="1">
      <alignment horizontal="left" vertical="center" wrapText="1"/>
    </xf>
    <xf numFmtId="2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 wrapText="1"/>
    </xf>
    <xf numFmtId="0" fontId="1" fillId="0" borderId="5" xfId="0" applyFont="1" applyBorder="1" applyAlignment="1" applyProtection="1">
      <alignment horizontal="left" vertical="center"/>
      <protection locked="0"/>
    </xf>
    <xf numFmtId="2" fontId="14" fillId="0" borderId="0" xfId="5" applyNumberFormat="1" applyAlignment="1">
      <alignment horizontal="center"/>
    </xf>
    <xf numFmtId="0" fontId="0" fillId="0" borderId="0" xfId="0"/>
    <xf numFmtId="0" fontId="1" fillId="0" borderId="0" xfId="3" applyFont="1" applyAlignment="1" applyProtection="1">
      <alignment horizontal="center" vertical="center" wrapText="1"/>
      <protection locked="0"/>
    </xf>
    <xf numFmtId="0" fontId="4" fillId="0" borderId="5" xfId="0" applyFont="1" applyBorder="1" applyAlignment="1" applyProtection="1">
      <alignment horizontal="center" vertical="top" wrapText="1"/>
      <protection locked="0"/>
    </xf>
    <xf numFmtId="0" fontId="4" fillId="0" borderId="8" xfId="0" applyFont="1" applyBorder="1" applyAlignment="1" applyProtection="1">
      <alignment horizontal="center" vertical="top" wrapText="1"/>
      <protection locked="0"/>
    </xf>
    <xf numFmtId="4" fontId="2" fillId="0" borderId="8" xfId="0" applyNumberFormat="1" applyFont="1" applyBorder="1" applyAlignment="1" applyProtection="1">
      <alignment horizontal="center" vertical="center"/>
      <protection locked="0"/>
    </xf>
    <xf numFmtId="0" fontId="2" fillId="0" borderId="30" xfId="0" applyFont="1" applyBorder="1" applyAlignment="1">
      <alignment horizontal="center" vertical="top" wrapText="1"/>
    </xf>
    <xf numFmtId="4" fontId="6" fillId="0" borderId="8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4" fontId="2" fillId="0" borderId="7" xfId="0" applyNumberFormat="1" applyFont="1" applyBorder="1" applyAlignment="1" applyProtection="1">
      <alignment horizontal="center" vertical="center"/>
      <protection locked="0"/>
    </xf>
    <xf numFmtId="0" fontId="40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right" vertical="center"/>
    </xf>
    <xf numFmtId="4" fontId="6" fillId="0" borderId="8" xfId="0" applyNumberFormat="1" applyFont="1" applyBorder="1" applyAlignment="1" applyProtection="1">
      <alignment vertical="center"/>
      <protection locked="0"/>
    </xf>
    <xf numFmtId="4" fontId="2" fillId="0" borderId="8" xfId="0" applyNumberFormat="1" applyFont="1" applyBorder="1" applyAlignment="1" applyProtection="1">
      <alignment vertical="center"/>
      <protection locked="0"/>
    </xf>
    <xf numFmtId="0" fontId="41" fillId="0" borderId="0" xfId="0" applyFont="1" applyAlignment="1">
      <alignment horizontal="left"/>
    </xf>
    <xf numFmtId="0" fontId="41" fillId="0" borderId="0" xfId="0" applyFont="1"/>
    <xf numFmtId="14" fontId="41" fillId="0" borderId="0" xfId="0" applyNumberFormat="1" applyFont="1" applyAlignment="1">
      <alignment horizontal="left"/>
    </xf>
    <xf numFmtId="0" fontId="42" fillId="0" borderId="0" xfId="0" applyFont="1" applyAlignment="1">
      <alignment horizontal="right"/>
    </xf>
    <xf numFmtId="0" fontId="44" fillId="0" borderId="0" xfId="0" applyFont="1" applyAlignment="1">
      <alignment horizontal="center"/>
    </xf>
    <xf numFmtId="0" fontId="0" fillId="0" borderId="0" xfId="0" applyAlignment="1" applyProtection="1">
      <alignment vertical="center"/>
      <protection locked="0"/>
    </xf>
    <xf numFmtId="2" fontId="0" fillId="0" borderId="0" xfId="0" applyNumberFormat="1" applyAlignment="1" applyProtection="1">
      <alignment vertical="center"/>
      <protection locked="0"/>
    </xf>
    <xf numFmtId="0" fontId="4" fillId="0" borderId="8" xfId="0" applyFont="1" applyBorder="1" applyAlignment="1" applyProtection="1">
      <alignment horizontal="right" vertical="top"/>
      <protection locked="0"/>
    </xf>
    <xf numFmtId="0" fontId="0" fillId="0" borderId="17" xfId="0" applyBorder="1"/>
    <xf numFmtId="0" fontId="0" fillId="0" borderId="14" xfId="0" applyBorder="1"/>
    <xf numFmtId="0" fontId="6" fillId="0" borderId="8" xfId="0" applyFont="1" applyBorder="1" applyAlignment="1">
      <alignment horizontal="center" vertical="top" wrapText="1"/>
    </xf>
    <xf numFmtId="0" fontId="0" fillId="0" borderId="8" xfId="0" applyBorder="1" applyAlignment="1" applyProtection="1">
      <alignment horizontal="right" vertical="top" wrapText="1"/>
      <protection locked="0"/>
    </xf>
    <xf numFmtId="0" fontId="1" fillId="0" borderId="8" xfId="0" applyFont="1" applyBorder="1" applyAlignment="1" applyProtection="1">
      <alignment horizontal="right" vertical="top"/>
      <protection locked="0"/>
    </xf>
    <xf numFmtId="0" fontId="1" fillId="0" borderId="8" xfId="0" applyFont="1" applyBorder="1" applyAlignment="1" applyProtection="1">
      <alignment horizontal="left" vertical="top"/>
      <protection locked="0"/>
    </xf>
    <xf numFmtId="0" fontId="3" fillId="0" borderId="8" xfId="0" applyFont="1" applyBorder="1" applyAlignment="1" applyProtection="1">
      <alignment horizontal="center" vertical="top" wrapText="1"/>
      <protection locked="0"/>
    </xf>
    <xf numFmtId="0" fontId="0" fillId="0" borderId="15" xfId="0" applyBorder="1"/>
    <xf numFmtId="0" fontId="0" fillId="0" borderId="5" xfId="0" applyBorder="1"/>
    <xf numFmtId="0" fontId="6" fillId="0" borderId="25" xfId="0" applyFont="1" applyBorder="1" applyAlignment="1">
      <alignment horizontal="center" vertical="top" wrapText="1"/>
    </xf>
    <xf numFmtId="0" fontId="0" fillId="0" borderId="20" xfId="0" applyBorder="1"/>
    <xf numFmtId="0" fontId="7" fillId="0" borderId="8" xfId="0" applyFont="1" applyBorder="1" applyAlignment="1">
      <alignment horizontal="center" vertical="top" wrapText="1"/>
    </xf>
    <xf numFmtId="0" fontId="6" fillId="0" borderId="18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3" fillId="0" borderId="0" xfId="0" applyFont="1" applyAlignment="1" applyProtection="1">
      <alignment vertical="center"/>
      <protection locked="0"/>
    </xf>
    <xf numFmtId="0" fontId="1" fillId="0" borderId="0" xfId="0" applyFont="1" applyAlignment="1">
      <alignment horizontal="right" vertical="center"/>
    </xf>
    <xf numFmtId="0" fontId="6" fillId="0" borderId="8" xfId="0" applyFont="1" applyBorder="1" applyAlignment="1">
      <alignment horizontal="center" vertical="top" textRotation="90" wrapText="1"/>
    </xf>
    <xf numFmtId="0" fontId="6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textRotation="90" wrapText="1"/>
    </xf>
    <xf numFmtId="0" fontId="6" fillId="0" borderId="25" xfId="0" applyFont="1" applyBorder="1" applyAlignment="1">
      <alignment horizontal="center" vertical="center" wrapText="1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vertical="top" wrapText="1"/>
      <protection locked="0"/>
    </xf>
    <xf numFmtId="0" fontId="2" fillId="0" borderId="8" xfId="0" applyFont="1" applyBorder="1" applyAlignment="1" applyProtection="1">
      <alignment horizontal="left" vertical="top"/>
      <protection locked="0"/>
    </xf>
    <xf numFmtId="0" fontId="6" fillId="0" borderId="20" xfId="0" applyFont="1" applyBorder="1" applyAlignment="1">
      <alignment horizontal="center" vertical="center" wrapText="1"/>
    </xf>
    <xf numFmtId="0" fontId="0" fillId="0" borderId="21" xfId="0" applyBorder="1"/>
    <xf numFmtId="164" fontId="3" fillId="0" borderId="0" xfId="0" applyNumberFormat="1" applyFont="1" applyAlignment="1" applyProtection="1">
      <alignment horizontal="left" vertical="center"/>
      <protection locked="0"/>
    </xf>
    <xf numFmtId="164" fontId="3" fillId="0" borderId="0" xfId="0" applyNumberFormat="1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49" fontId="3" fillId="0" borderId="16" xfId="0" applyNumberFormat="1" applyFont="1" applyBorder="1" applyAlignment="1" applyProtection="1">
      <alignment horizontal="left" vertical="center"/>
      <protection locked="0"/>
    </xf>
    <xf numFmtId="0" fontId="0" fillId="0" borderId="16" xfId="0" applyBorder="1"/>
    <xf numFmtId="0" fontId="3" fillId="0" borderId="0" xfId="0" applyFont="1" applyAlignment="1" applyProtection="1">
      <alignment horizontal="right" vertical="center"/>
      <protection locked="0"/>
    </xf>
    <xf numFmtId="49" fontId="3" fillId="0" borderId="16" xfId="0" applyNumberFormat="1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9" fillId="0" borderId="8" xfId="0" applyFont="1" applyBorder="1" applyAlignment="1">
      <alignment horizontal="center" vertical="center" wrapText="1"/>
    </xf>
    <xf numFmtId="2" fontId="9" fillId="0" borderId="8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left" vertical="top" wrapText="1"/>
    </xf>
    <xf numFmtId="0" fontId="32" fillId="0" borderId="0" xfId="0" applyFont="1" applyAlignment="1" applyProtection="1">
      <alignment vertical="center"/>
      <protection locked="0"/>
    </xf>
    <xf numFmtId="0" fontId="9" fillId="0" borderId="16" xfId="0" applyFont="1" applyBorder="1" applyAlignment="1">
      <alignment horizontal="left" vertical="center" wrapText="1"/>
    </xf>
    <xf numFmtId="164" fontId="9" fillId="0" borderId="8" xfId="0" applyNumberFormat="1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1" fillId="0" borderId="0" xfId="0" applyFont="1" applyAlignment="1">
      <alignment horizontal="right" vertical="center"/>
    </xf>
    <xf numFmtId="2" fontId="3" fillId="0" borderId="0" xfId="0" applyNumberFormat="1" applyFont="1" applyAlignment="1" applyProtection="1">
      <alignment vertical="center"/>
      <protection locked="0"/>
    </xf>
    <xf numFmtId="0" fontId="2" fillId="0" borderId="8" xfId="0" applyFont="1" applyBorder="1" applyAlignment="1" applyProtection="1">
      <alignment horizontal="left" vertical="center" wrapText="1"/>
      <protection locked="0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5" xfId="0" applyFont="1" applyBorder="1" applyAlignment="1" applyProtection="1">
      <alignment horizontal="left" vertical="center"/>
      <protection locked="0"/>
    </xf>
    <xf numFmtId="0" fontId="0" fillId="0" borderId="19" xfId="0" applyBorder="1"/>
    <xf numFmtId="0" fontId="0" fillId="0" borderId="8" xfId="0" applyBorder="1" applyAlignment="1">
      <alignment horizontal="right" vertical="top" wrapText="1"/>
    </xf>
    <xf numFmtId="0" fontId="1" fillId="0" borderId="8" xfId="0" applyFont="1" applyBorder="1" applyAlignment="1">
      <alignment horizontal="right" vertical="top" wrapText="1"/>
    </xf>
    <xf numFmtId="0" fontId="1" fillId="0" borderId="5" xfId="0" applyFont="1" applyBorder="1" applyAlignment="1">
      <alignment horizontal="right" vertical="top" wrapText="1"/>
    </xf>
    <xf numFmtId="0" fontId="5" fillId="0" borderId="8" xfId="0" applyFont="1" applyBorder="1" applyAlignment="1">
      <alignment horizontal="right" vertical="top" wrapText="1"/>
    </xf>
    <xf numFmtId="0" fontId="30" fillId="0" borderId="0" xfId="0" applyFont="1" applyAlignment="1">
      <alignment horizontal="center" vertical="center"/>
    </xf>
    <xf numFmtId="0" fontId="31" fillId="0" borderId="0" xfId="0" applyFont="1" applyAlignment="1" applyProtection="1">
      <alignment vertical="center"/>
      <protection locked="0"/>
    </xf>
    <xf numFmtId="0" fontId="1" fillId="0" borderId="0" xfId="0" applyFont="1" applyAlignment="1">
      <alignment horizontal="left"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6" fillId="0" borderId="8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left" vertical="center" wrapText="1"/>
    </xf>
    <xf numFmtId="2" fontId="0" fillId="0" borderId="0" xfId="0" applyNumberFormat="1" applyAlignment="1" applyProtection="1">
      <alignment vertical="center"/>
      <protection locked="0"/>
    </xf>
    <xf numFmtId="0" fontId="1" fillId="0" borderId="0" xfId="0" applyFont="1" applyAlignment="1">
      <alignment horizontal="left" vertical="center" wrapText="1"/>
    </xf>
    <xf numFmtId="2" fontId="2" fillId="0" borderId="16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2" fontId="21" fillId="0" borderId="0" xfId="5" applyNumberFormat="1" applyFont="1" applyAlignment="1">
      <alignment horizontal="left" wrapText="1"/>
    </xf>
    <xf numFmtId="2" fontId="14" fillId="0" borderId="0" xfId="5" applyNumberFormat="1" applyAlignment="1">
      <alignment horizontal="center"/>
    </xf>
    <xf numFmtId="2" fontId="24" fillId="0" borderId="0" xfId="5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/>
    <xf numFmtId="0" fontId="1" fillId="0" borderId="12" xfId="0" applyFont="1" applyBorder="1" applyAlignment="1">
      <alignment horizontal="right"/>
    </xf>
    <xf numFmtId="0" fontId="0" fillId="0" borderId="12" xfId="0" applyBorder="1"/>
    <xf numFmtId="0" fontId="2" fillId="0" borderId="0" xfId="0" applyFont="1" applyAlignment="1">
      <alignment horizontal="right"/>
    </xf>
    <xf numFmtId="0" fontId="1" fillId="0" borderId="12" xfId="0" applyFont="1" applyBorder="1" applyAlignment="1">
      <alignment horizontal="center"/>
    </xf>
    <xf numFmtId="4" fontId="2" fillId="0" borderId="8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>
      <alignment horizontal="center" vertical="top" wrapText="1"/>
    </xf>
    <xf numFmtId="0" fontId="6" fillId="0" borderId="28" xfId="0" applyFont="1" applyBorder="1" applyAlignment="1">
      <alignment horizontal="center" vertical="center" textRotation="90" wrapText="1"/>
    </xf>
    <xf numFmtId="0" fontId="0" fillId="0" borderId="32" xfId="0" applyBorder="1"/>
    <xf numFmtId="0" fontId="0" fillId="0" borderId="6" xfId="0" applyBorder="1"/>
    <xf numFmtId="0" fontId="2" fillId="0" borderId="5" xfId="0" applyFont="1" applyBorder="1" applyAlignment="1">
      <alignment horizontal="center" vertical="top" wrapText="1"/>
    </xf>
    <xf numFmtId="2" fontId="2" fillId="0" borderId="8" xfId="0" applyNumberFormat="1" applyFont="1" applyBorder="1" applyAlignment="1">
      <alignment horizontal="center" vertical="top" wrapText="1"/>
    </xf>
    <xf numFmtId="4" fontId="6" fillId="0" borderId="8" xfId="0" applyNumberFormat="1" applyFont="1" applyBorder="1" applyAlignment="1" applyProtection="1">
      <alignment vertical="center"/>
      <protection locked="0"/>
    </xf>
    <xf numFmtId="4" fontId="2" fillId="0" borderId="8" xfId="0" applyNumberFormat="1" applyFont="1" applyBorder="1" applyAlignment="1" applyProtection="1">
      <alignment vertical="center"/>
      <protection locked="0"/>
    </xf>
    <xf numFmtId="0" fontId="1" fillId="0" borderId="8" xfId="0" applyFont="1" applyBorder="1" applyAlignment="1">
      <alignment horizontal="center" vertical="top" wrapText="1"/>
    </xf>
    <xf numFmtId="0" fontId="2" fillId="0" borderId="28" xfId="0" applyFont="1" applyBorder="1" applyAlignment="1">
      <alignment horizontal="center" vertical="top" wrapText="1"/>
    </xf>
    <xf numFmtId="0" fontId="0" fillId="0" borderId="33" xfId="0" applyBorder="1"/>
    <xf numFmtId="0" fontId="2" fillId="0" borderId="7" xfId="0" applyFont="1" applyBorder="1" applyAlignment="1">
      <alignment horizontal="center" vertical="top" wrapText="1"/>
    </xf>
    <xf numFmtId="0" fontId="6" fillId="0" borderId="18" xfId="0" applyFont="1" applyBorder="1" applyAlignment="1">
      <alignment horizontal="center" vertical="center" textRotation="90" wrapText="1"/>
    </xf>
    <xf numFmtId="0" fontId="0" fillId="0" borderId="22" xfId="0" applyBorder="1"/>
    <xf numFmtId="0" fontId="0" fillId="0" borderId="24" xfId="0" applyBorder="1"/>
    <xf numFmtId="0" fontId="6" fillId="0" borderId="7" xfId="0" applyFont="1" applyBorder="1" applyAlignment="1">
      <alignment horizontal="center" vertical="top" wrapText="1"/>
    </xf>
    <xf numFmtId="0" fontId="0" fillId="0" borderId="34" xfId="0" applyBorder="1"/>
    <xf numFmtId="0" fontId="0" fillId="0" borderId="4" xfId="0" applyBorder="1"/>
    <xf numFmtId="0" fontId="2" fillId="0" borderId="18" xfId="0" applyFont="1" applyBorder="1" applyAlignment="1" applyProtection="1">
      <alignment horizontal="center" vertical="center" wrapText="1"/>
      <protection locked="0"/>
    </xf>
    <xf numFmtId="0" fontId="45" fillId="0" borderId="0" xfId="0" applyFont="1" applyAlignment="1" applyProtection="1">
      <alignment horizontal="center" vertical="center"/>
      <protection locked="0"/>
    </xf>
    <xf numFmtId="0" fontId="40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right" vertical="center"/>
    </xf>
    <xf numFmtId="0" fontId="2" fillId="0" borderId="30" xfId="0" applyFont="1" applyBorder="1" applyAlignment="1">
      <alignment horizontal="center" vertical="top" wrapText="1"/>
    </xf>
    <xf numFmtId="0" fontId="7" fillId="0" borderId="0" xfId="0" applyFont="1" applyAlignment="1">
      <alignment horizontal="left" vertical="top" wrapText="1"/>
    </xf>
    <xf numFmtId="0" fontId="2" fillId="0" borderId="8" xfId="0" applyFont="1" applyBorder="1" applyAlignment="1" applyProtection="1">
      <alignment horizontal="center" vertical="top"/>
      <protection locked="0"/>
    </xf>
    <xf numFmtId="0" fontId="4" fillId="0" borderId="8" xfId="0" applyFont="1" applyBorder="1" applyAlignment="1" applyProtection="1">
      <alignment horizontal="center" vertical="top" wrapText="1"/>
      <protection locked="0"/>
    </xf>
    <xf numFmtId="0" fontId="2" fillId="0" borderId="18" xfId="0" applyFont="1" applyBorder="1" applyAlignment="1" applyProtection="1">
      <alignment horizontal="left" vertical="top" wrapText="1"/>
      <protection locked="0"/>
    </xf>
    <xf numFmtId="0" fontId="4" fillId="0" borderId="25" xfId="0" applyFont="1" applyBorder="1" applyAlignment="1" applyProtection="1">
      <alignment horizontal="center" vertical="top"/>
      <protection locked="0"/>
    </xf>
    <xf numFmtId="4" fontId="6" fillId="0" borderId="8" xfId="0" applyNumberFormat="1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4" fontId="2" fillId="0" borderId="7" xfId="0" applyNumberFormat="1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right" vertical="center"/>
      <protection locked="0"/>
    </xf>
    <xf numFmtId="0" fontId="1" fillId="0" borderId="0" xfId="3" applyFont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right" vertical="center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4" fillId="0" borderId="5" xfId="0" applyFont="1" applyBorder="1" applyAlignment="1" applyProtection="1">
      <alignment horizontal="center" vertical="top" wrapText="1"/>
      <protection locked="0"/>
    </xf>
    <xf numFmtId="0" fontId="2" fillId="0" borderId="8" xfId="0" applyFont="1" applyBorder="1" applyAlignment="1" applyProtection="1">
      <alignment vertical="center" wrapText="1"/>
      <protection locked="0"/>
    </xf>
    <xf numFmtId="0" fontId="42" fillId="0" borderId="0" xfId="0" applyFont="1" applyAlignment="1">
      <alignment horizontal="right"/>
    </xf>
    <xf numFmtId="0" fontId="41" fillId="0" borderId="0" xfId="0" applyFont="1"/>
    <xf numFmtId="0" fontId="44" fillId="0" borderId="0" xfId="0" applyFont="1" applyAlignment="1">
      <alignment horizontal="center"/>
    </xf>
    <xf numFmtId="0" fontId="41" fillId="0" borderId="0" xfId="0" applyFont="1" applyAlignment="1">
      <alignment horizontal="left"/>
    </xf>
    <xf numFmtId="0" fontId="43" fillId="0" borderId="8" xfId="0" applyFont="1" applyBorder="1" applyAlignment="1">
      <alignment horizontal="center"/>
    </xf>
    <xf numFmtId="14" fontId="41" fillId="0" borderId="0" xfId="0" applyNumberFormat="1" applyFont="1" applyAlignment="1">
      <alignment horizontal="left"/>
    </xf>
    <xf numFmtId="0" fontId="7" fillId="0" borderId="8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2" fillId="0" borderId="8" xfId="0" applyFont="1" applyBorder="1" applyAlignment="1" applyProtection="1">
      <alignment horizontal="right" vertical="center"/>
      <protection locked="0"/>
    </xf>
    <xf numFmtId="0" fontId="1" fillId="0" borderId="18" xfId="0" applyFont="1" applyBorder="1" applyAlignment="1" applyProtection="1">
      <alignment horizontal="left" vertical="center"/>
      <protection locked="0"/>
    </xf>
  </cellXfs>
  <cellStyles count="9">
    <cellStyle name="Comma" xfId="1" builtinId="3"/>
    <cellStyle name="Hyperlink" xfId="2" builtinId="8"/>
    <cellStyle name="Normal" xfId="0" builtinId="0"/>
    <cellStyle name="Normal 3" xfId="3"/>
    <cellStyle name="Normal 4" xfId="4"/>
    <cellStyle name="Normal_IRR of Gazna" xfId="5"/>
    <cellStyle name="Percent" xfId="6" builtinId="5"/>
    <cellStyle name="桁区切り 3" xfId="7"/>
    <cellStyle name="標準 3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13"/>
  <sheetViews>
    <sheetView view="pageBreakPreview" topLeftCell="C3" zoomScale="115" zoomScaleNormal="25" zoomScaleSheetLayoutView="115" workbookViewId="0">
      <pane xSplit="1" ySplit="6" topLeftCell="D60" activePane="bottomRight" state="frozen"/>
      <selection activeCell="C3" sqref="C3"/>
      <selection pane="topRight" activeCell="D3" sqref="D3"/>
      <selection pane="bottomLeft" activeCell="C9" sqref="C9"/>
      <selection pane="bottomRight" activeCell="C63" sqref="C63"/>
    </sheetView>
  </sheetViews>
  <sheetFormatPr defaultColWidth="14.42578125" defaultRowHeight="12.75"/>
  <cols>
    <col min="1" max="1" width="5.7109375" style="570" customWidth="1"/>
    <col min="2" max="2" width="7.42578125" style="570" customWidth="1"/>
    <col min="3" max="3" width="84.7109375" style="437" customWidth="1"/>
    <col min="4" max="4" width="6.140625" style="437" customWidth="1"/>
    <col min="5" max="5" width="9" style="437" customWidth="1"/>
    <col min="6" max="6" width="11" style="437" customWidth="1"/>
    <col min="7" max="7" width="8.140625" style="570" customWidth="1"/>
    <col min="8" max="8" width="5.42578125" style="570" customWidth="1"/>
    <col min="9" max="9" width="7.7109375" style="570" customWidth="1"/>
    <col min="10" max="10" width="8.28515625" style="570" customWidth="1"/>
    <col min="11" max="11" width="6.140625" style="570" customWidth="1"/>
    <col min="12" max="12" width="4" style="570" customWidth="1"/>
    <col min="13" max="13" width="4.140625" style="570" customWidth="1"/>
    <col min="14" max="14" width="4.7109375" style="578" customWidth="1"/>
    <col min="15" max="15" width="8.140625" style="578" customWidth="1"/>
    <col min="16" max="16" width="8.5703125" style="578" customWidth="1"/>
    <col min="17" max="17" width="8.85546875" style="578" customWidth="1"/>
    <col min="18" max="18" width="5.42578125" style="578" customWidth="1"/>
    <col min="19" max="19" width="8.140625" style="578" customWidth="1"/>
    <col min="20" max="20" width="7.42578125" style="578" customWidth="1"/>
    <col min="21" max="21" width="6.28515625" style="578" customWidth="1"/>
    <col min="22" max="22" width="2.85546875" style="578" customWidth="1"/>
    <col min="23" max="23" width="2.7109375" style="578" customWidth="1"/>
    <col min="24" max="24" width="4.7109375" style="578" customWidth="1"/>
    <col min="25" max="25" width="7.42578125" style="578" customWidth="1"/>
    <col min="26" max="26" width="8.5703125" style="578" customWidth="1"/>
    <col min="27" max="27" width="9.28515625" style="578" bestFit="1" customWidth="1"/>
    <col min="28" max="28" width="5.7109375" style="578" customWidth="1"/>
    <col min="29" max="29" width="9.28515625" style="578" customWidth="1"/>
    <col min="30" max="30" width="8" style="578" customWidth="1"/>
    <col min="31" max="31" width="6.140625" style="578" customWidth="1"/>
    <col min="32" max="33" width="3" style="578" customWidth="1"/>
    <col min="34" max="34" width="5" style="578" customWidth="1"/>
    <col min="35" max="35" width="9.140625" style="578" customWidth="1"/>
    <col min="36" max="36" width="8" style="578" customWidth="1"/>
    <col min="37" max="37" width="8.7109375" style="578" customWidth="1"/>
    <col min="38" max="38" width="5.85546875" style="578" customWidth="1"/>
    <col min="39" max="40" width="8.42578125" style="578" customWidth="1"/>
    <col min="41" max="41" width="6.28515625" style="578" customWidth="1"/>
    <col min="42" max="42" width="2.7109375" style="578" customWidth="1"/>
    <col min="43" max="43" width="3.140625" style="578" customWidth="1"/>
    <col min="44" max="52" width="14.42578125" style="570" customWidth="1"/>
    <col min="53" max="16384" width="14.42578125" style="570"/>
  </cols>
  <sheetData>
    <row r="1" spans="1:43" ht="24.75" customHeight="1">
      <c r="A1" s="374" t="s">
        <v>0</v>
      </c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  <c r="M1" s="374"/>
      <c r="N1" s="440"/>
      <c r="O1" s="374"/>
      <c r="P1" s="374"/>
      <c r="Q1" s="374"/>
      <c r="R1" s="374"/>
      <c r="S1" s="374"/>
      <c r="T1" s="630" t="s">
        <v>1</v>
      </c>
      <c r="U1" s="631"/>
      <c r="V1" s="631"/>
      <c r="W1" s="631"/>
      <c r="X1" s="440"/>
      <c r="Y1" s="374"/>
      <c r="Z1" s="374"/>
      <c r="AA1" s="374"/>
      <c r="AB1" s="374"/>
      <c r="AC1" s="374"/>
      <c r="AD1" s="374"/>
      <c r="AE1" s="374"/>
      <c r="AF1" s="374"/>
      <c r="AG1" s="374"/>
      <c r="AH1" s="440"/>
      <c r="AI1" s="374"/>
      <c r="AJ1" s="374"/>
      <c r="AK1" s="630"/>
      <c r="AL1" s="631"/>
      <c r="AM1" s="631"/>
      <c r="AN1" s="631"/>
      <c r="AO1" s="374"/>
      <c r="AP1" s="374"/>
      <c r="AQ1" s="374"/>
    </row>
    <row r="2" spans="1:43" ht="10.5" customHeight="1"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  <c r="N2" s="441"/>
      <c r="O2" s="577"/>
      <c r="P2" s="577"/>
      <c r="Q2" s="186"/>
      <c r="R2" s="186"/>
      <c r="S2" s="632"/>
      <c r="T2" s="631"/>
      <c r="U2" s="631"/>
      <c r="V2" s="631"/>
      <c r="W2" s="631"/>
      <c r="X2" s="441"/>
      <c r="Y2" s="577"/>
      <c r="Z2" s="577"/>
      <c r="AA2" s="186"/>
      <c r="AB2" s="186"/>
      <c r="AC2" s="186"/>
      <c r="AM2" s="632"/>
      <c r="AN2" s="631"/>
      <c r="AO2" s="631"/>
      <c r="AP2" s="631"/>
      <c r="AQ2" s="631"/>
    </row>
    <row r="3" spans="1:43" ht="24.75" customHeight="1">
      <c r="A3" s="619" t="s">
        <v>2</v>
      </c>
      <c r="B3" s="619" t="s">
        <v>3</v>
      </c>
      <c r="C3" s="628" t="s">
        <v>4</v>
      </c>
      <c r="D3" s="629" t="s">
        <v>5</v>
      </c>
      <c r="E3" s="617"/>
      <c r="F3" s="617"/>
      <c r="G3" s="617"/>
      <c r="H3" s="617"/>
      <c r="I3" s="617"/>
      <c r="J3" s="617"/>
      <c r="K3" s="617"/>
      <c r="L3" s="617"/>
      <c r="M3" s="617"/>
      <c r="N3" s="634" t="s">
        <v>6</v>
      </c>
      <c r="O3" s="617"/>
      <c r="P3" s="617"/>
      <c r="Q3" s="617"/>
      <c r="R3" s="617"/>
      <c r="S3" s="617"/>
      <c r="T3" s="617"/>
      <c r="U3" s="617"/>
      <c r="V3" s="617"/>
      <c r="W3" s="618"/>
      <c r="X3" s="634" t="s">
        <v>7</v>
      </c>
      <c r="Y3" s="617"/>
      <c r="Z3" s="617"/>
      <c r="AA3" s="617"/>
      <c r="AB3" s="617"/>
      <c r="AC3" s="617"/>
      <c r="AD3" s="617"/>
      <c r="AE3" s="617"/>
      <c r="AF3" s="617"/>
      <c r="AG3" s="618"/>
      <c r="AH3" s="641" t="s">
        <v>8</v>
      </c>
      <c r="AI3" s="642"/>
      <c r="AJ3" s="642"/>
      <c r="AK3" s="642"/>
      <c r="AL3" s="642"/>
      <c r="AM3" s="642"/>
      <c r="AN3" s="642"/>
      <c r="AO3" s="642"/>
      <c r="AP3" s="642"/>
      <c r="AQ3" s="627"/>
    </row>
    <row r="4" spans="1:43" ht="12.75" customHeight="1">
      <c r="A4" s="624"/>
      <c r="B4" s="624"/>
      <c r="C4" s="624"/>
      <c r="D4" s="619" t="s">
        <v>9</v>
      </c>
      <c r="E4" s="623" t="s">
        <v>10</v>
      </c>
      <c r="F4" s="623" t="s">
        <v>11</v>
      </c>
      <c r="G4" s="617"/>
      <c r="H4" s="617"/>
      <c r="I4" s="617"/>
      <c r="J4" s="617"/>
      <c r="K4" s="617"/>
      <c r="L4" s="617"/>
      <c r="M4" s="618"/>
      <c r="N4" s="634" t="s">
        <v>9</v>
      </c>
      <c r="O4" s="637" t="s">
        <v>10</v>
      </c>
      <c r="P4" s="637" t="s">
        <v>11</v>
      </c>
      <c r="Q4" s="617"/>
      <c r="R4" s="617"/>
      <c r="S4" s="617"/>
      <c r="T4" s="617"/>
      <c r="U4" s="617"/>
      <c r="V4" s="617"/>
      <c r="W4" s="618"/>
      <c r="X4" s="634" t="s">
        <v>9</v>
      </c>
      <c r="Y4" s="637" t="s">
        <v>10</v>
      </c>
      <c r="Z4" s="637" t="s">
        <v>11</v>
      </c>
      <c r="AA4" s="617"/>
      <c r="AB4" s="617"/>
      <c r="AC4" s="617"/>
      <c r="AD4" s="617"/>
      <c r="AE4" s="617"/>
      <c r="AF4" s="617"/>
      <c r="AG4" s="618"/>
      <c r="AH4" s="634" t="s">
        <v>9</v>
      </c>
      <c r="AI4" s="637" t="s">
        <v>10</v>
      </c>
      <c r="AJ4" s="637" t="s">
        <v>11</v>
      </c>
      <c r="AK4" s="617"/>
      <c r="AL4" s="617"/>
      <c r="AM4" s="617"/>
      <c r="AN4" s="617"/>
      <c r="AO4" s="617"/>
      <c r="AP4" s="617"/>
      <c r="AQ4" s="618"/>
    </row>
    <row r="5" spans="1:43" ht="12.75" customHeight="1">
      <c r="A5" s="624"/>
      <c r="B5" s="624"/>
      <c r="C5" s="624"/>
      <c r="D5" s="624"/>
      <c r="E5" s="624"/>
      <c r="F5" s="619" t="s">
        <v>12</v>
      </c>
      <c r="G5" s="394" t="s">
        <v>13</v>
      </c>
      <c r="H5" s="619" t="s">
        <v>14</v>
      </c>
      <c r="I5" s="617"/>
      <c r="J5" s="617"/>
      <c r="K5" s="618"/>
      <c r="L5" s="633" t="s">
        <v>15</v>
      </c>
      <c r="M5" s="633" t="s">
        <v>16</v>
      </c>
      <c r="N5" s="624"/>
      <c r="O5" s="624"/>
      <c r="P5" s="634" t="s">
        <v>12</v>
      </c>
      <c r="Q5" s="634" t="s">
        <v>13</v>
      </c>
      <c r="R5" s="634" t="s">
        <v>14</v>
      </c>
      <c r="S5" s="617"/>
      <c r="T5" s="617"/>
      <c r="U5" s="618"/>
      <c r="V5" s="635" t="s">
        <v>15</v>
      </c>
      <c r="W5" s="635" t="s">
        <v>16</v>
      </c>
      <c r="X5" s="624"/>
      <c r="Y5" s="624"/>
      <c r="Z5" s="634" t="s">
        <v>12</v>
      </c>
      <c r="AA5" s="634" t="s">
        <v>13</v>
      </c>
      <c r="AB5" s="634" t="s">
        <v>14</v>
      </c>
      <c r="AC5" s="617"/>
      <c r="AD5" s="617"/>
      <c r="AE5" s="618"/>
      <c r="AF5" s="635" t="s">
        <v>15</v>
      </c>
      <c r="AG5" s="635" t="s">
        <v>16</v>
      </c>
      <c r="AH5" s="624"/>
      <c r="AI5" s="624"/>
      <c r="AJ5" s="634" t="s">
        <v>12</v>
      </c>
      <c r="AK5" s="634" t="s">
        <v>13</v>
      </c>
      <c r="AL5" s="634" t="s">
        <v>14</v>
      </c>
      <c r="AM5" s="617"/>
      <c r="AN5" s="617"/>
      <c r="AO5" s="618"/>
      <c r="AP5" s="635" t="s">
        <v>15</v>
      </c>
      <c r="AQ5" s="635" t="s">
        <v>16</v>
      </c>
    </row>
    <row r="6" spans="1:43" ht="18.75" customHeight="1">
      <c r="A6" s="624"/>
      <c r="B6" s="624"/>
      <c r="C6" s="624"/>
      <c r="D6" s="624"/>
      <c r="E6" s="624"/>
      <c r="F6" s="624"/>
      <c r="G6" s="395"/>
      <c r="H6" s="619" t="s">
        <v>17</v>
      </c>
      <c r="I6" s="618"/>
      <c r="J6" s="626" t="s">
        <v>18</v>
      </c>
      <c r="K6" s="627"/>
      <c r="L6" s="624"/>
      <c r="M6" s="624"/>
      <c r="N6" s="624"/>
      <c r="O6" s="624"/>
      <c r="P6" s="624"/>
      <c r="Q6" s="624"/>
      <c r="R6" s="634" t="s">
        <v>17</v>
      </c>
      <c r="S6" s="618"/>
      <c r="T6" s="636" t="s">
        <v>18</v>
      </c>
      <c r="U6" s="627"/>
      <c r="V6" s="624"/>
      <c r="W6" s="624"/>
      <c r="X6" s="624"/>
      <c r="Y6" s="624"/>
      <c r="Z6" s="624"/>
      <c r="AA6" s="624"/>
      <c r="AB6" s="634" t="s">
        <v>17</v>
      </c>
      <c r="AC6" s="618"/>
      <c r="AD6" s="636" t="s">
        <v>18</v>
      </c>
      <c r="AE6" s="627"/>
      <c r="AF6" s="624"/>
      <c r="AG6" s="624"/>
      <c r="AH6" s="624"/>
      <c r="AI6" s="624"/>
      <c r="AJ6" s="624"/>
      <c r="AK6" s="624"/>
      <c r="AL6" s="634" t="s">
        <v>17</v>
      </c>
      <c r="AM6" s="618"/>
      <c r="AN6" s="636" t="s">
        <v>18</v>
      </c>
      <c r="AO6" s="627"/>
      <c r="AP6" s="624"/>
      <c r="AQ6" s="624"/>
    </row>
    <row r="7" spans="1:43" ht="35.25" customHeight="1">
      <c r="A7" s="625"/>
      <c r="B7" s="625"/>
      <c r="C7" s="625"/>
      <c r="D7" s="625"/>
      <c r="E7" s="625"/>
      <c r="F7" s="625"/>
      <c r="G7" s="396"/>
      <c r="H7" s="397" t="s">
        <v>19</v>
      </c>
      <c r="I7" s="398" t="s">
        <v>20</v>
      </c>
      <c r="J7" s="397" t="s">
        <v>21</v>
      </c>
      <c r="K7" s="397" t="s">
        <v>22</v>
      </c>
      <c r="L7" s="625"/>
      <c r="M7" s="625"/>
      <c r="N7" s="625"/>
      <c r="O7" s="625"/>
      <c r="P7" s="625"/>
      <c r="Q7" s="625"/>
      <c r="R7" s="397" t="s">
        <v>19</v>
      </c>
      <c r="S7" s="581" t="s">
        <v>20</v>
      </c>
      <c r="T7" s="187" t="s">
        <v>21</v>
      </c>
      <c r="U7" s="397" t="s">
        <v>22</v>
      </c>
      <c r="V7" s="625"/>
      <c r="W7" s="625"/>
      <c r="X7" s="625"/>
      <c r="Y7" s="625"/>
      <c r="Z7" s="625"/>
      <c r="AA7" s="625"/>
      <c r="AB7" s="397" t="s">
        <v>19</v>
      </c>
      <c r="AC7" s="581" t="s">
        <v>20</v>
      </c>
      <c r="AD7" s="187" t="s">
        <v>21</v>
      </c>
      <c r="AE7" s="397" t="s">
        <v>22</v>
      </c>
      <c r="AF7" s="625"/>
      <c r="AG7" s="625"/>
      <c r="AH7" s="625"/>
      <c r="AI7" s="625"/>
      <c r="AJ7" s="625"/>
      <c r="AK7" s="625"/>
      <c r="AL7" s="397" t="s">
        <v>19</v>
      </c>
      <c r="AM7" s="581" t="s">
        <v>20</v>
      </c>
      <c r="AN7" s="187" t="s">
        <v>21</v>
      </c>
      <c r="AO7" s="397" t="s">
        <v>22</v>
      </c>
      <c r="AP7" s="625"/>
      <c r="AQ7" s="625"/>
    </row>
    <row r="8" spans="1:43" s="400" customFormat="1">
      <c r="A8" s="399">
        <v>1</v>
      </c>
      <c r="B8" s="399">
        <v>2</v>
      </c>
      <c r="C8" s="574">
        <v>3</v>
      </c>
      <c r="D8" s="574">
        <v>4</v>
      </c>
      <c r="E8" s="574">
        <v>5</v>
      </c>
      <c r="F8" s="396">
        <v>6</v>
      </c>
      <c r="G8" s="399">
        <v>7</v>
      </c>
      <c r="H8" s="399">
        <v>8</v>
      </c>
      <c r="I8" s="399">
        <v>9</v>
      </c>
      <c r="J8" s="399">
        <v>10</v>
      </c>
      <c r="K8" s="399">
        <v>11</v>
      </c>
      <c r="L8" s="399">
        <v>12</v>
      </c>
      <c r="M8" s="399">
        <v>13</v>
      </c>
      <c r="N8" s="574">
        <v>14</v>
      </c>
      <c r="O8" s="574">
        <v>15</v>
      </c>
      <c r="P8" s="396">
        <v>16</v>
      </c>
      <c r="Q8" s="399">
        <v>17</v>
      </c>
      <c r="R8" s="399">
        <v>18</v>
      </c>
      <c r="S8" s="399">
        <v>19</v>
      </c>
      <c r="T8" s="399">
        <v>20</v>
      </c>
      <c r="U8" s="399">
        <v>21</v>
      </c>
      <c r="V8" s="399">
        <v>22</v>
      </c>
      <c r="W8" s="399">
        <v>23</v>
      </c>
      <c r="X8" s="585">
        <v>24</v>
      </c>
      <c r="Y8" s="585">
        <v>25</v>
      </c>
      <c r="Z8" s="585">
        <v>26</v>
      </c>
      <c r="AA8" s="585">
        <v>27</v>
      </c>
      <c r="AB8" s="585">
        <v>28</v>
      </c>
      <c r="AC8" s="585">
        <v>29</v>
      </c>
      <c r="AD8" s="585">
        <v>30</v>
      </c>
      <c r="AE8" s="585">
        <v>31</v>
      </c>
      <c r="AF8" s="585">
        <v>32</v>
      </c>
      <c r="AG8" s="585">
        <v>33</v>
      </c>
      <c r="AH8" s="519">
        <v>34</v>
      </c>
      <c r="AI8" s="519">
        <v>35</v>
      </c>
      <c r="AJ8" s="519">
        <v>36</v>
      </c>
      <c r="AK8" s="519">
        <v>37</v>
      </c>
      <c r="AL8" s="585">
        <v>38</v>
      </c>
      <c r="AM8" s="585">
        <v>39</v>
      </c>
      <c r="AN8" s="585">
        <v>40</v>
      </c>
      <c r="AO8" s="585">
        <v>41</v>
      </c>
      <c r="AP8" s="585">
        <v>42</v>
      </c>
      <c r="AQ8" s="585">
        <v>43</v>
      </c>
    </row>
    <row r="9" spans="1:43" ht="15.75" customHeight="1">
      <c r="A9" s="640" t="s">
        <v>23</v>
      </c>
      <c r="B9" s="617"/>
      <c r="C9" s="618"/>
      <c r="D9" s="401"/>
      <c r="E9" s="401"/>
      <c r="F9" s="401"/>
      <c r="M9" s="402"/>
      <c r="N9" s="389"/>
      <c r="P9" s="466"/>
      <c r="Q9" s="466"/>
      <c r="U9" s="466"/>
      <c r="V9" s="466"/>
      <c r="W9" s="300"/>
      <c r="X9" s="466"/>
      <c r="AG9" s="188"/>
      <c r="AQ9" s="188"/>
    </row>
    <row r="10" spans="1:43" ht="13.5" customHeight="1">
      <c r="A10" s="403"/>
      <c r="B10" s="404">
        <v>4700</v>
      </c>
      <c r="C10" s="405" t="s">
        <v>24</v>
      </c>
      <c r="D10" s="405"/>
      <c r="E10" s="405"/>
      <c r="F10" s="318"/>
      <c r="G10" s="319"/>
      <c r="H10" s="319"/>
      <c r="I10" s="319"/>
      <c r="J10" s="319"/>
      <c r="K10" s="319"/>
      <c r="L10" s="406"/>
      <c r="M10" s="407"/>
      <c r="N10" s="442"/>
      <c r="O10" s="189"/>
      <c r="P10" s="189"/>
      <c r="Q10" s="496"/>
      <c r="R10" s="496"/>
      <c r="S10" s="496"/>
      <c r="T10" s="496"/>
      <c r="U10" s="496"/>
      <c r="V10" s="496"/>
      <c r="W10" s="189"/>
      <c r="X10" s="442"/>
      <c r="Y10" s="224"/>
      <c r="Z10" s="189"/>
      <c r="AA10" s="225"/>
      <c r="AB10" s="496"/>
      <c r="AC10" s="496"/>
      <c r="AD10" s="496"/>
      <c r="AE10" s="496"/>
      <c r="AF10" s="496"/>
      <c r="AG10" s="189"/>
      <c r="AH10" s="442"/>
      <c r="AI10" s="299"/>
      <c r="AJ10" s="189"/>
      <c r="AK10" s="225"/>
      <c r="AL10" s="496"/>
      <c r="AM10" s="496"/>
      <c r="AN10" s="496"/>
      <c r="AO10" s="496"/>
      <c r="AP10" s="496"/>
      <c r="AQ10" s="189"/>
    </row>
    <row r="11" spans="1:43" ht="17.25" customHeight="1">
      <c r="A11" s="403"/>
      <c r="B11" s="408">
        <v>4765</v>
      </c>
      <c r="C11" s="423" t="s">
        <v>25</v>
      </c>
      <c r="D11" s="409"/>
      <c r="E11" s="417" t="s">
        <v>26</v>
      </c>
      <c r="F11" s="318">
        <v>1.01</v>
      </c>
      <c r="G11" s="319">
        <v>1.01</v>
      </c>
      <c r="H11" s="566"/>
      <c r="I11" s="319">
        <v>0</v>
      </c>
      <c r="J11" s="319">
        <v>0</v>
      </c>
      <c r="K11" s="319"/>
      <c r="L11" s="406"/>
      <c r="M11" s="407"/>
      <c r="N11" s="443"/>
      <c r="O11" s="362" t="s">
        <v>26</v>
      </c>
      <c r="P11" s="189">
        <v>0.5</v>
      </c>
      <c r="Q11" s="496">
        <v>0.5</v>
      </c>
      <c r="R11" s="496"/>
      <c r="S11" s="496">
        <v>0</v>
      </c>
      <c r="T11" s="496">
        <v>0</v>
      </c>
      <c r="U11" s="496"/>
      <c r="V11" s="496"/>
      <c r="W11" s="189"/>
      <c r="X11" s="443"/>
      <c r="Y11" s="362" t="s">
        <v>26</v>
      </c>
      <c r="Z11" s="189">
        <v>2.0242</v>
      </c>
      <c r="AA11" s="496">
        <v>2.0242</v>
      </c>
      <c r="AB11" s="496"/>
      <c r="AC11" s="496">
        <v>0</v>
      </c>
      <c r="AD11" s="496">
        <v>0</v>
      </c>
      <c r="AE11" s="496"/>
      <c r="AF11" s="496"/>
      <c r="AG11" s="189"/>
      <c r="AH11" s="443"/>
      <c r="AI11" s="362" t="s">
        <v>26</v>
      </c>
      <c r="AJ11" s="189">
        <v>1.4658</v>
      </c>
      <c r="AK11" s="225">
        <v>1.4658</v>
      </c>
      <c r="AL11" s="496"/>
      <c r="AM11" s="496">
        <v>0</v>
      </c>
      <c r="AN11" s="496">
        <v>0</v>
      </c>
      <c r="AO11" s="496"/>
      <c r="AP11" s="496"/>
      <c r="AQ11" s="189"/>
    </row>
    <row r="12" spans="1:43" ht="17.25" customHeight="1">
      <c r="A12" s="403"/>
      <c r="B12" s="408">
        <v>4769</v>
      </c>
      <c r="C12" s="409" t="s">
        <v>27</v>
      </c>
      <c r="D12" s="409"/>
      <c r="E12" s="409"/>
      <c r="F12" s="318">
        <v>0</v>
      </c>
      <c r="G12" s="319">
        <v>0</v>
      </c>
      <c r="H12" s="566"/>
      <c r="I12" s="319">
        <v>0</v>
      </c>
      <c r="J12" s="319">
        <v>0</v>
      </c>
      <c r="K12" s="319"/>
      <c r="L12" s="406"/>
      <c r="M12" s="407"/>
      <c r="N12" s="443"/>
      <c r="O12" s="362" t="s">
        <v>26</v>
      </c>
      <c r="P12" s="189">
        <v>0</v>
      </c>
      <c r="Q12" s="496">
        <v>0</v>
      </c>
      <c r="R12" s="496"/>
      <c r="S12" s="496">
        <v>0</v>
      </c>
      <c r="T12" s="496">
        <v>0</v>
      </c>
      <c r="U12" s="496"/>
      <c r="V12" s="496"/>
      <c r="W12" s="189"/>
      <c r="X12" s="443"/>
      <c r="Y12" s="362" t="s">
        <v>26</v>
      </c>
      <c r="Z12" s="189">
        <v>6.3</v>
      </c>
      <c r="AA12" s="496">
        <v>6.3</v>
      </c>
      <c r="AB12" s="496"/>
      <c r="AC12" s="496">
        <v>0</v>
      </c>
      <c r="AD12" s="496">
        <v>0</v>
      </c>
      <c r="AE12" s="496"/>
      <c r="AF12" s="496"/>
      <c r="AG12" s="189"/>
      <c r="AH12" s="443"/>
      <c r="AI12" s="362" t="s">
        <v>26</v>
      </c>
      <c r="AJ12" s="189">
        <v>3.7</v>
      </c>
      <c r="AK12" s="225">
        <v>3.7</v>
      </c>
      <c r="AL12" s="496"/>
      <c r="AM12" s="496">
        <v>0</v>
      </c>
      <c r="AN12" s="496">
        <v>0</v>
      </c>
      <c r="AO12" s="496"/>
      <c r="AP12" s="496"/>
      <c r="AQ12" s="189"/>
    </row>
    <row r="13" spans="1:43" ht="17.25" customHeight="1">
      <c r="A13" s="403"/>
      <c r="B13" s="408">
        <v>4795</v>
      </c>
      <c r="C13" s="409" t="s">
        <v>28</v>
      </c>
      <c r="D13" s="409"/>
      <c r="E13" s="409"/>
      <c r="F13" s="318">
        <v>36.61</v>
      </c>
      <c r="G13" s="319">
        <v>36.61</v>
      </c>
      <c r="H13" s="566"/>
      <c r="I13" s="319">
        <v>0</v>
      </c>
      <c r="J13" s="319">
        <v>0</v>
      </c>
      <c r="K13" s="319"/>
      <c r="L13" s="406"/>
      <c r="M13" s="407"/>
      <c r="N13" s="443"/>
      <c r="O13" s="362" t="s">
        <v>26</v>
      </c>
      <c r="P13" s="189">
        <v>14</v>
      </c>
      <c r="Q13" s="496">
        <v>14</v>
      </c>
      <c r="R13" s="496"/>
      <c r="S13" s="496">
        <v>0</v>
      </c>
      <c r="T13" s="496">
        <v>0</v>
      </c>
      <c r="U13" s="496"/>
      <c r="V13" s="496"/>
      <c r="W13" s="189"/>
      <c r="X13" s="443"/>
      <c r="Y13" s="362" t="s">
        <v>26</v>
      </c>
      <c r="Z13" s="189">
        <v>53.634</v>
      </c>
      <c r="AA13" s="496">
        <v>53.634</v>
      </c>
      <c r="AB13" s="496"/>
      <c r="AC13" s="496">
        <v>0</v>
      </c>
      <c r="AD13" s="496">
        <v>0</v>
      </c>
      <c r="AE13" s="496"/>
      <c r="AF13" s="496"/>
      <c r="AG13" s="189"/>
      <c r="AH13" s="443"/>
      <c r="AI13" s="362" t="s">
        <v>26</v>
      </c>
      <c r="AJ13" s="189">
        <v>35.756</v>
      </c>
      <c r="AK13" s="225">
        <v>35.756</v>
      </c>
      <c r="AL13" s="496"/>
      <c r="AM13" s="496">
        <v>0</v>
      </c>
      <c r="AN13" s="496">
        <v>0</v>
      </c>
      <c r="AO13" s="496"/>
      <c r="AP13" s="496"/>
      <c r="AQ13" s="189"/>
    </row>
    <row r="14" spans="1:43" ht="17.25" customHeight="1">
      <c r="A14" s="403"/>
      <c r="B14" s="404">
        <v>4800</v>
      </c>
      <c r="C14" s="405" t="s">
        <v>29</v>
      </c>
      <c r="D14" s="405"/>
      <c r="E14" s="405"/>
      <c r="F14" s="318"/>
      <c r="G14" s="319"/>
      <c r="H14" s="319"/>
      <c r="I14" s="319"/>
      <c r="J14" s="319"/>
      <c r="K14" s="319"/>
      <c r="L14" s="406"/>
      <c r="M14" s="407"/>
      <c r="N14" s="442"/>
      <c r="O14" s="297"/>
      <c r="P14" s="189"/>
      <c r="Q14" s="496"/>
      <c r="R14" s="496"/>
      <c r="S14" s="496"/>
      <c r="T14" s="496"/>
      <c r="U14" s="496"/>
      <c r="V14" s="496"/>
      <c r="W14" s="189"/>
      <c r="X14" s="442"/>
      <c r="Y14" s="297"/>
      <c r="Z14" s="189"/>
      <c r="AA14" s="225"/>
      <c r="AB14" s="496"/>
      <c r="AC14" s="496"/>
      <c r="AD14" s="496"/>
      <c r="AE14" s="496"/>
      <c r="AF14" s="496"/>
      <c r="AG14" s="189"/>
      <c r="AH14" s="442"/>
      <c r="AI14" s="297"/>
      <c r="AJ14" s="189"/>
      <c r="AK14" s="225"/>
      <c r="AL14" s="496"/>
      <c r="AM14" s="496"/>
      <c r="AN14" s="496"/>
      <c r="AO14" s="496"/>
      <c r="AP14" s="496"/>
      <c r="AQ14" s="189"/>
    </row>
    <row r="15" spans="1:43" ht="18" customHeight="1">
      <c r="A15" s="403"/>
      <c r="B15" s="408">
        <v>4801</v>
      </c>
      <c r="C15" s="145" t="s">
        <v>30</v>
      </c>
      <c r="D15" s="409"/>
      <c r="E15" s="417" t="s">
        <v>26</v>
      </c>
      <c r="F15" s="318">
        <v>58.54</v>
      </c>
      <c r="G15" s="319">
        <v>58.54</v>
      </c>
      <c r="H15" s="566"/>
      <c r="I15" s="319">
        <v>0</v>
      </c>
      <c r="J15" s="319">
        <v>0</v>
      </c>
      <c r="K15" s="319"/>
      <c r="L15" s="406"/>
      <c r="M15" s="407"/>
      <c r="N15" s="443"/>
      <c r="O15" s="362" t="s">
        <v>26</v>
      </c>
      <c r="P15" s="189">
        <v>15</v>
      </c>
      <c r="Q15" s="496">
        <v>15</v>
      </c>
      <c r="R15" s="496"/>
      <c r="S15" s="496">
        <v>0</v>
      </c>
      <c r="T15" s="496">
        <v>0</v>
      </c>
      <c r="U15" s="496"/>
      <c r="V15" s="496"/>
      <c r="W15" s="189"/>
      <c r="X15" s="443"/>
      <c r="Y15" s="362" t="s">
        <v>26</v>
      </c>
      <c r="Z15" s="189">
        <v>28.805199999999999</v>
      </c>
      <c r="AA15" s="496">
        <v>28.805199999999999</v>
      </c>
      <c r="AB15" s="496"/>
      <c r="AC15" s="496">
        <v>0</v>
      </c>
      <c r="AD15" s="496">
        <v>0</v>
      </c>
      <c r="AE15" s="496"/>
      <c r="AF15" s="496"/>
      <c r="AG15" s="189"/>
      <c r="AH15" s="443"/>
      <c r="AI15" s="362" t="s">
        <v>26</v>
      </c>
      <c r="AJ15" s="189">
        <v>17.654800000000002</v>
      </c>
      <c r="AK15" s="225">
        <v>17.654800000000002</v>
      </c>
      <c r="AL15" s="496"/>
      <c r="AM15" s="496">
        <v>0</v>
      </c>
      <c r="AN15" s="496">
        <v>0</v>
      </c>
      <c r="AO15" s="496"/>
      <c r="AP15" s="496"/>
      <c r="AQ15" s="189"/>
    </row>
    <row r="16" spans="1:43" ht="16.5" customHeight="1">
      <c r="A16" s="403"/>
      <c r="B16" s="408">
        <v>4806</v>
      </c>
      <c r="C16" s="95" t="s">
        <v>31</v>
      </c>
      <c r="D16" s="409"/>
      <c r="E16" s="417" t="s">
        <v>26</v>
      </c>
      <c r="F16" s="318">
        <v>116.67</v>
      </c>
      <c r="G16" s="319">
        <v>116.67</v>
      </c>
      <c r="H16" s="566"/>
      <c r="I16" s="319">
        <v>0</v>
      </c>
      <c r="J16" s="319">
        <v>0</v>
      </c>
      <c r="K16" s="319"/>
      <c r="L16" s="406"/>
      <c r="M16" s="407"/>
      <c r="N16" s="443"/>
      <c r="O16" s="362" t="s">
        <v>26</v>
      </c>
      <c r="P16" s="189">
        <v>34.25</v>
      </c>
      <c r="Q16" s="496">
        <v>34.25</v>
      </c>
      <c r="R16" s="496"/>
      <c r="S16" s="496">
        <v>0</v>
      </c>
      <c r="T16" s="496">
        <v>0</v>
      </c>
      <c r="U16" s="496"/>
      <c r="V16" s="496"/>
      <c r="W16" s="189"/>
      <c r="X16" s="443"/>
      <c r="Y16" s="362" t="s">
        <v>26</v>
      </c>
      <c r="Z16" s="189">
        <v>58.329599999999992</v>
      </c>
      <c r="AA16" s="496">
        <v>58.329599999999992</v>
      </c>
      <c r="AB16" s="496"/>
      <c r="AC16" s="496">
        <v>0</v>
      </c>
      <c r="AD16" s="496">
        <v>0</v>
      </c>
      <c r="AE16" s="496"/>
      <c r="AF16" s="496"/>
      <c r="AG16" s="189"/>
      <c r="AH16" s="443"/>
      <c r="AI16" s="362" t="s">
        <v>26</v>
      </c>
      <c r="AJ16" s="189">
        <v>35.750399999999992</v>
      </c>
      <c r="AK16" s="225">
        <v>35.750399999999992</v>
      </c>
      <c r="AL16" s="496"/>
      <c r="AM16" s="496">
        <v>0</v>
      </c>
      <c r="AN16" s="496">
        <v>0</v>
      </c>
      <c r="AO16" s="496"/>
      <c r="AP16" s="496"/>
      <c r="AQ16" s="189"/>
    </row>
    <row r="17" spans="1:59" ht="30" customHeight="1">
      <c r="A17" s="403"/>
      <c r="B17" s="408">
        <v>4814</v>
      </c>
      <c r="C17" s="95" t="s">
        <v>32</v>
      </c>
      <c r="D17" s="409"/>
      <c r="E17" s="417" t="s">
        <v>26</v>
      </c>
      <c r="F17" s="318">
        <v>1603.18</v>
      </c>
      <c r="G17" s="319">
        <v>1603.18</v>
      </c>
      <c r="H17" s="566"/>
      <c r="I17" s="319">
        <v>0</v>
      </c>
      <c r="J17" s="319">
        <v>0</v>
      </c>
      <c r="K17" s="319"/>
      <c r="L17" s="406"/>
      <c r="M17" s="407"/>
      <c r="N17" s="443"/>
      <c r="O17" s="362" t="s">
        <v>26</v>
      </c>
      <c r="P17" s="189">
        <v>359.08</v>
      </c>
      <c r="Q17" s="496">
        <v>359.08</v>
      </c>
      <c r="R17" s="496"/>
      <c r="S17" s="496">
        <v>0</v>
      </c>
      <c r="T17" s="496">
        <v>0</v>
      </c>
      <c r="U17" s="496"/>
      <c r="V17" s="496"/>
      <c r="W17" s="189"/>
      <c r="X17" s="443"/>
      <c r="Y17" s="362" t="s">
        <v>26</v>
      </c>
      <c r="Z17" s="189">
        <v>367.72580000000011</v>
      </c>
      <c r="AA17" s="496">
        <v>367.72580000000011</v>
      </c>
      <c r="AB17" s="496"/>
      <c r="AC17" s="496">
        <v>0</v>
      </c>
      <c r="AD17" s="496">
        <v>0</v>
      </c>
      <c r="AE17" s="496"/>
      <c r="AF17" s="496"/>
      <c r="AG17" s="189"/>
      <c r="AH17" s="443"/>
      <c r="AI17" s="362" t="s">
        <v>26</v>
      </c>
      <c r="AJ17" s="189">
        <v>266.28420000000011</v>
      </c>
      <c r="AK17" s="225">
        <v>266.28420000000011</v>
      </c>
      <c r="AL17" s="496"/>
      <c r="AM17" s="496">
        <v>0</v>
      </c>
      <c r="AN17" s="496">
        <v>0</v>
      </c>
      <c r="AO17" s="496"/>
      <c r="AP17" s="496"/>
      <c r="AQ17" s="189"/>
    </row>
    <row r="18" spans="1:59" ht="16.5" customHeight="1">
      <c r="A18" s="403"/>
      <c r="B18" s="408">
        <v>4815</v>
      </c>
      <c r="C18" s="95" t="s">
        <v>33</v>
      </c>
      <c r="D18" s="409"/>
      <c r="E18" s="417" t="s">
        <v>26</v>
      </c>
      <c r="F18" s="318">
        <v>0.77</v>
      </c>
      <c r="G18" s="319">
        <v>0.77</v>
      </c>
      <c r="H18" s="566"/>
      <c r="I18" s="319">
        <v>0</v>
      </c>
      <c r="J18" s="319">
        <v>0</v>
      </c>
      <c r="K18" s="319"/>
      <c r="L18" s="406"/>
      <c r="M18" s="407"/>
      <c r="N18" s="443"/>
      <c r="O18" s="362" t="s">
        <v>26</v>
      </c>
      <c r="P18" s="189">
        <v>0.5</v>
      </c>
      <c r="Q18" s="496">
        <v>0.5</v>
      </c>
      <c r="R18" s="496"/>
      <c r="S18" s="496">
        <v>0</v>
      </c>
      <c r="T18" s="496">
        <v>0</v>
      </c>
      <c r="U18" s="496"/>
      <c r="V18" s="496"/>
      <c r="W18" s="189"/>
      <c r="X18" s="443"/>
      <c r="Y18" s="362" t="s">
        <v>26</v>
      </c>
      <c r="Z18" s="189">
        <v>2.1634000000000002</v>
      </c>
      <c r="AA18" s="496">
        <v>2.1634000000000002</v>
      </c>
      <c r="AB18" s="496"/>
      <c r="AC18" s="496">
        <v>0</v>
      </c>
      <c r="AD18" s="496">
        <v>0</v>
      </c>
      <c r="AE18" s="496"/>
      <c r="AF18" s="496"/>
      <c r="AG18" s="189"/>
      <c r="AH18" s="443"/>
      <c r="AI18" s="362" t="s">
        <v>26</v>
      </c>
      <c r="AJ18" s="189">
        <v>1.5666</v>
      </c>
      <c r="AK18" s="225">
        <v>1.5666</v>
      </c>
      <c r="AL18" s="496"/>
      <c r="AM18" s="496">
        <v>0</v>
      </c>
      <c r="AN18" s="496">
        <v>0</v>
      </c>
      <c r="AO18" s="496"/>
      <c r="AP18" s="496"/>
      <c r="AQ18" s="189"/>
    </row>
    <row r="19" spans="1:59" ht="16.5" customHeight="1">
      <c r="A19" s="403"/>
      <c r="B19" s="408">
        <v>4816</v>
      </c>
      <c r="C19" s="310" t="s">
        <v>34</v>
      </c>
      <c r="D19" s="409"/>
      <c r="E19" s="417" t="s">
        <v>26</v>
      </c>
      <c r="F19" s="318">
        <v>0.97</v>
      </c>
      <c r="G19" s="319">
        <v>0.97</v>
      </c>
      <c r="H19" s="566"/>
      <c r="I19" s="319">
        <v>0</v>
      </c>
      <c r="J19" s="319">
        <v>0</v>
      </c>
      <c r="K19" s="319"/>
      <c r="L19" s="406"/>
      <c r="M19" s="407"/>
      <c r="N19" s="443"/>
      <c r="O19" s="362" t="s">
        <v>26</v>
      </c>
      <c r="P19" s="189">
        <v>0.2</v>
      </c>
      <c r="Q19" s="496">
        <v>0.2</v>
      </c>
      <c r="R19" s="496"/>
      <c r="S19" s="496">
        <v>0</v>
      </c>
      <c r="T19" s="496">
        <v>0</v>
      </c>
      <c r="U19" s="496"/>
      <c r="V19" s="496"/>
      <c r="W19" s="189"/>
      <c r="X19" s="443"/>
      <c r="Y19" s="362" t="s">
        <v>26</v>
      </c>
      <c r="Z19" s="189">
        <v>2.3363</v>
      </c>
      <c r="AA19" s="496">
        <v>2.3363</v>
      </c>
      <c r="AB19" s="496"/>
      <c r="AC19" s="496">
        <v>0</v>
      </c>
      <c r="AD19" s="496">
        <v>0</v>
      </c>
      <c r="AE19" s="496"/>
      <c r="AF19" s="496"/>
      <c r="AG19" s="189"/>
      <c r="AH19" s="443"/>
      <c r="AI19" s="362" t="s">
        <v>26</v>
      </c>
      <c r="AJ19" s="189">
        <v>1.4937</v>
      </c>
      <c r="AK19" s="225">
        <v>1.4937</v>
      </c>
      <c r="AL19" s="496"/>
      <c r="AM19" s="496">
        <v>0</v>
      </c>
      <c r="AN19" s="496">
        <v>0</v>
      </c>
      <c r="AO19" s="496"/>
      <c r="AP19" s="496"/>
      <c r="AQ19" s="189"/>
    </row>
    <row r="20" spans="1:59" ht="16.5" customHeight="1">
      <c r="A20" s="403"/>
      <c r="B20" s="408">
        <v>4817</v>
      </c>
      <c r="C20" s="310" t="s">
        <v>35</v>
      </c>
      <c r="D20" s="409"/>
      <c r="E20" s="417" t="s">
        <v>26</v>
      </c>
      <c r="F20" s="318">
        <v>0.44</v>
      </c>
      <c r="G20" s="319">
        <v>0.44</v>
      </c>
      <c r="H20" s="566"/>
      <c r="I20" s="319">
        <v>0</v>
      </c>
      <c r="J20" s="319">
        <v>0</v>
      </c>
      <c r="K20" s="319"/>
      <c r="L20" s="406"/>
      <c r="M20" s="407"/>
      <c r="N20" s="443"/>
      <c r="O20" s="362" t="s">
        <v>26</v>
      </c>
      <c r="P20" s="189">
        <v>0.2</v>
      </c>
      <c r="Q20" s="496">
        <v>0.2</v>
      </c>
      <c r="R20" s="496"/>
      <c r="S20" s="496">
        <v>0</v>
      </c>
      <c r="T20" s="496">
        <v>0</v>
      </c>
      <c r="U20" s="496"/>
      <c r="V20" s="496"/>
      <c r="W20" s="189"/>
      <c r="X20" s="443"/>
      <c r="Y20" s="362" t="s">
        <v>26</v>
      </c>
      <c r="Z20" s="189">
        <v>2.4416000000000002</v>
      </c>
      <c r="AA20" s="496">
        <v>2.4416000000000002</v>
      </c>
      <c r="AB20" s="496"/>
      <c r="AC20" s="496">
        <v>0</v>
      </c>
      <c r="AD20" s="496">
        <v>0</v>
      </c>
      <c r="AE20" s="496"/>
      <c r="AF20" s="496"/>
      <c r="AG20" s="189"/>
      <c r="AH20" s="443"/>
      <c r="AI20" s="362" t="s">
        <v>26</v>
      </c>
      <c r="AJ20" s="189">
        <v>1.9184000000000001</v>
      </c>
      <c r="AK20" s="225">
        <v>1.9184000000000001</v>
      </c>
      <c r="AL20" s="496"/>
      <c r="AM20" s="496">
        <v>0</v>
      </c>
      <c r="AN20" s="496">
        <v>0</v>
      </c>
      <c r="AO20" s="496"/>
      <c r="AP20" s="496"/>
      <c r="AQ20" s="189"/>
    </row>
    <row r="21" spans="1:59" ht="16.5" customHeight="1">
      <c r="A21" s="403"/>
      <c r="B21" s="410">
        <v>4818</v>
      </c>
      <c r="C21" s="310" t="s">
        <v>36</v>
      </c>
      <c r="D21" s="409"/>
      <c r="E21" s="417" t="s">
        <v>26</v>
      </c>
      <c r="F21" s="318">
        <v>11.92</v>
      </c>
      <c r="G21" s="319">
        <v>11.92</v>
      </c>
      <c r="H21" s="566"/>
      <c r="I21" s="319">
        <v>0</v>
      </c>
      <c r="J21" s="319">
        <v>0</v>
      </c>
      <c r="K21" s="319"/>
      <c r="L21" s="406"/>
      <c r="M21" s="407"/>
      <c r="N21" s="443"/>
      <c r="O21" s="362"/>
      <c r="P21" s="189">
        <v>1</v>
      </c>
      <c r="Q21" s="496">
        <v>1</v>
      </c>
      <c r="R21" s="496"/>
      <c r="S21" s="496">
        <v>0</v>
      </c>
      <c r="T21" s="496">
        <v>0</v>
      </c>
      <c r="U21" s="496"/>
      <c r="V21" s="496"/>
      <c r="W21" s="189"/>
      <c r="X21" s="443"/>
      <c r="Y21" s="362"/>
      <c r="Z21" s="189">
        <v>4.4604000000000008</v>
      </c>
      <c r="AA21" s="225">
        <v>4.4604000000000008</v>
      </c>
      <c r="AB21" s="496"/>
      <c r="AC21" s="496">
        <v>0</v>
      </c>
      <c r="AD21" s="496">
        <v>0</v>
      </c>
      <c r="AE21" s="496"/>
      <c r="AF21" s="496"/>
      <c r="AG21" s="189"/>
      <c r="AH21" s="443"/>
      <c r="AI21" s="362"/>
      <c r="AJ21" s="189">
        <v>2.619600000000001</v>
      </c>
      <c r="AK21" s="225">
        <v>2.619600000000001</v>
      </c>
      <c r="AL21" s="496"/>
      <c r="AM21" s="496">
        <v>0</v>
      </c>
      <c r="AN21" s="496">
        <v>0</v>
      </c>
      <c r="AO21" s="496"/>
      <c r="AP21" s="496"/>
      <c r="AQ21" s="189"/>
    </row>
    <row r="22" spans="1:59" ht="16.5" customHeight="1">
      <c r="A22" s="403"/>
      <c r="B22" s="408">
        <v>4819</v>
      </c>
      <c r="C22" s="310" t="s">
        <v>37</v>
      </c>
      <c r="D22" s="409"/>
      <c r="E22" s="417" t="s">
        <v>26</v>
      </c>
      <c r="F22" s="318">
        <v>1.1100000000000001</v>
      </c>
      <c r="G22" s="319">
        <v>1.1100000000000001</v>
      </c>
      <c r="H22" s="566"/>
      <c r="I22" s="319">
        <v>0</v>
      </c>
      <c r="J22" s="319">
        <v>0</v>
      </c>
      <c r="K22" s="319"/>
      <c r="L22" s="406"/>
      <c r="M22" s="407"/>
      <c r="N22" s="443"/>
      <c r="O22" s="362" t="s">
        <v>26</v>
      </c>
      <c r="P22" s="189">
        <v>0.45</v>
      </c>
      <c r="Q22" s="496">
        <v>0.45</v>
      </c>
      <c r="R22" s="496"/>
      <c r="S22" s="496">
        <v>0</v>
      </c>
      <c r="T22" s="496">
        <v>0</v>
      </c>
      <c r="U22" s="496"/>
      <c r="V22" s="496"/>
      <c r="W22" s="189"/>
      <c r="X22" s="443"/>
      <c r="Y22" s="362" t="s">
        <v>26</v>
      </c>
      <c r="Z22" s="189">
        <v>2.0983999999999998</v>
      </c>
      <c r="AA22" s="225">
        <v>2.0983999999999998</v>
      </c>
      <c r="AB22" s="496"/>
      <c r="AC22" s="496">
        <v>0</v>
      </c>
      <c r="AD22" s="496">
        <v>0</v>
      </c>
      <c r="AE22" s="496"/>
      <c r="AF22" s="496"/>
      <c r="AG22" s="189"/>
      <c r="AH22" s="443"/>
      <c r="AI22" s="362" t="s">
        <v>26</v>
      </c>
      <c r="AJ22" s="189">
        <v>1.3415999999999999</v>
      </c>
      <c r="AK22" s="225">
        <v>1.3415999999999999</v>
      </c>
      <c r="AL22" s="496"/>
      <c r="AM22" s="496">
        <v>0</v>
      </c>
      <c r="AN22" s="496">
        <v>0</v>
      </c>
      <c r="AO22" s="496"/>
      <c r="AP22" s="496"/>
      <c r="AQ22" s="189"/>
      <c r="AR22" s="411"/>
      <c r="AS22" s="412"/>
      <c r="AT22" s="412"/>
      <c r="AU22" s="412"/>
      <c r="AV22" s="412"/>
      <c r="AW22" s="411"/>
      <c r="AX22" s="412"/>
      <c r="AY22" s="412"/>
      <c r="AZ22" s="412"/>
      <c r="BA22" s="412"/>
      <c r="BB22" s="411"/>
      <c r="BC22" s="412"/>
      <c r="BD22" s="412"/>
      <c r="BE22" s="412"/>
      <c r="BF22" s="412"/>
      <c r="BG22" s="411"/>
    </row>
    <row r="23" spans="1:59" ht="18" customHeight="1">
      <c r="A23" s="403"/>
      <c r="B23" s="408">
        <v>4821</v>
      </c>
      <c r="C23" s="310" t="s">
        <v>38</v>
      </c>
      <c r="D23" s="409"/>
      <c r="E23" s="417" t="s">
        <v>26</v>
      </c>
      <c r="F23" s="318">
        <v>8.74</v>
      </c>
      <c r="G23" s="319">
        <v>8.74</v>
      </c>
      <c r="H23" s="566"/>
      <c r="I23" s="319">
        <v>0</v>
      </c>
      <c r="J23" s="319">
        <v>0</v>
      </c>
      <c r="K23" s="319"/>
      <c r="L23" s="406"/>
      <c r="M23" s="407"/>
      <c r="N23" s="443"/>
      <c r="O23" s="362" t="s">
        <v>26</v>
      </c>
      <c r="P23" s="189">
        <v>3.5</v>
      </c>
      <c r="Q23" s="496">
        <v>3.5</v>
      </c>
      <c r="R23" s="496"/>
      <c r="S23" s="496">
        <v>0</v>
      </c>
      <c r="T23" s="496">
        <v>0</v>
      </c>
      <c r="U23" s="496"/>
      <c r="V23" s="496"/>
      <c r="W23" s="189"/>
      <c r="X23" s="443"/>
      <c r="Y23" s="362" t="s">
        <v>26</v>
      </c>
      <c r="Z23" s="189">
        <v>4.2679999999999998</v>
      </c>
      <c r="AA23" s="496">
        <v>4.2679999999999998</v>
      </c>
      <c r="AB23" s="496"/>
      <c r="AC23" s="496">
        <v>0</v>
      </c>
      <c r="AD23" s="496">
        <v>0</v>
      </c>
      <c r="AE23" s="496"/>
      <c r="AF23" s="496"/>
      <c r="AG23" s="189"/>
      <c r="AH23" s="443"/>
      <c r="AI23" s="362" t="s">
        <v>26</v>
      </c>
      <c r="AJ23" s="189">
        <v>3.492</v>
      </c>
      <c r="AK23" s="225">
        <v>3.492</v>
      </c>
      <c r="AL23" s="496"/>
      <c r="AM23" s="496">
        <v>0</v>
      </c>
      <c r="AN23" s="496">
        <v>0</v>
      </c>
      <c r="AO23" s="496"/>
      <c r="AP23" s="496"/>
      <c r="AQ23" s="189"/>
    </row>
    <row r="24" spans="1:59" ht="15.75" customHeight="1">
      <c r="A24" s="403"/>
      <c r="B24" s="408">
        <v>4822</v>
      </c>
      <c r="C24" s="423" t="s">
        <v>39</v>
      </c>
      <c r="D24" s="409"/>
      <c r="E24" s="417" t="s">
        <v>26</v>
      </c>
      <c r="F24" s="318">
        <v>17.52</v>
      </c>
      <c r="G24" s="319">
        <v>17.52</v>
      </c>
      <c r="H24" s="566"/>
      <c r="I24" s="319">
        <v>0</v>
      </c>
      <c r="J24" s="319">
        <v>0</v>
      </c>
      <c r="K24" s="319"/>
      <c r="L24" s="406"/>
      <c r="M24" s="407"/>
      <c r="N24" s="443"/>
      <c r="O24" s="362" t="s">
        <v>26</v>
      </c>
      <c r="P24" s="189">
        <v>6</v>
      </c>
      <c r="Q24" s="496">
        <v>6</v>
      </c>
      <c r="R24" s="496"/>
      <c r="S24" s="496">
        <v>0</v>
      </c>
      <c r="T24" s="496">
        <v>0</v>
      </c>
      <c r="U24" s="496"/>
      <c r="V24" s="496"/>
      <c r="W24" s="189"/>
      <c r="X24" s="443"/>
      <c r="Y24" s="362" t="s">
        <v>26</v>
      </c>
      <c r="Z24" s="189">
        <v>46.652799999999999</v>
      </c>
      <c r="AA24" s="225">
        <v>46.652799999999999</v>
      </c>
      <c r="AB24" s="496"/>
      <c r="AC24" s="496">
        <v>0</v>
      </c>
      <c r="AD24" s="496">
        <v>0</v>
      </c>
      <c r="AE24" s="496"/>
      <c r="AF24" s="496"/>
      <c r="AG24" s="189"/>
      <c r="AH24" s="443"/>
      <c r="AI24" s="362" t="s">
        <v>26</v>
      </c>
      <c r="AJ24" s="189">
        <v>29.827200000000001</v>
      </c>
      <c r="AK24" s="225">
        <v>29.827200000000001</v>
      </c>
      <c r="AL24" s="496"/>
      <c r="AM24" s="496">
        <v>0</v>
      </c>
      <c r="AN24" s="496">
        <v>0</v>
      </c>
      <c r="AO24" s="496"/>
      <c r="AP24" s="496"/>
      <c r="AQ24" s="189"/>
    </row>
    <row r="25" spans="1:59" ht="15.75" customHeight="1">
      <c r="A25" s="403"/>
      <c r="B25" s="408">
        <v>4823</v>
      </c>
      <c r="C25" s="423" t="s">
        <v>40</v>
      </c>
      <c r="D25" s="409"/>
      <c r="E25" s="417" t="s">
        <v>26</v>
      </c>
      <c r="F25" s="318">
        <v>64.59</v>
      </c>
      <c r="G25" s="319">
        <v>64.59</v>
      </c>
      <c r="H25" s="566"/>
      <c r="I25" s="319">
        <v>0</v>
      </c>
      <c r="J25" s="319">
        <v>0</v>
      </c>
      <c r="K25" s="319"/>
      <c r="L25" s="406"/>
      <c r="M25" s="407"/>
      <c r="N25" s="443"/>
      <c r="O25" s="362" t="s">
        <v>26</v>
      </c>
      <c r="P25" s="189">
        <v>20</v>
      </c>
      <c r="Q25" s="496">
        <v>20</v>
      </c>
      <c r="R25" s="496"/>
      <c r="S25" s="496">
        <v>0</v>
      </c>
      <c r="T25" s="496">
        <v>0</v>
      </c>
      <c r="U25" s="496"/>
      <c r="V25" s="496"/>
      <c r="W25" s="189"/>
      <c r="X25" s="443"/>
      <c r="Y25" s="362" t="s">
        <v>26</v>
      </c>
      <c r="Z25" s="189">
        <v>65.783699999999996</v>
      </c>
      <c r="AA25" s="225">
        <v>65.783699999999996</v>
      </c>
      <c r="AB25" s="496"/>
      <c r="AC25" s="496">
        <v>0</v>
      </c>
      <c r="AD25" s="496">
        <v>0</v>
      </c>
      <c r="AE25" s="496"/>
      <c r="AF25" s="496"/>
      <c r="AG25" s="189"/>
      <c r="AH25" s="443"/>
      <c r="AI25" s="362" t="s">
        <v>26</v>
      </c>
      <c r="AJ25" s="189">
        <v>49.626300000000001</v>
      </c>
      <c r="AK25" s="225">
        <v>49.626300000000001</v>
      </c>
      <c r="AL25" s="496"/>
      <c r="AM25" s="496">
        <v>0</v>
      </c>
      <c r="AN25" s="496">
        <v>0</v>
      </c>
      <c r="AO25" s="496"/>
      <c r="AP25" s="496"/>
      <c r="AQ25" s="189"/>
    </row>
    <row r="26" spans="1:59" ht="15.75" customHeight="1">
      <c r="A26" s="403"/>
      <c r="B26" s="408">
        <v>4824</v>
      </c>
      <c r="C26" s="423" t="s">
        <v>41</v>
      </c>
      <c r="D26" s="409"/>
      <c r="E26" s="417" t="s">
        <v>26</v>
      </c>
      <c r="F26" s="318">
        <v>1.1599999999999999</v>
      </c>
      <c r="G26" s="319">
        <v>1.1599999999999999</v>
      </c>
      <c r="H26" s="566"/>
      <c r="I26" s="319">
        <v>0</v>
      </c>
      <c r="J26" s="319">
        <v>0</v>
      </c>
      <c r="K26" s="319"/>
      <c r="L26" s="406"/>
      <c r="M26" s="407"/>
      <c r="N26" s="443"/>
      <c r="O26" s="362" t="s">
        <v>26</v>
      </c>
      <c r="P26" s="189">
        <v>0.15</v>
      </c>
      <c r="Q26" s="496">
        <v>0.15</v>
      </c>
      <c r="R26" s="496"/>
      <c r="S26" s="496">
        <v>0</v>
      </c>
      <c r="T26" s="496">
        <v>0</v>
      </c>
      <c r="U26" s="496"/>
      <c r="V26" s="496"/>
      <c r="W26" s="189"/>
      <c r="X26" s="443"/>
      <c r="Y26" s="362" t="s">
        <v>26</v>
      </c>
      <c r="Z26" s="189">
        <v>0.92949999999999999</v>
      </c>
      <c r="AA26" s="225">
        <v>0.92949999999999999</v>
      </c>
      <c r="AB26" s="496"/>
      <c r="AC26" s="496">
        <v>0</v>
      </c>
      <c r="AD26" s="496">
        <v>0</v>
      </c>
      <c r="AE26" s="496"/>
      <c r="AF26" s="496"/>
      <c r="AG26" s="189"/>
      <c r="AH26" s="443"/>
      <c r="AI26" s="362"/>
      <c r="AJ26" s="189">
        <v>0.76049999999999995</v>
      </c>
      <c r="AK26" s="225">
        <v>0.76049999999999995</v>
      </c>
      <c r="AL26" s="496"/>
      <c r="AM26" s="496">
        <v>0</v>
      </c>
      <c r="AN26" s="496">
        <v>0</v>
      </c>
      <c r="AO26" s="496"/>
      <c r="AP26" s="496"/>
      <c r="AQ26" s="189"/>
    </row>
    <row r="27" spans="1:59" ht="15.75" customHeight="1">
      <c r="A27" s="403"/>
      <c r="B27" s="408">
        <v>4827</v>
      </c>
      <c r="C27" s="423" t="s">
        <v>42</v>
      </c>
      <c r="D27" s="409"/>
      <c r="E27" s="417" t="s">
        <v>26</v>
      </c>
      <c r="F27" s="318">
        <v>34.159999999999997</v>
      </c>
      <c r="G27" s="319">
        <v>34.159999999999997</v>
      </c>
      <c r="H27" s="566"/>
      <c r="I27" s="319">
        <v>0</v>
      </c>
      <c r="J27" s="319">
        <v>0</v>
      </c>
      <c r="K27" s="319"/>
      <c r="L27" s="406"/>
      <c r="M27" s="407"/>
      <c r="N27" s="443"/>
      <c r="O27" s="362" t="s">
        <v>26</v>
      </c>
      <c r="P27" s="189">
        <v>0.5</v>
      </c>
      <c r="Q27" s="496">
        <v>0.5</v>
      </c>
      <c r="R27" s="496"/>
      <c r="S27" s="496">
        <v>0</v>
      </c>
      <c r="T27" s="496">
        <v>0</v>
      </c>
      <c r="U27" s="496"/>
      <c r="V27" s="496"/>
      <c r="W27" s="189"/>
      <c r="X27" s="443"/>
      <c r="Y27" s="362" t="s">
        <v>26</v>
      </c>
      <c r="Z27" s="189">
        <v>9.3574000000000019</v>
      </c>
      <c r="AA27" s="225">
        <v>9.3574000000000019</v>
      </c>
      <c r="AB27" s="496"/>
      <c r="AC27" s="496">
        <v>0</v>
      </c>
      <c r="AD27" s="496">
        <v>0</v>
      </c>
      <c r="AE27" s="496"/>
      <c r="AF27" s="496"/>
      <c r="AG27" s="189"/>
      <c r="AH27" s="443"/>
      <c r="AI27" s="362" t="s">
        <v>26</v>
      </c>
      <c r="AJ27" s="189">
        <v>5.9826000000000006</v>
      </c>
      <c r="AK27" s="225">
        <v>5.9826000000000006</v>
      </c>
      <c r="AL27" s="496"/>
      <c r="AM27" s="496">
        <v>0</v>
      </c>
      <c r="AN27" s="496">
        <v>0</v>
      </c>
      <c r="AO27" s="496"/>
      <c r="AP27" s="496"/>
      <c r="AQ27" s="189"/>
    </row>
    <row r="28" spans="1:59" ht="18.75" customHeight="1">
      <c r="A28" s="403"/>
      <c r="B28" s="408">
        <v>4828</v>
      </c>
      <c r="C28" s="423" t="s">
        <v>43</v>
      </c>
      <c r="D28" s="409"/>
      <c r="E28" s="417" t="s">
        <v>26</v>
      </c>
      <c r="F28" s="318">
        <v>49.91</v>
      </c>
      <c r="G28" s="319">
        <v>49.91</v>
      </c>
      <c r="H28" s="566"/>
      <c r="I28" s="319">
        <v>0</v>
      </c>
      <c r="J28" s="319">
        <v>0</v>
      </c>
      <c r="K28" s="319"/>
      <c r="L28" s="406"/>
      <c r="M28" s="407"/>
      <c r="N28" s="443"/>
      <c r="O28" s="362" t="s">
        <v>26</v>
      </c>
      <c r="P28" s="189">
        <v>20</v>
      </c>
      <c r="Q28" s="496">
        <v>20</v>
      </c>
      <c r="R28" s="496"/>
      <c r="S28" s="496">
        <v>0</v>
      </c>
      <c r="T28" s="496">
        <v>0</v>
      </c>
      <c r="U28" s="496"/>
      <c r="V28" s="496"/>
      <c r="W28" s="189"/>
      <c r="X28" s="443"/>
      <c r="Y28" s="362" t="s">
        <v>26</v>
      </c>
      <c r="Z28" s="189">
        <v>31.556699999999999</v>
      </c>
      <c r="AA28" s="225">
        <v>31.556699999999999</v>
      </c>
      <c r="AB28" s="496"/>
      <c r="AC28" s="496">
        <v>0</v>
      </c>
      <c r="AD28" s="496">
        <v>0</v>
      </c>
      <c r="AE28" s="496"/>
      <c r="AF28" s="496"/>
      <c r="AG28" s="189"/>
      <c r="AH28" s="443"/>
      <c r="AI28" s="362" t="s">
        <v>26</v>
      </c>
      <c r="AJ28" s="189">
        <v>18.533300000000001</v>
      </c>
      <c r="AK28" s="225">
        <v>18.533300000000001</v>
      </c>
      <c r="AL28" s="496"/>
      <c r="AM28" s="496">
        <v>0</v>
      </c>
      <c r="AN28" s="496">
        <v>0</v>
      </c>
      <c r="AO28" s="496"/>
      <c r="AP28" s="496"/>
      <c r="AQ28" s="189"/>
    </row>
    <row r="29" spans="1:59" ht="15.75" customHeight="1">
      <c r="A29" s="403"/>
      <c r="B29" s="408">
        <v>4831</v>
      </c>
      <c r="C29" s="423" t="s">
        <v>44</v>
      </c>
      <c r="D29" s="409"/>
      <c r="E29" s="417" t="s">
        <v>26</v>
      </c>
      <c r="F29" s="318">
        <v>0.28000000000000003</v>
      </c>
      <c r="G29" s="319">
        <v>0.28000000000000003</v>
      </c>
      <c r="H29" s="566"/>
      <c r="I29" s="319">
        <v>0</v>
      </c>
      <c r="J29" s="319">
        <v>0</v>
      </c>
      <c r="K29" s="319"/>
      <c r="L29" s="406"/>
      <c r="M29" s="407"/>
      <c r="N29" s="443"/>
      <c r="O29" s="362" t="s">
        <v>26</v>
      </c>
      <c r="P29" s="189">
        <v>0.2</v>
      </c>
      <c r="Q29" s="496">
        <v>0.2</v>
      </c>
      <c r="R29" s="496"/>
      <c r="S29" s="496">
        <v>0</v>
      </c>
      <c r="T29" s="496">
        <v>0</v>
      </c>
      <c r="U29" s="496"/>
      <c r="V29" s="496"/>
      <c r="W29" s="189"/>
      <c r="X29" s="443"/>
      <c r="Y29" s="362" t="s">
        <v>26</v>
      </c>
      <c r="Z29" s="189">
        <v>0.88159999999999994</v>
      </c>
      <c r="AA29" s="496">
        <v>0.88159999999999994</v>
      </c>
      <c r="AB29" s="496"/>
      <c r="AC29" s="496">
        <v>0</v>
      </c>
      <c r="AD29" s="496">
        <v>0</v>
      </c>
      <c r="AE29" s="496"/>
      <c r="AF29" s="496"/>
      <c r="AG29" s="189"/>
      <c r="AH29" s="443"/>
      <c r="AI29" s="362" t="s">
        <v>26</v>
      </c>
      <c r="AJ29" s="189">
        <v>0.63839999999999997</v>
      </c>
      <c r="AK29" s="225">
        <v>0.63839999999999997</v>
      </c>
      <c r="AL29" s="496"/>
      <c r="AM29" s="496">
        <v>0</v>
      </c>
      <c r="AN29" s="496">
        <v>0</v>
      </c>
      <c r="AO29" s="496"/>
      <c r="AP29" s="496"/>
      <c r="AQ29" s="189"/>
    </row>
    <row r="30" spans="1:59" ht="15.75" customHeight="1">
      <c r="A30" s="403"/>
      <c r="B30" s="413">
        <v>4840</v>
      </c>
      <c r="C30" s="106" t="s">
        <v>45</v>
      </c>
      <c r="D30" s="405"/>
      <c r="E30" s="405"/>
      <c r="F30" s="318"/>
      <c r="G30" s="319"/>
      <c r="H30" s="319"/>
      <c r="I30" s="319"/>
      <c r="J30" s="319"/>
      <c r="K30" s="319"/>
      <c r="L30" s="406"/>
      <c r="M30" s="407"/>
      <c r="N30" s="442"/>
      <c r="O30" s="297"/>
      <c r="P30" s="189"/>
      <c r="Q30" s="496"/>
      <c r="R30" s="496"/>
      <c r="S30" s="496"/>
      <c r="T30" s="496"/>
      <c r="U30" s="496"/>
      <c r="V30" s="496"/>
      <c r="W30" s="189"/>
      <c r="X30" s="442"/>
      <c r="Y30" s="297"/>
      <c r="Z30" s="189"/>
      <c r="AA30" s="496"/>
      <c r="AB30" s="496"/>
      <c r="AC30" s="496"/>
      <c r="AD30" s="496"/>
      <c r="AE30" s="496"/>
      <c r="AF30" s="496"/>
      <c r="AG30" s="189"/>
      <c r="AH30" s="442"/>
      <c r="AI30" s="297"/>
      <c r="AJ30" s="189"/>
      <c r="AK30" s="225"/>
      <c r="AL30" s="496"/>
      <c r="AM30" s="496"/>
      <c r="AN30" s="496"/>
      <c r="AO30" s="496"/>
      <c r="AP30" s="496"/>
      <c r="AQ30" s="189"/>
    </row>
    <row r="31" spans="1:59" ht="13.5" customHeight="1">
      <c r="A31" s="403"/>
      <c r="B31" s="414"/>
      <c r="C31" s="498" t="s">
        <v>46</v>
      </c>
      <c r="D31" s="415"/>
      <c r="E31" s="415"/>
      <c r="F31" s="318">
        <v>0</v>
      </c>
      <c r="G31" s="319">
        <v>0</v>
      </c>
      <c r="H31" s="566"/>
      <c r="I31" s="319">
        <v>0</v>
      </c>
      <c r="J31" s="319">
        <v>0</v>
      </c>
      <c r="K31" s="319"/>
      <c r="L31" s="406"/>
      <c r="M31" s="407"/>
      <c r="N31" s="439"/>
      <c r="O31" s="304"/>
      <c r="P31" s="189">
        <v>0</v>
      </c>
      <c r="Q31" s="496">
        <v>0</v>
      </c>
      <c r="R31" s="496"/>
      <c r="S31" s="496">
        <v>0</v>
      </c>
      <c r="T31" s="496">
        <v>0</v>
      </c>
      <c r="U31" s="496"/>
      <c r="V31" s="496"/>
      <c r="W31" s="189"/>
      <c r="X31" s="439"/>
      <c r="Y31" s="304"/>
      <c r="Z31" s="189">
        <v>138.35319999999999</v>
      </c>
      <c r="AA31" s="496">
        <v>0</v>
      </c>
      <c r="AB31" s="496"/>
      <c r="AC31" s="496">
        <v>138.35319999999999</v>
      </c>
      <c r="AD31" s="496">
        <v>0</v>
      </c>
      <c r="AE31" s="496"/>
      <c r="AF31" s="496"/>
      <c r="AG31" s="189"/>
      <c r="AH31" s="439"/>
      <c r="AI31" s="304"/>
      <c r="AJ31" s="189">
        <v>100.18680000000001</v>
      </c>
      <c r="AK31" s="225">
        <v>0</v>
      </c>
      <c r="AL31" s="496"/>
      <c r="AM31" s="496">
        <v>100.18680000000001</v>
      </c>
      <c r="AN31" s="496">
        <v>0</v>
      </c>
      <c r="AO31" s="496"/>
      <c r="AP31" s="496"/>
      <c r="AQ31" s="189"/>
    </row>
    <row r="32" spans="1:59" ht="13.5" customHeight="1">
      <c r="A32" s="403"/>
      <c r="B32" s="414"/>
      <c r="C32" s="498" t="s">
        <v>47</v>
      </c>
      <c r="D32" s="415"/>
      <c r="E32" s="417" t="s">
        <v>26</v>
      </c>
      <c r="F32" s="318">
        <v>301.5</v>
      </c>
      <c r="G32" s="319">
        <v>22.54</v>
      </c>
      <c r="H32" s="566"/>
      <c r="I32" s="319">
        <v>278.95999999999998</v>
      </c>
      <c r="J32" s="319">
        <v>0</v>
      </c>
      <c r="K32" s="319"/>
      <c r="L32" s="406"/>
      <c r="M32" s="407"/>
      <c r="N32" s="439"/>
      <c r="O32" s="362" t="s">
        <v>26</v>
      </c>
      <c r="P32" s="189">
        <v>196.17</v>
      </c>
      <c r="Q32" s="496">
        <v>21.029423999999999</v>
      </c>
      <c r="R32" s="496"/>
      <c r="S32" s="496">
        <v>175.14057600000001</v>
      </c>
      <c r="T32" s="496">
        <v>0</v>
      </c>
      <c r="U32" s="496"/>
      <c r="V32" s="496"/>
      <c r="W32" s="189"/>
      <c r="X32" s="439"/>
      <c r="Y32" s="362" t="s">
        <v>26</v>
      </c>
      <c r="Z32" s="189">
        <v>23.34600000000005</v>
      </c>
      <c r="AA32" s="496">
        <v>2.502691200000005</v>
      </c>
      <c r="AB32" s="496"/>
      <c r="AC32" s="496">
        <v>20.843308800000049</v>
      </c>
      <c r="AD32" s="496">
        <v>0</v>
      </c>
      <c r="AE32" s="496"/>
      <c r="AF32" s="496"/>
      <c r="AG32" s="189"/>
      <c r="AH32" s="439"/>
      <c r="AI32" s="362" t="s">
        <v>26</v>
      </c>
      <c r="AJ32" s="189">
        <v>15.56400000000003</v>
      </c>
      <c r="AK32" s="225">
        <v>1.6684608000000041</v>
      </c>
      <c r="AL32" s="496"/>
      <c r="AM32" s="496">
        <v>13.89553920000003</v>
      </c>
      <c r="AN32" s="496">
        <v>0</v>
      </c>
      <c r="AO32" s="496"/>
      <c r="AP32" s="496"/>
      <c r="AQ32" s="189"/>
    </row>
    <row r="33" spans="1:43" ht="36.75" customHeight="1">
      <c r="A33" s="403"/>
      <c r="B33" s="416"/>
      <c r="C33" s="444" t="s">
        <v>48</v>
      </c>
      <c r="D33" s="415"/>
      <c r="E33" s="415"/>
      <c r="F33" s="318">
        <v>1346.63</v>
      </c>
      <c r="G33" s="319">
        <v>80.34</v>
      </c>
      <c r="H33" s="566"/>
      <c r="I33" s="319">
        <v>1266.29</v>
      </c>
      <c r="J33" s="319">
        <v>0</v>
      </c>
      <c r="K33" s="319"/>
      <c r="L33" s="406"/>
      <c r="M33" s="407"/>
      <c r="N33" s="439"/>
      <c r="O33" s="362" t="s">
        <v>26</v>
      </c>
      <c r="P33" s="189">
        <v>677.14</v>
      </c>
      <c r="Q33" s="496">
        <v>72.589408000000006</v>
      </c>
      <c r="R33" s="496"/>
      <c r="S33" s="496">
        <v>604.55059200000005</v>
      </c>
      <c r="T33" s="496">
        <v>0</v>
      </c>
      <c r="U33" s="496"/>
      <c r="V33" s="496"/>
      <c r="W33" s="189"/>
      <c r="X33" s="439"/>
      <c r="Y33" s="362" t="s">
        <v>26</v>
      </c>
      <c r="Z33" s="189">
        <v>703.09890000000019</v>
      </c>
      <c r="AA33" s="496">
        <v>75.372202080000022</v>
      </c>
      <c r="AB33" s="496"/>
      <c r="AC33" s="496">
        <v>627.72669792000022</v>
      </c>
      <c r="AD33" s="496">
        <v>0</v>
      </c>
      <c r="AE33" s="496"/>
      <c r="AF33" s="496"/>
      <c r="AG33" s="189"/>
      <c r="AH33" s="439"/>
      <c r="AI33" s="362" t="s">
        <v>26</v>
      </c>
      <c r="AJ33" s="189">
        <v>412.93110000000007</v>
      </c>
      <c r="AK33" s="225">
        <v>44.266213920000013</v>
      </c>
      <c r="AL33" s="496"/>
      <c r="AM33" s="496">
        <v>368.66488608000009</v>
      </c>
      <c r="AN33" s="496">
        <v>0</v>
      </c>
      <c r="AO33" s="496"/>
      <c r="AP33" s="496"/>
      <c r="AQ33" s="189"/>
    </row>
    <row r="34" spans="1:43" ht="38.25" customHeight="1">
      <c r="A34" s="403"/>
      <c r="B34" s="416"/>
      <c r="C34" s="444" t="s">
        <v>49</v>
      </c>
      <c r="D34" s="415"/>
      <c r="E34" s="415"/>
      <c r="F34" s="318">
        <v>578.20000000000005</v>
      </c>
      <c r="G34" s="319">
        <v>35.47</v>
      </c>
      <c r="H34" s="566"/>
      <c r="I34" s="319">
        <v>542.73</v>
      </c>
      <c r="J34" s="319">
        <v>0</v>
      </c>
      <c r="K34" s="319"/>
      <c r="L34" s="406"/>
      <c r="M34" s="407"/>
      <c r="N34" s="439"/>
      <c r="O34" s="362" t="s">
        <v>26</v>
      </c>
      <c r="P34" s="189">
        <v>246.66</v>
      </c>
      <c r="Q34" s="496">
        <v>26.441952000000001</v>
      </c>
      <c r="R34" s="496"/>
      <c r="S34" s="496">
        <v>220.21804800000001</v>
      </c>
      <c r="T34" s="496">
        <v>0</v>
      </c>
      <c r="U34" s="496"/>
      <c r="V34" s="496"/>
      <c r="W34" s="189"/>
      <c r="X34" s="439"/>
      <c r="Y34" s="362" t="s">
        <v>26</v>
      </c>
      <c r="Z34" s="189">
        <v>273.25099999999998</v>
      </c>
      <c r="AA34" s="496">
        <v>29.292507199999999</v>
      </c>
      <c r="AB34" s="496"/>
      <c r="AC34" s="496">
        <v>243.95849279999999</v>
      </c>
      <c r="AD34" s="496">
        <v>0</v>
      </c>
      <c r="AE34" s="496"/>
      <c r="AF34" s="496"/>
      <c r="AG34" s="189"/>
      <c r="AH34" s="439"/>
      <c r="AI34" s="362" t="s">
        <v>26</v>
      </c>
      <c r="AJ34" s="189">
        <v>223.56899999999999</v>
      </c>
      <c r="AK34" s="225">
        <v>23.966596800000001</v>
      </c>
      <c r="AL34" s="496"/>
      <c r="AM34" s="496">
        <v>199.6024032</v>
      </c>
      <c r="AN34" s="496">
        <v>0</v>
      </c>
      <c r="AO34" s="496"/>
      <c r="AP34" s="496"/>
      <c r="AQ34" s="189"/>
    </row>
    <row r="35" spans="1:43" ht="18" customHeight="1">
      <c r="A35" s="403"/>
      <c r="B35" s="361">
        <v>4851</v>
      </c>
      <c r="C35" s="423" t="s">
        <v>50</v>
      </c>
      <c r="D35" s="409"/>
      <c r="E35" s="417" t="s">
        <v>26</v>
      </c>
      <c r="F35" s="318">
        <v>10.96</v>
      </c>
      <c r="G35" s="319">
        <v>10.96</v>
      </c>
      <c r="H35" s="566"/>
      <c r="I35" s="319">
        <v>0</v>
      </c>
      <c r="J35" s="319">
        <v>0</v>
      </c>
      <c r="K35" s="319"/>
      <c r="L35" s="406"/>
      <c r="M35" s="407"/>
      <c r="N35" s="443"/>
      <c r="O35" s="362" t="s">
        <v>26</v>
      </c>
      <c r="P35" s="189">
        <v>3.5</v>
      </c>
      <c r="Q35" s="496">
        <v>3.5</v>
      </c>
      <c r="R35" s="496"/>
      <c r="S35" s="496">
        <v>0</v>
      </c>
      <c r="T35" s="496">
        <v>0</v>
      </c>
      <c r="U35" s="496"/>
      <c r="V35" s="496"/>
      <c r="W35" s="189"/>
      <c r="X35" s="443"/>
      <c r="Y35" s="362" t="s">
        <v>26</v>
      </c>
      <c r="Z35" s="189">
        <v>4.6747999999999994</v>
      </c>
      <c r="AA35" s="496">
        <v>4.6747999999999994</v>
      </c>
      <c r="AB35" s="496"/>
      <c r="AC35" s="496">
        <v>0</v>
      </c>
      <c r="AD35" s="496">
        <v>0</v>
      </c>
      <c r="AE35" s="496"/>
      <c r="AF35" s="496"/>
      <c r="AG35" s="189"/>
      <c r="AH35" s="443"/>
      <c r="AI35" s="362" t="s">
        <v>26</v>
      </c>
      <c r="AJ35" s="189">
        <v>2.8652000000000002</v>
      </c>
      <c r="AK35" s="225">
        <v>2.8652000000000002</v>
      </c>
      <c r="AL35" s="496"/>
      <c r="AM35" s="496">
        <v>0</v>
      </c>
      <c r="AN35" s="496">
        <v>0</v>
      </c>
      <c r="AO35" s="496"/>
      <c r="AP35" s="496"/>
      <c r="AQ35" s="189"/>
    </row>
    <row r="36" spans="1:43" ht="15.75" customHeight="1">
      <c r="A36" s="403"/>
      <c r="B36" s="408">
        <v>4854</v>
      </c>
      <c r="C36" s="423" t="s">
        <v>51</v>
      </c>
      <c r="D36" s="409"/>
      <c r="E36" s="417" t="s">
        <v>26</v>
      </c>
      <c r="F36" s="318">
        <v>3.74</v>
      </c>
      <c r="G36" s="319">
        <v>3.74</v>
      </c>
      <c r="H36" s="566"/>
      <c r="I36" s="319">
        <v>0</v>
      </c>
      <c r="J36" s="319">
        <v>0</v>
      </c>
      <c r="K36" s="319"/>
      <c r="L36" s="406"/>
      <c r="M36" s="407"/>
      <c r="N36" s="443"/>
      <c r="O36" s="362" t="s">
        <v>26</v>
      </c>
      <c r="P36" s="189">
        <v>3</v>
      </c>
      <c r="Q36" s="496">
        <v>3</v>
      </c>
      <c r="R36" s="496"/>
      <c r="S36" s="496">
        <v>0</v>
      </c>
      <c r="T36" s="496">
        <v>0</v>
      </c>
      <c r="U36" s="496"/>
      <c r="V36" s="496"/>
      <c r="W36" s="189"/>
      <c r="X36" s="443"/>
      <c r="Y36" s="362" t="s">
        <v>26</v>
      </c>
      <c r="Z36" s="189">
        <v>4.7907999999999999</v>
      </c>
      <c r="AA36" s="496">
        <v>4.7907999999999999</v>
      </c>
      <c r="AB36" s="496"/>
      <c r="AC36" s="496">
        <v>0</v>
      </c>
      <c r="AD36" s="496">
        <v>0</v>
      </c>
      <c r="AE36" s="496"/>
      <c r="AF36" s="496"/>
      <c r="AG36" s="189"/>
      <c r="AH36" s="443"/>
      <c r="AI36" s="362" t="s">
        <v>26</v>
      </c>
      <c r="AJ36" s="189">
        <v>3.4691999999999998</v>
      </c>
      <c r="AK36" s="225">
        <v>3.4691999999999998</v>
      </c>
      <c r="AL36" s="496"/>
      <c r="AM36" s="496">
        <v>0</v>
      </c>
      <c r="AN36" s="496">
        <v>0</v>
      </c>
      <c r="AO36" s="496"/>
      <c r="AP36" s="496"/>
      <c r="AQ36" s="189"/>
    </row>
    <row r="37" spans="1:43" ht="32.25" customHeight="1">
      <c r="A37" s="403"/>
      <c r="B37" s="417">
        <v>4874</v>
      </c>
      <c r="C37" s="423" t="s">
        <v>52</v>
      </c>
      <c r="D37" s="409"/>
      <c r="E37" s="417" t="s">
        <v>26</v>
      </c>
      <c r="F37" s="318">
        <v>5168.01</v>
      </c>
      <c r="G37" s="319">
        <v>0</v>
      </c>
      <c r="H37" s="566"/>
      <c r="I37" s="319">
        <v>0</v>
      </c>
      <c r="J37" s="319">
        <v>5168.01</v>
      </c>
      <c r="K37" s="319"/>
      <c r="L37" s="406"/>
      <c r="M37" s="407"/>
      <c r="N37" s="443" t="s">
        <v>53</v>
      </c>
      <c r="O37" s="362" t="s">
        <v>26</v>
      </c>
      <c r="P37" s="189">
        <v>500</v>
      </c>
      <c r="Q37" s="496">
        <v>0</v>
      </c>
      <c r="R37" s="496"/>
      <c r="S37" s="496">
        <v>0</v>
      </c>
      <c r="T37" s="496">
        <v>500</v>
      </c>
      <c r="U37" s="496"/>
      <c r="V37" s="496"/>
      <c r="W37" s="189"/>
      <c r="X37" s="443" t="s">
        <v>53</v>
      </c>
      <c r="Y37" s="362" t="s">
        <v>26</v>
      </c>
      <c r="Z37" s="189">
        <v>1362.3679</v>
      </c>
      <c r="AA37" s="496">
        <v>0</v>
      </c>
      <c r="AB37" s="496"/>
      <c r="AC37" s="496">
        <v>0</v>
      </c>
      <c r="AD37" s="496">
        <v>1362.3679</v>
      </c>
      <c r="AE37" s="496"/>
      <c r="AF37" s="496"/>
      <c r="AG37" s="189"/>
      <c r="AH37" s="443" t="s">
        <v>53</v>
      </c>
      <c r="AI37" s="362" t="s">
        <v>26</v>
      </c>
      <c r="AJ37" s="189">
        <v>871.0220999999998</v>
      </c>
      <c r="AK37" s="225">
        <v>0</v>
      </c>
      <c r="AL37" s="496"/>
      <c r="AM37" s="496">
        <v>0</v>
      </c>
      <c r="AN37" s="496">
        <v>871.0220999999998</v>
      </c>
      <c r="AO37" s="496"/>
      <c r="AP37" s="496"/>
      <c r="AQ37" s="189"/>
    </row>
    <row r="38" spans="1:43" ht="18" customHeight="1">
      <c r="A38" s="403"/>
      <c r="B38" s="418">
        <v>4883</v>
      </c>
      <c r="C38" s="95" t="s">
        <v>54</v>
      </c>
      <c r="D38" s="419"/>
      <c r="E38" s="417" t="s">
        <v>26</v>
      </c>
      <c r="F38" s="318">
        <v>12.73</v>
      </c>
      <c r="G38" s="319">
        <v>12.73</v>
      </c>
      <c r="H38" s="566"/>
      <c r="I38" s="319">
        <v>0</v>
      </c>
      <c r="J38" s="319">
        <v>0</v>
      </c>
      <c r="K38" s="319"/>
      <c r="L38" s="406"/>
      <c r="M38" s="407"/>
      <c r="N38" s="445"/>
      <c r="O38" s="362" t="s">
        <v>26</v>
      </c>
      <c r="P38" s="189">
        <v>5</v>
      </c>
      <c r="Q38" s="496">
        <v>5</v>
      </c>
      <c r="R38" s="496"/>
      <c r="S38" s="496">
        <v>0</v>
      </c>
      <c r="T38" s="496">
        <v>0</v>
      </c>
      <c r="U38" s="496"/>
      <c r="V38" s="496"/>
      <c r="W38" s="189"/>
      <c r="X38" s="445"/>
      <c r="Y38" s="362" t="s">
        <v>26</v>
      </c>
      <c r="Z38" s="189">
        <v>7.1165999999999991</v>
      </c>
      <c r="AA38" s="496">
        <v>7.1165999999999991</v>
      </c>
      <c r="AB38" s="496"/>
      <c r="AC38" s="496">
        <v>0</v>
      </c>
      <c r="AD38" s="496">
        <v>0</v>
      </c>
      <c r="AE38" s="496"/>
      <c r="AF38" s="496"/>
      <c r="AG38" s="189"/>
      <c r="AH38" s="445"/>
      <c r="AI38" s="362" t="s">
        <v>26</v>
      </c>
      <c r="AJ38" s="189">
        <v>5.1534000000000004</v>
      </c>
      <c r="AK38" s="225">
        <v>5.1534000000000004</v>
      </c>
      <c r="AL38" s="496"/>
      <c r="AM38" s="496">
        <v>0</v>
      </c>
      <c r="AN38" s="496">
        <v>0</v>
      </c>
      <c r="AO38" s="496"/>
      <c r="AP38" s="496"/>
      <c r="AQ38" s="189"/>
    </row>
    <row r="39" spans="1:43" ht="18" customHeight="1">
      <c r="A39" s="403"/>
      <c r="B39" s="420"/>
      <c r="C39" s="95" t="s">
        <v>55</v>
      </c>
      <c r="D39" s="419"/>
      <c r="E39" s="419"/>
      <c r="F39" s="318">
        <v>1.29</v>
      </c>
      <c r="G39" s="319">
        <v>1.29</v>
      </c>
      <c r="H39" s="566"/>
      <c r="I39" s="319">
        <v>0</v>
      </c>
      <c r="J39" s="319">
        <v>0</v>
      </c>
      <c r="K39" s="319"/>
      <c r="L39" s="406"/>
      <c r="M39" s="407"/>
      <c r="N39" s="445"/>
      <c r="O39" s="362" t="s">
        <v>26</v>
      </c>
      <c r="P39" s="189">
        <v>1</v>
      </c>
      <c r="Q39" s="496">
        <v>1</v>
      </c>
      <c r="R39" s="496"/>
      <c r="S39" s="496">
        <v>0</v>
      </c>
      <c r="T39" s="496">
        <v>0</v>
      </c>
      <c r="U39" s="496"/>
      <c r="V39" s="496"/>
      <c r="W39" s="189"/>
      <c r="X39" s="445"/>
      <c r="Y39" s="362"/>
      <c r="Z39" s="189">
        <v>4.3176000000000014</v>
      </c>
      <c r="AA39" s="496">
        <v>4.3176000000000014</v>
      </c>
      <c r="AB39" s="496"/>
      <c r="AC39" s="496">
        <v>0</v>
      </c>
      <c r="AD39" s="496">
        <v>0</v>
      </c>
      <c r="AE39" s="496"/>
      <c r="AF39" s="496"/>
      <c r="AG39" s="189"/>
      <c r="AH39" s="445"/>
      <c r="AI39" s="362"/>
      <c r="AJ39" s="189">
        <v>3.3923999999999999</v>
      </c>
      <c r="AK39" s="225">
        <v>3.3923999999999999</v>
      </c>
      <c r="AL39" s="496"/>
      <c r="AM39" s="496">
        <v>0</v>
      </c>
      <c r="AN39" s="496">
        <v>0</v>
      </c>
      <c r="AO39" s="496"/>
      <c r="AP39" s="496"/>
      <c r="AQ39" s="189"/>
    </row>
    <row r="40" spans="1:43" ht="18" customHeight="1">
      <c r="A40" s="403"/>
      <c r="B40" s="421"/>
      <c r="C40" s="95" t="s">
        <v>56</v>
      </c>
      <c r="D40" s="419"/>
      <c r="E40" s="419"/>
      <c r="F40" s="318">
        <v>1.3</v>
      </c>
      <c r="G40" s="319">
        <v>1.3</v>
      </c>
      <c r="H40" s="566"/>
      <c r="I40" s="319">
        <v>0</v>
      </c>
      <c r="J40" s="319">
        <v>0</v>
      </c>
      <c r="K40" s="319"/>
      <c r="L40" s="406"/>
      <c r="M40" s="407"/>
      <c r="N40" s="445"/>
      <c r="O40" s="362" t="s">
        <v>26</v>
      </c>
      <c r="P40" s="189">
        <v>1</v>
      </c>
      <c r="Q40" s="496">
        <v>1</v>
      </c>
      <c r="R40" s="496"/>
      <c r="S40" s="496">
        <v>0</v>
      </c>
      <c r="T40" s="496">
        <v>0</v>
      </c>
      <c r="U40" s="496"/>
      <c r="V40" s="496"/>
      <c r="W40" s="189"/>
      <c r="X40" s="445"/>
      <c r="Y40" s="362" t="s">
        <v>26</v>
      </c>
      <c r="Z40" s="189">
        <v>4.774</v>
      </c>
      <c r="AA40" s="496">
        <v>4.774</v>
      </c>
      <c r="AB40" s="496"/>
      <c r="AC40" s="496">
        <v>0</v>
      </c>
      <c r="AD40" s="496">
        <v>0</v>
      </c>
      <c r="AE40" s="496"/>
      <c r="AF40" s="496"/>
      <c r="AG40" s="189"/>
      <c r="AH40" s="445"/>
      <c r="AI40" s="362" t="s">
        <v>26</v>
      </c>
      <c r="AJ40" s="189">
        <v>2.9260000000000002</v>
      </c>
      <c r="AK40" s="225">
        <v>2.9260000000000002</v>
      </c>
      <c r="AL40" s="496"/>
      <c r="AM40" s="496">
        <v>0</v>
      </c>
      <c r="AN40" s="496">
        <v>0</v>
      </c>
      <c r="AO40" s="496"/>
      <c r="AP40" s="496"/>
      <c r="AQ40" s="189"/>
    </row>
    <row r="41" spans="1:43" ht="18" customHeight="1">
      <c r="A41" s="403"/>
      <c r="B41" s="417">
        <v>4884</v>
      </c>
      <c r="C41" s="95" t="s">
        <v>57</v>
      </c>
      <c r="D41" s="419"/>
      <c r="E41" s="417" t="s">
        <v>26</v>
      </c>
      <c r="F41" s="318">
        <v>85.02</v>
      </c>
      <c r="G41" s="319">
        <v>85.02</v>
      </c>
      <c r="H41" s="566"/>
      <c r="I41" s="319">
        <v>0</v>
      </c>
      <c r="J41" s="319">
        <v>0</v>
      </c>
      <c r="K41" s="319"/>
      <c r="L41" s="406"/>
      <c r="M41" s="407"/>
      <c r="N41" s="445"/>
      <c r="O41" s="362" t="s">
        <v>26</v>
      </c>
      <c r="P41" s="189">
        <v>50</v>
      </c>
      <c r="Q41" s="496">
        <v>50</v>
      </c>
      <c r="R41" s="496"/>
      <c r="S41" s="496">
        <v>0</v>
      </c>
      <c r="T41" s="496">
        <v>0</v>
      </c>
      <c r="U41" s="496"/>
      <c r="V41" s="496"/>
      <c r="W41" s="189"/>
      <c r="X41" s="445"/>
      <c r="Y41" s="362" t="s">
        <v>26</v>
      </c>
      <c r="Z41" s="189">
        <v>37.038599999999988</v>
      </c>
      <c r="AA41" s="496">
        <v>37.038599999999988</v>
      </c>
      <c r="AB41" s="496"/>
      <c r="AC41" s="496">
        <v>0</v>
      </c>
      <c r="AD41" s="496">
        <v>0</v>
      </c>
      <c r="AE41" s="496"/>
      <c r="AF41" s="496"/>
      <c r="AG41" s="189"/>
      <c r="AH41" s="445"/>
      <c r="AI41" s="362" t="s">
        <v>26</v>
      </c>
      <c r="AJ41" s="189">
        <v>27.941399999999991</v>
      </c>
      <c r="AK41" s="225">
        <v>27.941399999999991</v>
      </c>
      <c r="AL41" s="496"/>
      <c r="AM41" s="496">
        <v>0</v>
      </c>
      <c r="AN41" s="496">
        <v>0</v>
      </c>
      <c r="AO41" s="496"/>
      <c r="AP41" s="496"/>
      <c r="AQ41" s="189"/>
    </row>
    <row r="42" spans="1:43" ht="18" customHeight="1">
      <c r="A42" s="403"/>
      <c r="B42" s="417">
        <v>4888</v>
      </c>
      <c r="C42" s="423" t="s">
        <v>58</v>
      </c>
      <c r="D42" s="419"/>
      <c r="E42" s="417" t="s">
        <v>26</v>
      </c>
      <c r="F42" s="318">
        <v>20.47</v>
      </c>
      <c r="G42" s="319">
        <v>20.47</v>
      </c>
      <c r="H42" s="566"/>
      <c r="I42" s="319">
        <v>0</v>
      </c>
      <c r="J42" s="319">
        <v>0</v>
      </c>
      <c r="K42" s="319"/>
      <c r="L42" s="406"/>
      <c r="M42" s="407"/>
      <c r="N42" s="445"/>
      <c r="O42" s="362" t="s">
        <v>26</v>
      </c>
      <c r="P42" s="189">
        <v>10</v>
      </c>
      <c r="Q42" s="496">
        <v>10</v>
      </c>
      <c r="R42" s="496"/>
      <c r="S42" s="496">
        <v>0</v>
      </c>
      <c r="T42" s="496">
        <v>0</v>
      </c>
      <c r="U42" s="496"/>
      <c r="V42" s="496"/>
      <c r="W42" s="189"/>
      <c r="X42" s="445"/>
      <c r="Y42" s="362" t="s">
        <v>26</v>
      </c>
      <c r="Z42" s="189">
        <v>16.241499999999998</v>
      </c>
      <c r="AA42" s="496">
        <v>16.241499999999998</v>
      </c>
      <c r="AB42" s="496"/>
      <c r="AC42" s="496">
        <v>0</v>
      </c>
      <c r="AD42" s="496">
        <v>0</v>
      </c>
      <c r="AE42" s="496"/>
      <c r="AF42" s="496"/>
      <c r="AG42" s="189"/>
      <c r="AH42" s="445"/>
      <c r="AI42" s="362" t="s">
        <v>26</v>
      </c>
      <c r="AJ42" s="189">
        <v>13.288500000000001</v>
      </c>
      <c r="AK42" s="225">
        <v>13.288500000000001</v>
      </c>
      <c r="AL42" s="496"/>
      <c r="AM42" s="496">
        <v>0</v>
      </c>
      <c r="AN42" s="496">
        <v>0</v>
      </c>
      <c r="AO42" s="496"/>
      <c r="AP42" s="496"/>
      <c r="AQ42" s="189"/>
    </row>
    <row r="43" spans="1:43" ht="18" customHeight="1">
      <c r="A43" s="403"/>
      <c r="B43" s="417">
        <v>4899</v>
      </c>
      <c r="C43" s="423" t="s">
        <v>59</v>
      </c>
      <c r="D43" s="419"/>
      <c r="E43" s="417" t="s">
        <v>26</v>
      </c>
      <c r="F43" s="318">
        <v>875.46</v>
      </c>
      <c r="G43" s="319">
        <v>875.46</v>
      </c>
      <c r="H43" s="566"/>
      <c r="I43" s="319">
        <v>0</v>
      </c>
      <c r="J43" s="319">
        <v>0</v>
      </c>
      <c r="K43" s="319"/>
      <c r="L43" s="406"/>
      <c r="M43" s="407"/>
      <c r="N43" s="445"/>
      <c r="O43" s="362" t="s">
        <v>26</v>
      </c>
      <c r="P43" s="189">
        <v>300</v>
      </c>
      <c r="Q43" s="496">
        <v>300</v>
      </c>
      <c r="R43" s="496"/>
      <c r="S43" s="496">
        <v>0</v>
      </c>
      <c r="T43" s="496">
        <v>0</v>
      </c>
      <c r="U43" s="496"/>
      <c r="V43" s="496"/>
      <c r="W43" s="189"/>
      <c r="X43" s="445"/>
      <c r="Y43" s="362" t="s">
        <v>26</v>
      </c>
      <c r="Z43" s="189">
        <v>355.98779999999988</v>
      </c>
      <c r="AA43" s="496">
        <v>355.98779999999988</v>
      </c>
      <c r="AB43" s="496"/>
      <c r="AC43" s="496">
        <v>0</v>
      </c>
      <c r="AD43" s="496">
        <v>0</v>
      </c>
      <c r="AE43" s="496"/>
      <c r="AF43" s="496"/>
      <c r="AG43" s="189"/>
      <c r="AH43" s="445"/>
      <c r="AI43" s="362" t="s">
        <v>26</v>
      </c>
      <c r="AJ43" s="189">
        <v>268.55220000000003</v>
      </c>
      <c r="AK43" s="225">
        <v>268.55220000000003</v>
      </c>
      <c r="AL43" s="496"/>
      <c r="AM43" s="496">
        <v>0</v>
      </c>
      <c r="AN43" s="496">
        <v>0</v>
      </c>
      <c r="AO43" s="496"/>
      <c r="AP43" s="496"/>
      <c r="AQ43" s="189"/>
    </row>
    <row r="44" spans="1:43" ht="18" customHeight="1">
      <c r="A44" s="403"/>
      <c r="B44" s="404">
        <v>4900</v>
      </c>
      <c r="C44" s="422" t="s">
        <v>60</v>
      </c>
      <c r="D44" s="422"/>
      <c r="E44" s="422"/>
      <c r="F44" s="318"/>
      <c r="G44" s="319"/>
      <c r="H44" s="319"/>
      <c r="I44" s="319"/>
      <c r="J44" s="319"/>
      <c r="K44" s="319"/>
      <c r="L44" s="406"/>
      <c r="M44" s="407"/>
      <c r="N44" s="446"/>
      <c r="O44" s="307"/>
      <c r="P44" s="189"/>
      <c r="Q44" s="496"/>
      <c r="R44" s="496"/>
      <c r="S44" s="496"/>
      <c r="T44" s="496"/>
      <c r="U44" s="496"/>
      <c r="V44" s="496"/>
      <c r="W44" s="189"/>
      <c r="X44" s="446"/>
      <c r="Y44" s="307"/>
      <c r="Z44" s="189"/>
      <c r="AA44" s="496"/>
      <c r="AB44" s="496"/>
      <c r="AC44" s="496"/>
      <c r="AD44" s="496"/>
      <c r="AE44" s="496"/>
      <c r="AF44" s="496"/>
      <c r="AG44" s="189"/>
      <c r="AH44" s="446"/>
      <c r="AI44" s="307"/>
      <c r="AJ44" s="189"/>
      <c r="AK44" s="225"/>
      <c r="AL44" s="496"/>
      <c r="AM44" s="496"/>
      <c r="AN44" s="496"/>
      <c r="AO44" s="496"/>
      <c r="AP44" s="496"/>
      <c r="AQ44" s="189"/>
    </row>
    <row r="45" spans="1:43" ht="18" customHeight="1">
      <c r="A45" s="403"/>
      <c r="B45" s="408">
        <v>4901</v>
      </c>
      <c r="C45" s="113" t="s">
        <v>61</v>
      </c>
      <c r="D45" s="409"/>
      <c r="E45" s="417" t="s">
        <v>26</v>
      </c>
      <c r="F45" s="318">
        <v>61.4</v>
      </c>
      <c r="G45" s="319">
        <v>61.4</v>
      </c>
      <c r="H45" s="566"/>
      <c r="I45" s="319">
        <v>0</v>
      </c>
      <c r="J45" s="319">
        <v>0</v>
      </c>
      <c r="K45" s="319"/>
      <c r="L45" s="406"/>
      <c r="M45" s="407"/>
      <c r="N45" s="443"/>
      <c r="O45" s="362" t="s">
        <v>26</v>
      </c>
      <c r="P45" s="189">
        <v>15</v>
      </c>
      <c r="Q45" s="496">
        <v>15</v>
      </c>
      <c r="R45" s="496"/>
      <c r="S45" s="496">
        <v>0</v>
      </c>
      <c r="T45" s="496">
        <v>0</v>
      </c>
      <c r="U45" s="496"/>
      <c r="V45" s="496"/>
      <c r="W45" s="189"/>
      <c r="X45" s="443"/>
      <c r="Y45" s="362" t="s">
        <v>26</v>
      </c>
      <c r="Z45" s="189">
        <v>26.73</v>
      </c>
      <c r="AA45" s="496">
        <v>26.73</v>
      </c>
      <c r="AB45" s="496"/>
      <c r="AC45" s="496">
        <v>0</v>
      </c>
      <c r="AD45" s="496">
        <v>0</v>
      </c>
      <c r="AE45" s="496"/>
      <c r="AF45" s="496"/>
      <c r="AG45" s="189"/>
      <c r="AH45" s="443"/>
      <c r="AI45" s="362" t="s">
        <v>26</v>
      </c>
      <c r="AJ45" s="189">
        <v>21.87</v>
      </c>
      <c r="AK45" s="225">
        <v>21.87</v>
      </c>
      <c r="AL45" s="496"/>
      <c r="AM45" s="496">
        <v>0</v>
      </c>
      <c r="AN45" s="496">
        <v>0</v>
      </c>
      <c r="AO45" s="496"/>
      <c r="AP45" s="496"/>
      <c r="AQ45" s="189"/>
    </row>
    <row r="46" spans="1:43" ht="18" customHeight="1">
      <c r="A46" s="403"/>
      <c r="B46" s="408">
        <v>4906</v>
      </c>
      <c r="C46" s="423" t="s">
        <v>62</v>
      </c>
      <c r="D46" s="409"/>
      <c r="E46" s="417" t="s">
        <v>26</v>
      </c>
      <c r="F46" s="318">
        <v>3.2</v>
      </c>
      <c r="G46" s="319">
        <v>3.2</v>
      </c>
      <c r="H46" s="566"/>
      <c r="I46" s="319">
        <v>0</v>
      </c>
      <c r="J46" s="319">
        <v>0</v>
      </c>
      <c r="K46" s="319"/>
      <c r="L46" s="406"/>
      <c r="M46" s="407"/>
      <c r="N46" s="443"/>
      <c r="O46" s="362" t="s">
        <v>26</v>
      </c>
      <c r="P46" s="189">
        <v>2</v>
      </c>
      <c r="Q46" s="496">
        <v>2</v>
      </c>
      <c r="R46" s="496"/>
      <c r="S46" s="496">
        <v>0</v>
      </c>
      <c r="T46" s="496">
        <v>0</v>
      </c>
      <c r="U46" s="496"/>
      <c r="V46" s="496"/>
      <c r="W46" s="189"/>
      <c r="X46" s="443"/>
      <c r="Y46" s="362" t="s">
        <v>26</v>
      </c>
      <c r="Z46" s="189">
        <v>2.88</v>
      </c>
      <c r="AA46" s="496">
        <v>2.88</v>
      </c>
      <c r="AB46" s="496"/>
      <c r="AC46" s="496">
        <v>0</v>
      </c>
      <c r="AD46" s="496">
        <v>0</v>
      </c>
      <c r="AE46" s="496"/>
      <c r="AF46" s="496"/>
      <c r="AG46" s="189"/>
      <c r="AH46" s="443"/>
      <c r="AI46" s="362" t="s">
        <v>26</v>
      </c>
      <c r="AJ46" s="189">
        <v>1.92</v>
      </c>
      <c r="AK46" s="225">
        <v>1.92</v>
      </c>
      <c r="AL46" s="496"/>
      <c r="AM46" s="496">
        <v>0</v>
      </c>
      <c r="AN46" s="496">
        <v>0</v>
      </c>
      <c r="AO46" s="496"/>
      <c r="AP46" s="496"/>
      <c r="AQ46" s="189"/>
    </row>
    <row r="47" spans="1:43" ht="18" customHeight="1">
      <c r="A47" s="403"/>
      <c r="B47" s="408">
        <v>4911</v>
      </c>
      <c r="C47" s="423" t="s">
        <v>63</v>
      </c>
      <c r="D47" s="409"/>
      <c r="E47" s="417" t="s">
        <v>26</v>
      </c>
      <c r="F47" s="318">
        <v>5.34</v>
      </c>
      <c r="G47" s="319">
        <v>5.34</v>
      </c>
      <c r="H47" s="566"/>
      <c r="I47" s="319">
        <v>0</v>
      </c>
      <c r="J47" s="319">
        <v>0</v>
      </c>
      <c r="K47" s="319"/>
      <c r="L47" s="406"/>
      <c r="M47" s="407"/>
      <c r="N47" s="443"/>
      <c r="O47" s="362" t="s">
        <v>26</v>
      </c>
      <c r="P47" s="189">
        <v>3</v>
      </c>
      <c r="Q47" s="496">
        <v>3</v>
      </c>
      <c r="R47" s="496"/>
      <c r="S47" s="496">
        <v>0</v>
      </c>
      <c r="T47" s="496">
        <v>0</v>
      </c>
      <c r="U47" s="496"/>
      <c r="V47" s="496"/>
      <c r="W47" s="189"/>
      <c r="X47" s="443"/>
      <c r="Y47" s="362" t="s">
        <v>26</v>
      </c>
      <c r="Z47" s="189">
        <v>3.9293999999999998</v>
      </c>
      <c r="AA47" s="496">
        <v>3.9293999999999998</v>
      </c>
      <c r="AB47" s="496"/>
      <c r="AC47" s="496">
        <v>0</v>
      </c>
      <c r="AD47" s="496">
        <v>0</v>
      </c>
      <c r="AE47" s="496"/>
      <c r="AF47" s="496"/>
      <c r="AG47" s="189"/>
      <c r="AH47" s="443"/>
      <c r="AI47" s="362" t="s">
        <v>26</v>
      </c>
      <c r="AJ47" s="189">
        <v>2.7305999999999999</v>
      </c>
      <c r="AK47" s="225">
        <v>2.7305999999999999</v>
      </c>
      <c r="AL47" s="496"/>
      <c r="AM47" s="496">
        <v>0</v>
      </c>
      <c r="AN47" s="496">
        <v>0</v>
      </c>
      <c r="AO47" s="496"/>
      <c r="AP47" s="496"/>
      <c r="AQ47" s="189"/>
    </row>
    <row r="48" spans="1:43" ht="18" customHeight="1">
      <c r="A48" s="403"/>
      <c r="B48" s="408">
        <v>4916</v>
      </c>
      <c r="C48" s="423" t="s">
        <v>64</v>
      </c>
      <c r="D48" s="409"/>
      <c r="E48" s="417" t="s">
        <v>26</v>
      </c>
      <c r="F48" s="318">
        <v>1.22</v>
      </c>
      <c r="G48" s="319">
        <v>1.22</v>
      </c>
      <c r="H48" s="566"/>
      <c r="I48" s="319">
        <v>0</v>
      </c>
      <c r="J48" s="319">
        <v>0</v>
      </c>
      <c r="K48" s="319"/>
      <c r="L48" s="406"/>
      <c r="M48" s="407"/>
      <c r="N48" s="443"/>
      <c r="O48" s="362" t="s">
        <v>26</v>
      </c>
      <c r="P48" s="189">
        <v>2</v>
      </c>
      <c r="Q48" s="496">
        <v>2</v>
      </c>
      <c r="R48" s="496"/>
      <c r="S48" s="496">
        <v>0</v>
      </c>
      <c r="T48" s="496">
        <v>0</v>
      </c>
      <c r="U48" s="496"/>
      <c r="V48" s="496"/>
      <c r="W48" s="189"/>
      <c r="X48" s="443"/>
      <c r="Y48" s="362" t="s">
        <v>26</v>
      </c>
      <c r="Z48" s="189">
        <v>4.1357999999999997</v>
      </c>
      <c r="AA48" s="496">
        <v>4.1357999999999997</v>
      </c>
      <c r="AB48" s="496"/>
      <c r="AC48" s="496">
        <v>0</v>
      </c>
      <c r="AD48" s="496">
        <v>0</v>
      </c>
      <c r="AE48" s="496"/>
      <c r="AF48" s="496"/>
      <c r="AG48" s="189"/>
      <c r="AH48" s="443"/>
      <c r="AI48" s="362" t="s">
        <v>26</v>
      </c>
      <c r="AJ48" s="189">
        <v>2.6442000000000001</v>
      </c>
      <c r="AK48" s="225">
        <v>2.6442000000000001</v>
      </c>
      <c r="AL48" s="496"/>
      <c r="AM48" s="496">
        <v>0</v>
      </c>
      <c r="AN48" s="496">
        <v>0</v>
      </c>
      <c r="AO48" s="496"/>
      <c r="AP48" s="496"/>
      <c r="AQ48" s="189"/>
    </row>
    <row r="49" spans="1:43" ht="18" customHeight="1">
      <c r="A49" s="403"/>
      <c r="B49" s="361">
        <v>4921</v>
      </c>
      <c r="C49" s="423" t="s">
        <v>65</v>
      </c>
      <c r="D49" s="423"/>
      <c r="E49" s="423"/>
      <c r="F49" s="318">
        <v>19.98</v>
      </c>
      <c r="G49" s="319">
        <v>19.98</v>
      </c>
      <c r="H49" s="566"/>
      <c r="I49" s="319">
        <v>0</v>
      </c>
      <c r="J49" s="319">
        <v>0</v>
      </c>
      <c r="K49" s="319"/>
      <c r="L49" s="406"/>
      <c r="M49" s="407"/>
      <c r="N49" s="443"/>
      <c r="O49" s="362" t="s">
        <v>26</v>
      </c>
      <c r="P49" s="189">
        <v>0</v>
      </c>
      <c r="Q49" s="496">
        <v>0</v>
      </c>
      <c r="R49" s="496"/>
      <c r="S49" s="496">
        <v>0</v>
      </c>
      <c r="T49" s="496">
        <v>0</v>
      </c>
      <c r="U49" s="496"/>
      <c r="V49" s="496"/>
      <c r="W49" s="189"/>
      <c r="X49" s="443"/>
      <c r="Y49" s="362" t="s">
        <v>26</v>
      </c>
      <c r="Z49" s="189">
        <v>2.9618000000000002</v>
      </c>
      <c r="AA49" s="496">
        <v>2.9618000000000002</v>
      </c>
      <c r="AB49" s="496"/>
      <c r="AC49" s="496">
        <v>0</v>
      </c>
      <c r="AD49" s="496">
        <v>0</v>
      </c>
      <c r="AE49" s="496"/>
      <c r="AF49" s="496"/>
      <c r="AG49" s="189"/>
      <c r="AH49" s="443"/>
      <c r="AI49" s="362" t="s">
        <v>26</v>
      </c>
      <c r="AJ49" s="189">
        <v>2.0581999999999998</v>
      </c>
      <c r="AK49" s="225">
        <v>2.0581999999999998</v>
      </c>
      <c r="AL49" s="496"/>
      <c r="AM49" s="496">
        <v>0</v>
      </c>
      <c r="AN49" s="496">
        <v>0</v>
      </c>
      <c r="AO49" s="496"/>
      <c r="AP49" s="496"/>
      <c r="AQ49" s="189"/>
    </row>
    <row r="50" spans="1:43" ht="18" customHeight="1">
      <c r="A50" s="403"/>
      <c r="B50" s="361">
        <v>4923</v>
      </c>
      <c r="C50" s="423" t="s">
        <v>66</v>
      </c>
      <c r="D50" s="423"/>
      <c r="E50" s="423"/>
      <c r="F50" s="318">
        <v>14.53</v>
      </c>
      <c r="G50" s="319">
        <v>14.53</v>
      </c>
      <c r="H50" s="566"/>
      <c r="I50" s="319">
        <v>0</v>
      </c>
      <c r="J50" s="319">
        <v>0</v>
      </c>
      <c r="K50" s="319"/>
      <c r="L50" s="406"/>
      <c r="M50" s="407"/>
      <c r="N50" s="443"/>
      <c r="O50" s="362" t="s">
        <v>26</v>
      </c>
      <c r="P50" s="189">
        <v>5</v>
      </c>
      <c r="Q50" s="496">
        <v>5</v>
      </c>
      <c r="R50" s="496"/>
      <c r="S50" s="496">
        <v>0</v>
      </c>
      <c r="T50" s="496">
        <v>0</v>
      </c>
      <c r="U50" s="496"/>
      <c r="V50" s="496"/>
      <c r="W50" s="189"/>
      <c r="X50" s="443"/>
      <c r="Y50" s="362" t="s">
        <v>26</v>
      </c>
      <c r="Z50" s="189">
        <v>11.8726</v>
      </c>
      <c r="AA50" s="496">
        <v>11.8726</v>
      </c>
      <c r="AB50" s="496"/>
      <c r="AC50" s="496">
        <v>0</v>
      </c>
      <c r="AD50" s="496">
        <v>0</v>
      </c>
      <c r="AE50" s="496"/>
      <c r="AF50" s="496"/>
      <c r="AG50" s="189"/>
      <c r="AH50" s="443"/>
      <c r="AI50" s="362" t="s">
        <v>26</v>
      </c>
      <c r="AJ50" s="189">
        <v>8.5973999999999986</v>
      </c>
      <c r="AK50" s="225">
        <v>8.5973999999999986</v>
      </c>
      <c r="AL50" s="496"/>
      <c r="AM50" s="496">
        <v>0</v>
      </c>
      <c r="AN50" s="496">
        <v>0</v>
      </c>
      <c r="AO50" s="496"/>
      <c r="AP50" s="496"/>
      <c r="AQ50" s="189"/>
    </row>
    <row r="51" spans="1:43" ht="18" customHeight="1">
      <c r="A51" s="403"/>
      <c r="B51" s="408">
        <v>4932</v>
      </c>
      <c r="C51" s="423" t="s">
        <v>67</v>
      </c>
      <c r="D51" s="409"/>
      <c r="E51" s="417" t="s">
        <v>26</v>
      </c>
      <c r="F51" s="318">
        <v>1.39</v>
      </c>
      <c r="G51" s="319">
        <v>1.39</v>
      </c>
      <c r="H51" s="566"/>
      <c r="I51" s="319">
        <v>0</v>
      </c>
      <c r="J51" s="319">
        <v>0</v>
      </c>
      <c r="K51" s="319"/>
      <c r="L51" s="406"/>
      <c r="M51" s="407"/>
      <c r="N51" s="443"/>
      <c r="O51" s="362" t="s">
        <v>26</v>
      </c>
      <c r="P51" s="189">
        <v>2</v>
      </c>
      <c r="Q51" s="496">
        <v>2</v>
      </c>
      <c r="R51" s="496"/>
      <c r="S51" s="496">
        <v>0</v>
      </c>
      <c r="T51" s="496">
        <v>0</v>
      </c>
      <c r="U51" s="496"/>
      <c r="V51" s="496"/>
      <c r="W51" s="189"/>
      <c r="X51" s="443"/>
      <c r="Y51" s="362" t="s">
        <v>26</v>
      </c>
      <c r="Z51" s="189">
        <v>9.1355000000000004</v>
      </c>
      <c r="AA51" s="496">
        <v>9.1355000000000004</v>
      </c>
      <c r="AB51" s="496"/>
      <c r="AC51" s="496">
        <v>0</v>
      </c>
      <c r="AD51" s="496">
        <v>0</v>
      </c>
      <c r="AE51" s="496"/>
      <c r="AF51" s="496"/>
      <c r="AG51" s="189"/>
      <c r="AH51" s="443"/>
      <c r="AI51" s="362" t="s">
        <v>26</v>
      </c>
      <c r="AJ51" s="189">
        <v>7.4744999999999999</v>
      </c>
      <c r="AK51" s="225">
        <v>7.4744999999999999</v>
      </c>
      <c r="AL51" s="496"/>
      <c r="AM51" s="496">
        <v>0</v>
      </c>
      <c r="AN51" s="496">
        <v>0</v>
      </c>
      <c r="AO51" s="496"/>
      <c r="AP51" s="496"/>
      <c r="AQ51" s="189"/>
    </row>
    <row r="52" spans="1:43" ht="18" customHeight="1">
      <c r="A52" s="403"/>
      <c r="B52" s="410">
        <v>4947</v>
      </c>
      <c r="C52" s="106" t="s">
        <v>68</v>
      </c>
      <c r="D52" s="352"/>
      <c r="E52" s="352"/>
      <c r="F52" s="352"/>
      <c r="G52" s="352"/>
      <c r="H52" s="352"/>
      <c r="I52" s="352"/>
      <c r="J52" s="352"/>
      <c r="K52" s="352"/>
      <c r="L52" s="352"/>
      <c r="M52" s="352"/>
      <c r="N52" s="442"/>
      <c r="O52" s="297"/>
      <c r="P52" s="189">
        <f>SUM(Q52:W52)</f>
        <v>0</v>
      </c>
      <c r="Q52" s="496"/>
      <c r="R52" s="496"/>
      <c r="S52" s="496"/>
      <c r="T52" s="496"/>
      <c r="U52" s="496"/>
      <c r="V52" s="496"/>
      <c r="W52" s="189"/>
      <c r="X52" s="442"/>
      <c r="Y52" s="297"/>
      <c r="Z52" s="189"/>
      <c r="AA52" s="496"/>
      <c r="AB52" s="496"/>
      <c r="AC52" s="496"/>
      <c r="AD52" s="496"/>
      <c r="AE52" s="496"/>
      <c r="AF52" s="496"/>
      <c r="AG52" s="189"/>
      <c r="AH52" s="442"/>
      <c r="AI52" s="297"/>
      <c r="AJ52" s="189"/>
      <c r="AK52" s="225"/>
      <c r="AL52" s="496"/>
      <c r="AM52" s="496"/>
      <c r="AN52" s="496"/>
      <c r="AO52" s="496"/>
      <c r="AP52" s="496"/>
      <c r="AQ52" s="189"/>
    </row>
    <row r="53" spans="1:43" ht="18.75" customHeight="1">
      <c r="A53" s="403"/>
      <c r="B53" s="416"/>
      <c r="C53" s="310" t="s">
        <v>69</v>
      </c>
      <c r="D53" s="310" t="s">
        <v>70</v>
      </c>
      <c r="E53" s="417" t="s">
        <v>26</v>
      </c>
      <c r="F53" s="318">
        <v>95.03</v>
      </c>
      <c r="G53" s="319">
        <v>10.83</v>
      </c>
      <c r="H53" s="566"/>
      <c r="I53" s="319">
        <v>84.2</v>
      </c>
      <c r="J53" s="319">
        <v>0</v>
      </c>
      <c r="K53" s="319"/>
      <c r="L53" s="406"/>
      <c r="M53" s="407"/>
      <c r="N53" s="438" t="s">
        <v>70</v>
      </c>
      <c r="O53" s="362" t="s">
        <v>26</v>
      </c>
      <c r="P53" s="189">
        <v>58.25</v>
      </c>
      <c r="Q53" s="496">
        <v>8.5744000000000007</v>
      </c>
      <c r="R53" s="496"/>
      <c r="S53" s="496">
        <v>49.675600000000003</v>
      </c>
      <c r="T53" s="496">
        <v>0</v>
      </c>
      <c r="U53" s="496"/>
      <c r="V53" s="496"/>
      <c r="W53" s="189"/>
      <c r="X53" s="438" t="s">
        <v>70</v>
      </c>
      <c r="Y53" s="362" t="s">
        <v>26</v>
      </c>
      <c r="Z53" s="189">
        <v>131.80860000000001</v>
      </c>
      <c r="AA53" s="496">
        <v>19.402225919999999</v>
      </c>
      <c r="AB53" s="496"/>
      <c r="AC53" s="496">
        <v>112.40637408000001</v>
      </c>
      <c r="AD53" s="496">
        <v>0</v>
      </c>
      <c r="AE53" s="496"/>
      <c r="AF53" s="496"/>
      <c r="AG53" s="189"/>
      <c r="AH53" s="438"/>
      <c r="AI53" s="362"/>
      <c r="AJ53" s="189">
        <v>77.4114</v>
      </c>
      <c r="AK53" s="225">
        <v>11.39495808</v>
      </c>
      <c r="AL53" s="496"/>
      <c r="AM53" s="496">
        <v>66.016441920000005</v>
      </c>
      <c r="AN53" s="496">
        <v>0</v>
      </c>
      <c r="AO53" s="496"/>
      <c r="AP53" s="496"/>
      <c r="AQ53" s="189"/>
    </row>
    <row r="54" spans="1:43" ht="18" customHeight="1">
      <c r="A54" s="403"/>
      <c r="B54" s="408">
        <v>4976</v>
      </c>
      <c r="C54" s="423" t="s">
        <v>71</v>
      </c>
      <c r="D54" s="310" t="s">
        <v>70</v>
      </c>
      <c r="E54" s="417" t="s">
        <v>26</v>
      </c>
      <c r="F54" s="318">
        <v>2.39</v>
      </c>
      <c r="G54" s="319">
        <v>2.39</v>
      </c>
      <c r="H54" s="566"/>
      <c r="I54" s="319">
        <v>0</v>
      </c>
      <c r="J54" s="319">
        <v>0</v>
      </c>
      <c r="K54" s="319"/>
      <c r="L54" s="406"/>
      <c r="M54" s="407"/>
      <c r="N54" s="438" t="s">
        <v>70</v>
      </c>
      <c r="O54" s="362" t="s">
        <v>26</v>
      </c>
      <c r="P54" s="189">
        <v>0.75</v>
      </c>
      <c r="Q54" s="496">
        <v>0.75</v>
      </c>
      <c r="R54" s="496"/>
      <c r="S54" s="496">
        <v>0</v>
      </c>
      <c r="T54" s="496">
        <v>0</v>
      </c>
      <c r="U54" s="496"/>
      <c r="V54" s="496"/>
      <c r="W54" s="189"/>
      <c r="X54" s="438" t="s">
        <v>70</v>
      </c>
      <c r="Y54" s="362" t="s">
        <v>26</v>
      </c>
      <c r="Z54" s="189">
        <v>1.1346000000000001</v>
      </c>
      <c r="AA54" s="496">
        <v>1.1346000000000001</v>
      </c>
      <c r="AB54" s="496"/>
      <c r="AC54" s="496">
        <v>0</v>
      </c>
      <c r="AD54" s="496">
        <v>0</v>
      </c>
      <c r="AE54" s="496"/>
      <c r="AF54" s="496"/>
      <c r="AG54" s="189"/>
      <c r="AH54" s="438" t="s">
        <v>70</v>
      </c>
      <c r="AI54" s="362" t="s">
        <v>26</v>
      </c>
      <c r="AJ54" s="189">
        <v>0.72540000000000016</v>
      </c>
      <c r="AK54" s="225">
        <v>0.72540000000000016</v>
      </c>
      <c r="AL54" s="496"/>
      <c r="AM54" s="496">
        <v>0</v>
      </c>
      <c r="AN54" s="496">
        <v>0</v>
      </c>
      <c r="AO54" s="496"/>
      <c r="AP54" s="496"/>
      <c r="AQ54" s="189"/>
    </row>
    <row r="55" spans="1:43" ht="18" customHeight="1">
      <c r="A55" s="403"/>
      <c r="B55" s="361">
        <v>4991</v>
      </c>
      <c r="C55" s="424" t="s">
        <v>72</v>
      </c>
      <c r="D55" s="423"/>
      <c r="E55" s="423"/>
      <c r="F55" s="423">
        <v>7.48</v>
      </c>
      <c r="G55" s="423">
        <v>7.48</v>
      </c>
      <c r="H55" s="423"/>
      <c r="I55" s="423">
        <v>0</v>
      </c>
      <c r="J55" s="423">
        <v>0</v>
      </c>
      <c r="K55" s="423"/>
      <c r="L55" s="423"/>
      <c r="M55" s="423"/>
      <c r="N55" s="438"/>
      <c r="O55" s="362" t="s">
        <v>26</v>
      </c>
      <c r="P55" s="189">
        <v>3</v>
      </c>
      <c r="Q55" s="496">
        <v>3</v>
      </c>
      <c r="R55" s="496"/>
      <c r="S55" s="496">
        <v>0</v>
      </c>
      <c r="T55" s="496">
        <v>0</v>
      </c>
      <c r="U55" s="496"/>
      <c r="V55" s="496"/>
      <c r="W55" s="189"/>
      <c r="X55" s="438"/>
      <c r="Y55" s="362" t="s">
        <v>26</v>
      </c>
      <c r="Z55" s="189">
        <v>16.531199999999998</v>
      </c>
      <c r="AA55" s="496">
        <v>16.531199999999998</v>
      </c>
      <c r="AB55" s="496"/>
      <c r="AC55" s="496">
        <v>0</v>
      </c>
      <c r="AD55" s="496">
        <v>0</v>
      </c>
      <c r="AE55" s="496"/>
      <c r="AF55" s="496"/>
      <c r="AG55" s="189"/>
      <c r="AH55" s="438"/>
      <c r="AI55" s="362" t="s">
        <v>26</v>
      </c>
      <c r="AJ55" s="189">
        <v>12.988799999999999</v>
      </c>
      <c r="AK55" s="225">
        <v>12.988799999999999</v>
      </c>
      <c r="AL55" s="496"/>
      <c r="AM55" s="496">
        <v>0</v>
      </c>
      <c r="AN55" s="496">
        <v>0</v>
      </c>
      <c r="AO55" s="496"/>
      <c r="AP55" s="496"/>
      <c r="AQ55" s="189"/>
    </row>
    <row r="56" spans="1:43" ht="15" customHeight="1">
      <c r="A56" s="425" t="s">
        <v>73</v>
      </c>
      <c r="B56" s="426"/>
      <c r="C56" s="409"/>
      <c r="D56" s="409"/>
      <c r="E56" s="409"/>
      <c r="F56" s="318">
        <f>SUM(G56:M56)</f>
        <v>10624.849999999999</v>
      </c>
      <c r="G56" s="319">
        <f>SUM(G11:G55)</f>
        <v>3284.6599999999994</v>
      </c>
      <c r="H56" s="319"/>
      <c r="I56" s="319">
        <f>SUM(I11:I55)</f>
        <v>2172.1799999999998</v>
      </c>
      <c r="J56" s="319">
        <f>SUM(J11:J55)</f>
        <v>5168.01</v>
      </c>
      <c r="K56" s="319"/>
      <c r="L56" s="406"/>
      <c r="M56" s="407"/>
      <c r="N56" s="443"/>
      <c r="O56" s="354"/>
      <c r="P56" s="189">
        <f>SUM(Q56:W56)</f>
        <v>2560</v>
      </c>
      <c r="Q56" s="496">
        <f>SUM(Q11:Q55)</f>
        <v>1010.415184</v>
      </c>
      <c r="R56" s="496"/>
      <c r="S56" s="496">
        <f>SUM(S11:S55)</f>
        <v>1049.584816</v>
      </c>
      <c r="T56" s="496">
        <f>SUM(T11:T55)</f>
        <v>500</v>
      </c>
      <c r="U56" s="496"/>
      <c r="V56" s="496"/>
      <c r="W56" s="496"/>
      <c r="X56" s="443"/>
      <c r="Y56" s="354"/>
      <c r="Z56" s="496">
        <f>SUM(Z11:Z55)</f>
        <v>3836.2267999999995</v>
      </c>
      <c r="AA56" s="496">
        <f>SUM(AA11:AA55)</f>
        <v>1330.5708264000002</v>
      </c>
      <c r="AB56" s="496"/>
      <c r="AC56" s="496">
        <f>SUM(AC11:AC55)</f>
        <v>1143.2880736000002</v>
      </c>
      <c r="AD56" s="496">
        <f>SUM(AD11:AD55)</f>
        <v>1362.3679</v>
      </c>
      <c r="AE56" s="496"/>
      <c r="AF56" s="496"/>
      <c r="AG56" s="496"/>
      <c r="AH56" s="443"/>
      <c r="AI56" s="354"/>
      <c r="AJ56" s="496">
        <f>SUM(AJ11:AJ55)</f>
        <v>2567.6932000000002</v>
      </c>
      <c r="AK56" s="225">
        <f>SUM(AK11:AK55)</f>
        <v>948.30502960000024</v>
      </c>
      <c r="AL56" s="496"/>
      <c r="AM56" s="496">
        <f>SUM(AM11:AM55)</f>
        <v>748.36607040000013</v>
      </c>
      <c r="AN56" s="496">
        <f>SUM(AN11:AN55)</f>
        <v>871.0220999999998</v>
      </c>
      <c r="AO56" s="496"/>
      <c r="AP56" s="496"/>
      <c r="AQ56" s="496"/>
    </row>
    <row r="57" spans="1:43" s="428" customFormat="1" ht="14.25" customHeight="1">
      <c r="A57" s="622" t="s">
        <v>74</v>
      </c>
      <c r="B57" s="617"/>
      <c r="C57" s="618"/>
      <c r="D57" s="427"/>
      <c r="E57" s="427"/>
      <c r="F57" s="318"/>
      <c r="M57" s="426"/>
      <c r="N57" s="447"/>
      <c r="O57" s="312"/>
      <c r="P57" s="189"/>
      <c r="Q57" s="190"/>
      <c r="R57" s="588"/>
      <c r="S57" s="588"/>
      <c r="T57" s="588"/>
      <c r="U57" s="588"/>
      <c r="V57" s="588"/>
      <c r="W57" s="189"/>
      <c r="X57" s="447"/>
      <c r="Y57" s="312"/>
      <c r="Z57" s="189"/>
      <c r="AA57" s="588"/>
      <c r="AB57" s="588"/>
      <c r="AC57" s="588"/>
      <c r="AD57" s="588"/>
      <c r="AE57" s="588"/>
      <c r="AF57" s="588"/>
      <c r="AG57" s="189"/>
      <c r="AH57" s="447"/>
      <c r="AI57" s="312"/>
      <c r="AJ57" s="189"/>
      <c r="AK57" s="588"/>
      <c r="AL57" s="588"/>
      <c r="AM57" s="588"/>
      <c r="AN57" s="588"/>
      <c r="AO57" s="588"/>
      <c r="AP57" s="588"/>
      <c r="AQ57" s="189"/>
    </row>
    <row r="58" spans="1:43" s="428" customFormat="1" ht="15" customHeight="1">
      <c r="A58" s="429"/>
      <c r="B58" s="404">
        <v>6800</v>
      </c>
      <c r="C58" s="405" t="s">
        <v>75</v>
      </c>
      <c r="D58" s="405"/>
      <c r="E58" s="405"/>
      <c r="F58" s="318"/>
      <c r="G58" s="319"/>
      <c r="H58" s="319"/>
      <c r="I58" s="319"/>
      <c r="J58" s="319"/>
      <c r="K58" s="319"/>
      <c r="L58" s="406"/>
      <c r="M58" s="426"/>
      <c r="N58" s="442"/>
      <c r="O58" s="297"/>
      <c r="P58" s="189"/>
      <c r="Q58" s="496"/>
      <c r="R58" s="496"/>
      <c r="S58" s="496"/>
      <c r="T58" s="496"/>
      <c r="U58" s="496"/>
      <c r="V58" s="496"/>
      <c r="W58" s="189"/>
      <c r="X58" s="442"/>
      <c r="Y58" s="297"/>
      <c r="Z58" s="189"/>
      <c r="AA58" s="225"/>
      <c r="AB58" s="496"/>
      <c r="AC58" s="496"/>
      <c r="AD58" s="496"/>
      <c r="AE58" s="496"/>
      <c r="AF58" s="496"/>
      <c r="AG58" s="189"/>
      <c r="AH58" s="442"/>
      <c r="AI58" s="297"/>
      <c r="AJ58" s="189"/>
      <c r="AK58" s="225"/>
      <c r="AL58" s="496"/>
      <c r="AM58" s="496"/>
      <c r="AN58" s="496"/>
      <c r="AO58" s="496"/>
      <c r="AP58" s="496"/>
      <c r="AQ58" s="189"/>
    </row>
    <row r="59" spans="1:43" s="428" customFormat="1" ht="19.5" customHeight="1">
      <c r="A59" s="430"/>
      <c r="B59" s="413">
        <v>6807</v>
      </c>
      <c r="C59" s="638" t="s">
        <v>76</v>
      </c>
      <c r="D59" s="617"/>
      <c r="E59" s="617"/>
      <c r="F59" s="617"/>
      <c r="G59" s="617"/>
      <c r="H59" s="617"/>
      <c r="I59" s="617"/>
      <c r="J59" s="617"/>
      <c r="K59" s="617"/>
      <c r="L59" s="617"/>
      <c r="M59" s="617"/>
      <c r="N59" s="617"/>
      <c r="O59" s="617"/>
      <c r="P59" s="617"/>
      <c r="Q59" s="618"/>
      <c r="R59" s="496"/>
      <c r="S59" s="496"/>
      <c r="T59" s="496"/>
      <c r="U59" s="496"/>
      <c r="V59" s="496"/>
      <c r="W59" s="189"/>
      <c r="X59" s="489"/>
      <c r="Y59" s="297"/>
      <c r="Z59" s="189"/>
      <c r="AA59" s="225"/>
      <c r="AB59" s="496"/>
      <c r="AC59" s="496"/>
      <c r="AD59" s="496"/>
      <c r="AE59" s="496"/>
      <c r="AF59" s="496"/>
      <c r="AG59" s="189"/>
      <c r="AH59" s="489"/>
      <c r="AI59" s="297"/>
      <c r="AJ59" s="189"/>
      <c r="AK59" s="225"/>
      <c r="AL59" s="496"/>
      <c r="AM59" s="496"/>
      <c r="AN59" s="496"/>
      <c r="AO59" s="496"/>
      <c r="AP59" s="496"/>
      <c r="AQ59" s="189"/>
    </row>
    <row r="60" spans="1:43" s="428" customFormat="1" ht="60" customHeight="1">
      <c r="A60" s="403"/>
      <c r="B60" s="431"/>
      <c r="C60" s="510" t="s">
        <v>77</v>
      </c>
      <c r="D60" s="506" t="s">
        <v>70</v>
      </c>
      <c r="E60" s="507" t="s">
        <v>78</v>
      </c>
      <c r="F60" s="189">
        <v>606.9</v>
      </c>
      <c r="G60" s="496">
        <v>606.9</v>
      </c>
      <c r="H60" s="566"/>
      <c r="I60" s="496">
        <v>0</v>
      </c>
      <c r="J60" s="496">
        <v>0</v>
      </c>
      <c r="K60" s="496"/>
      <c r="L60" s="298"/>
      <c r="M60" s="313"/>
      <c r="N60" s="506" t="s">
        <v>70</v>
      </c>
      <c r="O60" s="507" t="s">
        <v>79</v>
      </c>
      <c r="P60" s="189">
        <v>95.6</v>
      </c>
      <c r="Q60" s="496">
        <v>95.6</v>
      </c>
      <c r="R60" s="496"/>
      <c r="S60" s="496">
        <v>0</v>
      </c>
      <c r="T60" s="496">
        <v>0</v>
      </c>
      <c r="U60" s="496"/>
      <c r="V60" s="496"/>
      <c r="W60" s="189"/>
      <c r="X60" s="438"/>
      <c r="Y60" s="315"/>
      <c r="Z60" s="189">
        <v>0</v>
      </c>
      <c r="AA60" s="225">
        <v>0</v>
      </c>
      <c r="AB60" s="496"/>
      <c r="AC60" s="496">
        <v>0</v>
      </c>
      <c r="AD60" s="496">
        <v>0</v>
      </c>
      <c r="AE60" s="496"/>
      <c r="AF60" s="496"/>
      <c r="AG60" s="189"/>
      <c r="AH60" s="438"/>
      <c r="AI60" s="315"/>
      <c r="AJ60" s="189">
        <v>0</v>
      </c>
      <c r="AK60" s="225">
        <v>0</v>
      </c>
      <c r="AL60" s="496"/>
      <c r="AM60" s="496">
        <v>0</v>
      </c>
      <c r="AN60" s="496">
        <v>0</v>
      </c>
      <c r="AO60" s="496"/>
      <c r="AP60" s="496"/>
      <c r="AQ60" s="189"/>
    </row>
    <row r="61" spans="1:43" s="428" customFormat="1" ht="30.75" customHeight="1">
      <c r="A61" s="430"/>
      <c r="B61" s="432"/>
      <c r="C61" s="461" t="s">
        <v>385</v>
      </c>
      <c r="D61" s="438" t="s">
        <v>70</v>
      </c>
      <c r="E61" s="461" t="s">
        <v>81</v>
      </c>
      <c r="F61" s="318">
        <v>50.22</v>
      </c>
      <c r="G61" s="319">
        <v>50.22</v>
      </c>
      <c r="H61" s="566"/>
      <c r="I61" s="319">
        <v>0</v>
      </c>
      <c r="J61" s="319">
        <v>0</v>
      </c>
      <c r="K61" s="319"/>
      <c r="L61" s="406"/>
      <c r="M61" s="426"/>
      <c r="N61" s="438" t="s">
        <v>70</v>
      </c>
      <c r="O61" s="315" t="s">
        <v>82</v>
      </c>
      <c r="P61" s="189">
        <v>0</v>
      </c>
      <c r="Q61" s="496">
        <v>0</v>
      </c>
      <c r="R61" s="496"/>
      <c r="S61" s="496">
        <v>0</v>
      </c>
      <c r="T61" s="496">
        <v>0</v>
      </c>
      <c r="U61" s="496"/>
      <c r="V61" s="496"/>
      <c r="W61" s="189"/>
      <c r="X61" s="438"/>
      <c r="Y61" s="315"/>
      <c r="Z61" s="189">
        <v>10.0968</v>
      </c>
      <c r="AA61" s="496">
        <v>10.0968</v>
      </c>
      <c r="AB61" s="496"/>
      <c r="AC61" s="496">
        <v>0</v>
      </c>
      <c r="AD61" s="496">
        <v>0</v>
      </c>
      <c r="AE61" s="496"/>
      <c r="AF61" s="496"/>
      <c r="AG61" s="189"/>
      <c r="AH61" s="438"/>
      <c r="AI61" s="315"/>
      <c r="AJ61" s="189">
        <v>7.9332000000000003</v>
      </c>
      <c r="AK61" s="225">
        <v>7.9332000000000003</v>
      </c>
      <c r="AL61" s="496"/>
      <c r="AM61" s="496">
        <v>0</v>
      </c>
      <c r="AN61" s="496">
        <v>0</v>
      </c>
      <c r="AO61" s="496"/>
      <c r="AP61" s="496"/>
      <c r="AQ61" s="189"/>
    </row>
    <row r="62" spans="1:43" s="428" customFormat="1" ht="18" customHeight="1">
      <c r="A62" s="403"/>
      <c r="B62" s="413">
        <v>6809</v>
      </c>
      <c r="C62" s="638" t="s">
        <v>83</v>
      </c>
      <c r="D62" s="617"/>
      <c r="E62" s="617"/>
      <c r="F62" s="617"/>
      <c r="G62" s="617"/>
      <c r="H62" s="617"/>
      <c r="I62" s="617"/>
      <c r="J62" s="617"/>
      <c r="K62" s="617"/>
      <c r="L62" s="617"/>
      <c r="M62" s="617"/>
      <c r="N62" s="617"/>
      <c r="O62" s="617"/>
      <c r="P62" s="617"/>
      <c r="Q62" s="618"/>
      <c r="R62" s="496"/>
      <c r="S62" s="496"/>
      <c r="T62" s="496"/>
      <c r="U62" s="496"/>
      <c r="V62" s="496"/>
      <c r="W62" s="189"/>
      <c r="X62" s="487"/>
      <c r="Y62" s="317"/>
      <c r="Z62" s="189"/>
      <c r="AA62" s="225"/>
      <c r="AB62" s="496"/>
      <c r="AC62" s="496"/>
      <c r="AD62" s="496"/>
      <c r="AE62" s="496"/>
      <c r="AF62" s="496"/>
      <c r="AG62" s="189"/>
      <c r="AH62" s="487"/>
      <c r="AI62" s="317"/>
      <c r="AJ62" s="189"/>
      <c r="AK62" s="225"/>
      <c r="AL62" s="496"/>
      <c r="AM62" s="496"/>
      <c r="AN62" s="496"/>
      <c r="AO62" s="496"/>
      <c r="AP62" s="496"/>
      <c r="AQ62" s="189"/>
    </row>
    <row r="63" spans="1:43" s="428" customFormat="1" ht="18" customHeight="1">
      <c r="A63" s="403"/>
      <c r="B63" s="432"/>
      <c r="C63" s="503" t="s">
        <v>84</v>
      </c>
      <c r="D63" s="438" t="s">
        <v>70</v>
      </c>
      <c r="E63" s="315" t="s">
        <v>85</v>
      </c>
      <c r="F63" s="318">
        <v>61.29</v>
      </c>
      <c r="G63" s="319">
        <v>61.29</v>
      </c>
      <c r="H63" s="566"/>
      <c r="I63" s="319">
        <v>0</v>
      </c>
      <c r="J63" s="319">
        <v>0</v>
      </c>
      <c r="K63" s="319"/>
      <c r="L63" s="406"/>
      <c r="M63" s="426"/>
      <c r="N63" s="438" t="s">
        <v>70</v>
      </c>
      <c r="O63" s="315" t="s">
        <v>79</v>
      </c>
      <c r="P63" s="189">
        <v>0</v>
      </c>
      <c r="Q63" s="496">
        <v>0</v>
      </c>
      <c r="R63" s="496"/>
      <c r="S63" s="496">
        <v>0</v>
      </c>
      <c r="T63" s="496">
        <v>0</v>
      </c>
      <c r="U63" s="496"/>
      <c r="V63" s="496"/>
      <c r="W63" s="189"/>
      <c r="X63" s="438"/>
      <c r="Y63" s="315"/>
      <c r="Z63" s="189">
        <v>22.838899999999999</v>
      </c>
      <c r="AA63" s="496">
        <v>22.838899999999999</v>
      </c>
      <c r="AB63" s="496"/>
      <c r="AC63" s="496">
        <v>0</v>
      </c>
      <c r="AD63" s="496">
        <v>0</v>
      </c>
      <c r="AE63" s="496"/>
      <c r="AF63" s="496"/>
      <c r="AG63" s="189"/>
      <c r="AH63" s="438"/>
      <c r="AI63" s="315"/>
      <c r="AJ63" s="189">
        <v>15.8711</v>
      </c>
      <c r="AK63" s="225">
        <v>15.8711</v>
      </c>
      <c r="AL63" s="496"/>
      <c r="AM63" s="496">
        <v>0</v>
      </c>
      <c r="AN63" s="496">
        <v>0</v>
      </c>
      <c r="AO63" s="496"/>
      <c r="AP63" s="496"/>
      <c r="AQ63" s="189"/>
    </row>
    <row r="64" spans="1:43" s="428" customFormat="1" ht="18" customHeight="1">
      <c r="A64" s="403"/>
      <c r="B64" s="111">
        <v>6813</v>
      </c>
      <c r="C64" s="638" t="s">
        <v>86</v>
      </c>
      <c r="D64" s="617"/>
      <c r="E64" s="617"/>
      <c r="F64" s="617"/>
      <c r="G64" s="617"/>
      <c r="H64" s="617"/>
      <c r="I64" s="617"/>
      <c r="J64" s="617"/>
      <c r="K64" s="617"/>
      <c r="L64" s="617"/>
      <c r="M64" s="617"/>
      <c r="N64" s="617"/>
      <c r="O64" s="617"/>
      <c r="P64" s="617"/>
      <c r="Q64" s="618"/>
      <c r="R64" s="496"/>
      <c r="S64" s="496"/>
      <c r="T64" s="496"/>
      <c r="U64" s="496"/>
      <c r="V64" s="496"/>
      <c r="W64" s="189"/>
      <c r="X64" s="487"/>
      <c r="Y64" s="317"/>
      <c r="Z64" s="189"/>
      <c r="AA64" s="225"/>
      <c r="AB64" s="496"/>
      <c r="AC64" s="496"/>
      <c r="AD64" s="496"/>
      <c r="AE64" s="496"/>
      <c r="AF64" s="496"/>
      <c r="AG64" s="189"/>
      <c r="AH64" s="487"/>
      <c r="AI64" s="317"/>
      <c r="AJ64" s="189"/>
      <c r="AK64" s="225"/>
      <c r="AL64" s="496"/>
      <c r="AM64" s="496"/>
      <c r="AN64" s="496"/>
      <c r="AO64" s="496"/>
      <c r="AP64" s="496"/>
      <c r="AQ64" s="189"/>
    </row>
    <row r="65" spans="1:43" s="428" customFormat="1" ht="33.75" customHeight="1">
      <c r="A65" s="403"/>
      <c r="B65" s="431"/>
      <c r="C65" s="461" t="s">
        <v>87</v>
      </c>
      <c r="D65" s="438" t="s">
        <v>70</v>
      </c>
      <c r="E65" s="461" t="s">
        <v>78</v>
      </c>
      <c r="F65" s="318">
        <v>8.9499999999999993</v>
      </c>
      <c r="G65" s="319">
        <v>8.9499999999999993</v>
      </c>
      <c r="H65" s="566"/>
      <c r="I65" s="319">
        <v>0</v>
      </c>
      <c r="J65" s="319">
        <v>0</v>
      </c>
      <c r="K65" s="319"/>
      <c r="L65" s="406"/>
      <c r="M65" s="426"/>
      <c r="N65" s="438" t="s">
        <v>70</v>
      </c>
      <c r="O65" s="315"/>
      <c r="P65" s="189">
        <v>0</v>
      </c>
      <c r="Q65" s="496">
        <v>0</v>
      </c>
      <c r="R65" s="496"/>
      <c r="S65" s="496">
        <v>0</v>
      </c>
      <c r="T65" s="496">
        <v>0</v>
      </c>
      <c r="U65" s="496"/>
      <c r="V65" s="496"/>
      <c r="W65" s="189"/>
      <c r="X65" s="438"/>
      <c r="Y65" s="315"/>
      <c r="Z65" s="189">
        <v>1.1399999999999759E-2</v>
      </c>
      <c r="AA65" s="496">
        <v>1.1399999999999759E-2</v>
      </c>
      <c r="AB65" s="496"/>
      <c r="AC65" s="496">
        <v>0</v>
      </c>
      <c r="AD65" s="496">
        <v>0</v>
      </c>
      <c r="AE65" s="496"/>
      <c r="AF65" s="496"/>
      <c r="AG65" s="189"/>
      <c r="AH65" s="438"/>
      <c r="AI65" s="315"/>
      <c r="AJ65" s="189">
        <v>8.5999999999998161E-3</v>
      </c>
      <c r="AK65" s="225">
        <v>8.5999999999998161E-3</v>
      </c>
      <c r="AL65" s="496"/>
      <c r="AM65" s="496">
        <v>0</v>
      </c>
      <c r="AN65" s="496">
        <v>0</v>
      </c>
      <c r="AO65" s="496"/>
      <c r="AP65" s="496"/>
      <c r="AQ65" s="189"/>
    </row>
    <row r="66" spans="1:43" s="428" customFormat="1" ht="18" customHeight="1">
      <c r="A66" s="403"/>
      <c r="B66" s="432"/>
      <c r="C66" s="461" t="s">
        <v>88</v>
      </c>
      <c r="D66" s="438" t="s">
        <v>70</v>
      </c>
      <c r="E66" s="461" t="s">
        <v>89</v>
      </c>
      <c r="F66" s="318">
        <v>0.79600000000000004</v>
      </c>
      <c r="G66" s="319">
        <v>0.79600000000000004</v>
      </c>
      <c r="H66" s="566"/>
      <c r="I66" s="319">
        <v>0</v>
      </c>
      <c r="J66" s="319">
        <v>0</v>
      </c>
      <c r="K66" s="319"/>
      <c r="L66" s="406"/>
      <c r="M66" s="426"/>
      <c r="N66" s="438" t="s">
        <v>70</v>
      </c>
      <c r="O66" s="315" t="s">
        <v>82</v>
      </c>
      <c r="P66" s="189">
        <v>0</v>
      </c>
      <c r="Q66" s="496">
        <v>0</v>
      </c>
      <c r="R66" s="496"/>
      <c r="S66" s="496">
        <v>0</v>
      </c>
      <c r="T66" s="496">
        <v>0</v>
      </c>
      <c r="U66" s="496"/>
      <c r="V66" s="496"/>
      <c r="W66" s="189"/>
      <c r="X66" s="438"/>
      <c r="Y66" s="315"/>
      <c r="Z66" s="189">
        <v>2.4418000000000002</v>
      </c>
      <c r="AA66" s="496">
        <v>2.4418000000000002</v>
      </c>
      <c r="AB66" s="496"/>
      <c r="AC66" s="496">
        <v>0</v>
      </c>
      <c r="AD66" s="496">
        <v>0</v>
      </c>
      <c r="AE66" s="496"/>
      <c r="AF66" s="496"/>
      <c r="AG66" s="189"/>
      <c r="AH66" s="438"/>
      <c r="AI66" s="315"/>
      <c r="AJ66" s="189">
        <v>1.7682</v>
      </c>
      <c r="AK66" s="225">
        <v>1.7682</v>
      </c>
      <c r="AL66" s="496"/>
      <c r="AM66" s="496">
        <v>0</v>
      </c>
      <c r="AN66" s="496">
        <v>0</v>
      </c>
      <c r="AO66" s="496"/>
      <c r="AP66" s="496"/>
      <c r="AQ66" s="189"/>
    </row>
    <row r="67" spans="1:43" s="428" customFormat="1" ht="17.25" customHeight="1">
      <c r="A67" s="403"/>
      <c r="B67" s="111">
        <v>6814</v>
      </c>
      <c r="C67" s="639" t="s">
        <v>67</v>
      </c>
      <c r="D67" s="617"/>
      <c r="E67" s="617"/>
      <c r="F67" s="617"/>
      <c r="G67" s="617"/>
      <c r="H67" s="617"/>
      <c r="I67" s="617"/>
      <c r="J67" s="617"/>
      <c r="K67" s="617"/>
      <c r="L67" s="617"/>
      <c r="M67" s="617"/>
      <c r="N67" s="617"/>
      <c r="O67" s="617"/>
      <c r="P67" s="617"/>
      <c r="Q67" s="618"/>
      <c r="R67" s="496"/>
      <c r="S67" s="496"/>
      <c r="T67" s="496"/>
      <c r="U67" s="496"/>
      <c r="V67" s="496"/>
      <c r="W67" s="189"/>
      <c r="X67" s="489"/>
      <c r="Y67" s="320"/>
      <c r="Z67" s="189"/>
      <c r="AA67" s="225"/>
      <c r="AB67" s="496"/>
      <c r="AC67" s="496"/>
      <c r="AD67" s="496"/>
      <c r="AE67" s="496"/>
      <c r="AF67" s="496"/>
      <c r="AG67" s="189"/>
      <c r="AH67" s="489"/>
      <c r="AI67" s="320"/>
      <c r="AJ67" s="189"/>
      <c r="AK67" s="225"/>
      <c r="AL67" s="496"/>
      <c r="AM67" s="496"/>
      <c r="AN67" s="496"/>
      <c r="AO67" s="496"/>
      <c r="AP67" s="496"/>
      <c r="AQ67" s="189"/>
    </row>
    <row r="68" spans="1:43" s="428" customFormat="1" ht="28.5" customHeight="1">
      <c r="A68" s="403"/>
      <c r="B68" s="112"/>
      <c r="C68" s="461" t="s">
        <v>90</v>
      </c>
      <c r="D68" s="438" t="s">
        <v>70</v>
      </c>
      <c r="E68" s="461" t="s">
        <v>91</v>
      </c>
      <c r="F68" s="318">
        <v>20.18</v>
      </c>
      <c r="G68" s="319">
        <v>20.18</v>
      </c>
      <c r="H68" s="566"/>
      <c r="I68" s="319">
        <v>0</v>
      </c>
      <c r="J68" s="319">
        <v>0</v>
      </c>
      <c r="K68" s="319"/>
      <c r="L68" s="406"/>
      <c r="M68" s="426"/>
      <c r="N68" s="438" t="s">
        <v>70</v>
      </c>
      <c r="O68" s="315" t="s">
        <v>92</v>
      </c>
      <c r="P68" s="189">
        <v>0</v>
      </c>
      <c r="Q68" s="496">
        <v>0</v>
      </c>
      <c r="R68" s="496"/>
      <c r="S68" s="496">
        <v>0</v>
      </c>
      <c r="T68" s="496">
        <v>0</v>
      </c>
      <c r="U68" s="496"/>
      <c r="V68" s="496"/>
      <c r="W68" s="189"/>
      <c r="X68" s="438"/>
      <c r="Y68" s="315"/>
      <c r="Z68" s="189">
        <v>0.18240000000000009</v>
      </c>
      <c r="AA68" s="496">
        <v>0.18240000000000009</v>
      </c>
      <c r="AB68" s="496"/>
      <c r="AC68" s="496">
        <v>0</v>
      </c>
      <c r="AD68" s="496">
        <v>0</v>
      </c>
      <c r="AE68" s="496"/>
      <c r="AF68" s="496"/>
      <c r="AG68" s="189"/>
      <c r="AH68" s="438"/>
      <c r="AI68" s="315"/>
      <c r="AJ68" s="189">
        <v>0.13760000000000011</v>
      </c>
      <c r="AK68" s="225">
        <v>0.13760000000000011</v>
      </c>
      <c r="AL68" s="496"/>
      <c r="AM68" s="496">
        <v>0</v>
      </c>
      <c r="AN68" s="496">
        <v>0</v>
      </c>
      <c r="AO68" s="496"/>
      <c r="AP68" s="496"/>
      <c r="AQ68" s="189"/>
    </row>
    <row r="69" spans="1:43" s="428" customFormat="1" ht="29.25" customHeight="1">
      <c r="A69" s="403"/>
      <c r="B69" s="112"/>
      <c r="C69" s="461" t="s">
        <v>93</v>
      </c>
      <c r="D69" s="461"/>
      <c r="E69" s="461"/>
      <c r="F69" s="318">
        <v>2.13</v>
      </c>
      <c r="G69" s="319">
        <v>2.13</v>
      </c>
      <c r="H69" s="566"/>
      <c r="I69" s="319">
        <v>0</v>
      </c>
      <c r="J69" s="319">
        <v>0</v>
      </c>
      <c r="K69" s="319"/>
      <c r="L69" s="406"/>
      <c r="M69" s="426"/>
      <c r="N69" s="438" t="s">
        <v>70</v>
      </c>
      <c r="O69" s="315" t="s">
        <v>92</v>
      </c>
      <c r="P69" s="189">
        <v>0</v>
      </c>
      <c r="Q69" s="496">
        <v>0</v>
      </c>
      <c r="R69" s="496"/>
      <c r="S69" s="496">
        <v>0</v>
      </c>
      <c r="T69" s="496">
        <v>0</v>
      </c>
      <c r="U69" s="496"/>
      <c r="V69" s="496"/>
      <c r="W69" s="189"/>
      <c r="X69" s="438"/>
      <c r="Y69" s="315"/>
      <c r="Z69" s="189">
        <v>2.4380999999999999</v>
      </c>
      <c r="AA69" s="496">
        <v>2.4380999999999999</v>
      </c>
      <c r="AB69" s="496"/>
      <c r="AC69" s="496">
        <v>0</v>
      </c>
      <c r="AD69" s="496">
        <v>0</v>
      </c>
      <c r="AE69" s="496"/>
      <c r="AF69" s="496"/>
      <c r="AG69" s="189"/>
      <c r="AH69" s="438"/>
      <c r="AI69" s="315"/>
      <c r="AJ69" s="189">
        <v>1.4319</v>
      </c>
      <c r="AK69" s="225">
        <v>1.4319</v>
      </c>
      <c r="AL69" s="496"/>
      <c r="AM69" s="496">
        <v>0</v>
      </c>
      <c r="AN69" s="496">
        <v>0</v>
      </c>
      <c r="AO69" s="496"/>
      <c r="AP69" s="496"/>
      <c r="AQ69" s="189"/>
    </row>
    <row r="70" spans="1:43" s="428" customFormat="1" ht="16.5" customHeight="1">
      <c r="A70" s="403"/>
      <c r="B70" s="113"/>
      <c r="C70" s="95" t="s">
        <v>94</v>
      </c>
      <c r="D70" s="461"/>
      <c r="E70" s="461"/>
      <c r="F70" s="318">
        <v>9.49</v>
      </c>
      <c r="G70" s="319">
        <v>9.49</v>
      </c>
      <c r="H70" s="566">
        <f>ROW(C70)</f>
        <v>70</v>
      </c>
      <c r="I70" s="319">
        <v>0</v>
      </c>
      <c r="J70" s="319">
        <v>0</v>
      </c>
      <c r="K70" s="319"/>
      <c r="L70" s="406"/>
      <c r="M70" s="426"/>
      <c r="N70" s="438"/>
      <c r="O70" s="315"/>
      <c r="P70" s="189">
        <v>5</v>
      </c>
      <c r="Q70" s="496">
        <v>5</v>
      </c>
      <c r="R70" s="496"/>
      <c r="S70" s="496">
        <v>0</v>
      </c>
      <c r="T70" s="496">
        <v>0</v>
      </c>
      <c r="U70" s="496"/>
      <c r="V70" s="496"/>
      <c r="W70" s="189"/>
      <c r="X70" s="438"/>
      <c r="Y70" s="315"/>
      <c r="Z70" s="189">
        <v>19.5305</v>
      </c>
      <c r="AA70" s="496">
        <v>19.5305</v>
      </c>
      <c r="AB70" s="496"/>
      <c r="AC70" s="496">
        <v>0</v>
      </c>
      <c r="AD70" s="496">
        <v>0</v>
      </c>
      <c r="AE70" s="496"/>
      <c r="AF70" s="496"/>
      <c r="AG70" s="189"/>
      <c r="AH70" s="438"/>
      <c r="AI70" s="315"/>
      <c r="AJ70" s="189">
        <v>15.9795</v>
      </c>
      <c r="AK70" s="225">
        <v>15.9795</v>
      </c>
      <c r="AL70" s="496"/>
      <c r="AM70" s="496">
        <v>0</v>
      </c>
      <c r="AN70" s="496">
        <v>0</v>
      </c>
      <c r="AO70" s="496"/>
      <c r="AP70" s="496"/>
      <c r="AQ70" s="189"/>
    </row>
    <row r="71" spans="1:43" s="428" customFormat="1" ht="19.5" customHeight="1">
      <c r="A71" s="403"/>
      <c r="B71" s="111">
        <v>6815</v>
      </c>
      <c r="C71" s="638" t="s">
        <v>95</v>
      </c>
      <c r="D71" s="617"/>
      <c r="E71" s="617"/>
      <c r="F71" s="617"/>
      <c r="G71" s="617"/>
      <c r="H71" s="617"/>
      <c r="I71" s="617"/>
      <c r="J71" s="617"/>
      <c r="K71" s="617"/>
      <c r="L71" s="617"/>
      <c r="M71" s="617"/>
      <c r="N71" s="617"/>
      <c r="O71" s="617"/>
      <c r="P71" s="617"/>
      <c r="Q71" s="618"/>
      <c r="R71" s="496"/>
      <c r="S71" s="496"/>
      <c r="T71" s="496"/>
      <c r="U71" s="496"/>
      <c r="V71" s="496"/>
      <c r="W71" s="189"/>
      <c r="X71" s="489"/>
      <c r="Y71" s="320"/>
      <c r="Z71" s="189"/>
      <c r="AA71" s="225"/>
      <c r="AB71" s="496"/>
      <c r="AC71" s="496"/>
      <c r="AD71" s="496"/>
      <c r="AE71" s="496"/>
      <c r="AF71" s="496"/>
      <c r="AG71" s="189"/>
      <c r="AH71" s="489"/>
      <c r="AI71" s="320"/>
      <c r="AJ71" s="189"/>
      <c r="AK71" s="225"/>
      <c r="AL71" s="496"/>
      <c r="AM71" s="496"/>
      <c r="AN71" s="496"/>
      <c r="AO71" s="496"/>
      <c r="AP71" s="496"/>
      <c r="AQ71" s="189"/>
    </row>
    <row r="72" spans="1:43" s="428" customFormat="1" ht="60" customHeight="1">
      <c r="A72" s="403"/>
      <c r="B72" s="431"/>
      <c r="C72" s="461" t="s">
        <v>96</v>
      </c>
      <c r="D72" s="438" t="s">
        <v>70</v>
      </c>
      <c r="E72" s="461" t="s">
        <v>97</v>
      </c>
      <c r="F72" s="318">
        <v>19.47</v>
      </c>
      <c r="G72" s="319">
        <v>19.47</v>
      </c>
      <c r="H72" s="566">
        <f t="shared" ref="H72:H77" si="0">ROW(C72)</f>
        <v>72</v>
      </c>
      <c r="I72" s="319">
        <v>0</v>
      </c>
      <c r="J72" s="319">
        <v>0</v>
      </c>
      <c r="K72" s="319"/>
      <c r="L72" s="406"/>
      <c r="M72" s="426"/>
      <c r="N72" s="438" t="s">
        <v>70</v>
      </c>
      <c r="O72" s="315" t="s">
        <v>79</v>
      </c>
      <c r="P72" s="189">
        <v>0</v>
      </c>
      <c r="Q72" s="496">
        <v>0</v>
      </c>
      <c r="R72" s="496"/>
      <c r="S72" s="496">
        <v>0</v>
      </c>
      <c r="T72" s="496">
        <v>0</v>
      </c>
      <c r="U72" s="496"/>
      <c r="V72" s="496"/>
      <c r="W72" s="189"/>
      <c r="X72" s="438"/>
      <c r="Y72" s="315"/>
      <c r="Z72" s="189">
        <v>1.8000000000000679E-2</v>
      </c>
      <c r="AA72" s="496">
        <v>1.8000000000000679E-2</v>
      </c>
      <c r="AB72" s="496"/>
      <c r="AC72" s="496">
        <v>0</v>
      </c>
      <c r="AD72" s="496">
        <v>0</v>
      </c>
      <c r="AE72" s="496"/>
      <c r="AF72" s="496"/>
      <c r="AG72" s="189"/>
      <c r="AH72" s="438"/>
      <c r="AI72" s="315"/>
      <c r="AJ72" s="189">
        <v>1.200000000000045E-2</v>
      </c>
      <c r="AK72" s="225">
        <v>1.200000000000045E-2</v>
      </c>
      <c r="AL72" s="496"/>
      <c r="AM72" s="496">
        <v>0</v>
      </c>
      <c r="AN72" s="496">
        <v>0</v>
      </c>
      <c r="AO72" s="496"/>
      <c r="AP72" s="496"/>
      <c r="AQ72" s="189"/>
    </row>
    <row r="73" spans="1:43" s="428" customFormat="1" ht="30" customHeight="1">
      <c r="A73" s="403"/>
      <c r="B73" s="431"/>
      <c r="C73" s="461" t="s">
        <v>98</v>
      </c>
      <c r="D73" s="438" t="s">
        <v>70</v>
      </c>
      <c r="E73" s="461" t="s">
        <v>78</v>
      </c>
      <c r="F73" s="318">
        <v>9.8800000000000008</v>
      </c>
      <c r="G73" s="319">
        <v>9.8800000000000008</v>
      </c>
      <c r="H73" s="566">
        <f t="shared" si="0"/>
        <v>73</v>
      </c>
      <c r="I73" s="319">
        <v>0</v>
      </c>
      <c r="J73" s="319">
        <v>0</v>
      </c>
      <c r="K73" s="319"/>
      <c r="L73" s="406"/>
      <c r="M73" s="426"/>
      <c r="N73" s="438" t="s">
        <v>70</v>
      </c>
      <c r="O73" s="315" t="s">
        <v>99</v>
      </c>
      <c r="P73" s="189">
        <v>0</v>
      </c>
      <c r="Q73" s="496">
        <v>0</v>
      </c>
      <c r="R73" s="496"/>
      <c r="S73" s="496">
        <v>0</v>
      </c>
      <c r="T73" s="496">
        <v>0</v>
      </c>
      <c r="U73" s="496"/>
      <c r="V73" s="496"/>
      <c r="W73" s="189"/>
      <c r="X73" s="438"/>
      <c r="Y73" s="315"/>
      <c r="Z73" s="189">
        <v>2.3994</v>
      </c>
      <c r="AA73" s="496">
        <v>2.3994</v>
      </c>
      <c r="AB73" s="496"/>
      <c r="AC73" s="496">
        <v>0</v>
      </c>
      <c r="AD73" s="496">
        <v>0</v>
      </c>
      <c r="AE73" s="496"/>
      <c r="AF73" s="496"/>
      <c r="AG73" s="189"/>
      <c r="AH73" s="438"/>
      <c r="AI73" s="315"/>
      <c r="AJ73" s="189">
        <v>1.4705999999999999</v>
      </c>
      <c r="AK73" s="225">
        <v>1.4705999999999999</v>
      </c>
      <c r="AL73" s="496"/>
      <c r="AM73" s="496">
        <v>0</v>
      </c>
      <c r="AN73" s="496">
        <v>0</v>
      </c>
      <c r="AO73" s="496"/>
      <c r="AP73" s="496"/>
      <c r="AQ73" s="189"/>
    </row>
    <row r="74" spans="1:43" s="428" customFormat="1" ht="17.25" customHeight="1">
      <c r="A74" s="403"/>
      <c r="B74" s="431"/>
      <c r="C74" s="461" t="s">
        <v>100</v>
      </c>
      <c r="D74" s="438" t="s">
        <v>70</v>
      </c>
      <c r="E74" s="461" t="s">
        <v>101</v>
      </c>
      <c r="F74" s="318">
        <v>0.2</v>
      </c>
      <c r="G74" s="319">
        <v>0.2</v>
      </c>
      <c r="H74" s="566">
        <f t="shared" si="0"/>
        <v>74</v>
      </c>
      <c r="I74" s="319">
        <v>0</v>
      </c>
      <c r="J74" s="319">
        <v>0</v>
      </c>
      <c r="K74" s="319"/>
      <c r="L74" s="406"/>
      <c r="M74" s="426"/>
      <c r="N74" s="438" t="s">
        <v>102</v>
      </c>
      <c r="O74" s="461" t="s">
        <v>101</v>
      </c>
      <c r="P74" s="189">
        <v>0</v>
      </c>
      <c r="Q74" s="496">
        <v>0</v>
      </c>
      <c r="R74" s="496"/>
      <c r="S74" s="496">
        <v>0</v>
      </c>
      <c r="T74" s="496">
        <v>0</v>
      </c>
      <c r="U74" s="496"/>
      <c r="V74" s="496"/>
      <c r="W74" s="189"/>
      <c r="X74" s="438"/>
      <c r="Y74" s="315"/>
      <c r="Z74" s="189">
        <v>0.71500000000000008</v>
      </c>
      <c r="AA74" s="496">
        <v>0.71500000000000008</v>
      </c>
      <c r="AB74" s="496"/>
      <c r="AC74" s="496">
        <v>0</v>
      </c>
      <c r="AD74" s="496">
        <v>0</v>
      </c>
      <c r="AE74" s="496"/>
      <c r="AF74" s="496"/>
      <c r="AG74" s="189"/>
      <c r="AH74" s="438"/>
      <c r="AI74" s="315"/>
      <c r="AJ74" s="189">
        <v>0.58500000000000008</v>
      </c>
      <c r="AK74" s="225">
        <v>0.58500000000000008</v>
      </c>
      <c r="AL74" s="496"/>
      <c r="AM74" s="496">
        <v>0</v>
      </c>
      <c r="AN74" s="496">
        <v>0</v>
      </c>
      <c r="AO74" s="496"/>
      <c r="AP74" s="496"/>
      <c r="AQ74" s="189"/>
    </row>
    <row r="75" spans="1:43" s="428" customFormat="1" ht="29.25" customHeight="1">
      <c r="A75" s="403"/>
      <c r="B75" s="432"/>
      <c r="C75" s="461" t="s">
        <v>103</v>
      </c>
      <c r="D75" s="438" t="s">
        <v>70</v>
      </c>
      <c r="E75" s="461" t="s">
        <v>78</v>
      </c>
      <c r="F75" s="318">
        <v>4.08</v>
      </c>
      <c r="G75" s="319">
        <v>4.08</v>
      </c>
      <c r="H75" s="566">
        <f t="shared" si="0"/>
        <v>75</v>
      </c>
      <c r="I75" s="319">
        <v>0</v>
      </c>
      <c r="J75" s="319">
        <v>0</v>
      </c>
      <c r="K75" s="319"/>
      <c r="L75" s="406"/>
      <c r="M75" s="426"/>
      <c r="N75" s="438" t="s">
        <v>70</v>
      </c>
      <c r="O75" s="315" t="s">
        <v>99</v>
      </c>
      <c r="P75" s="189">
        <v>0</v>
      </c>
      <c r="Q75" s="496">
        <v>0</v>
      </c>
      <c r="R75" s="496"/>
      <c r="S75" s="496">
        <v>0</v>
      </c>
      <c r="T75" s="496">
        <v>0</v>
      </c>
      <c r="U75" s="496"/>
      <c r="V75" s="496"/>
      <c r="W75" s="189"/>
      <c r="X75" s="438"/>
      <c r="Y75" s="321"/>
      <c r="Z75" s="189">
        <v>0.6552</v>
      </c>
      <c r="AA75" s="496">
        <v>0.6552</v>
      </c>
      <c r="AB75" s="496"/>
      <c r="AC75" s="496">
        <v>0</v>
      </c>
      <c r="AD75" s="496">
        <v>0</v>
      </c>
      <c r="AE75" s="496"/>
      <c r="AF75" s="496"/>
      <c r="AG75" s="189"/>
      <c r="AH75" s="438"/>
      <c r="AI75" s="321"/>
      <c r="AJ75" s="189">
        <v>0.51479999999999992</v>
      </c>
      <c r="AK75" s="225">
        <v>0.51479999999999992</v>
      </c>
      <c r="AL75" s="496"/>
      <c r="AM75" s="496">
        <v>0</v>
      </c>
      <c r="AN75" s="496">
        <v>0</v>
      </c>
      <c r="AO75" s="496"/>
      <c r="AP75" s="496"/>
      <c r="AQ75" s="189"/>
    </row>
    <row r="76" spans="1:43" s="428" customFormat="1" ht="17.25" customHeight="1">
      <c r="A76" s="403"/>
      <c r="B76" s="111">
        <v>6821</v>
      </c>
      <c r="C76" s="423" t="s">
        <v>62</v>
      </c>
      <c r="D76" s="461"/>
      <c r="E76" s="417" t="s">
        <v>26</v>
      </c>
      <c r="F76" s="318">
        <v>45.32</v>
      </c>
      <c r="G76" s="319">
        <v>45.32</v>
      </c>
      <c r="H76" s="566">
        <f t="shared" si="0"/>
        <v>76</v>
      </c>
      <c r="I76" s="319">
        <v>0</v>
      </c>
      <c r="J76" s="319">
        <v>0</v>
      </c>
      <c r="K76" s="319"/>
      <c r="L76" s="406"/>
      <c r="M76" s="426"/>
      <c r="N76" s="439"/>
      <c r="O76" s="362" t="s">
        <v>26</v>
      </c>
      <c r="P76" s="189">
        <v>0</v>
      </c>
      <c r="Q76" s="496">
        <v>0</v>
      </c>
      <c r="R76" s="496"/>
      <c r="S76" s="496">
        <v>0</v>
      </c>
      <c r="T76" s="496">
        <v>0</v>
      </c>
      <c r="U76" s="496"/>
      <c r="V76" s="496"/>
      <c r="W76" s="189"/>
      <c r="X76" s="439"/>
      <c r="Y76" s="362" t="s">
        <v>26</v>
      </c>
      <c r="Z76" s="189">
        <v>2.9016000000000002</v>
      </c>
      <c r="AA76" s="496">
        <v>2.9016000000000002</v>
      </c>
      <c r="AB76" s="496"/>
      <c r="AC76" s="496">
        <v>0</v>
      </c>
      <c r="AD76" s="496">
        <v>0</v>
      </c>
      <c r="AE76" s="496"/>
      <c r="AF76" s="496"/>
      <c r="AG76" s="189"/>
      <c r="AH76" s="439"/>
      <c r="AI76" s="362" t="s">
        <v>26</v>
      </c>
      <c r="AJ76" s="189">
        <v>1.7784</v>
      </c>
      <c r="AK76" s="225">
        <v>1.7784</v>
      </c>
      <c r="AL76" s="496"/>
      <c r="AM76" s="496">
        <v>0</v>
      </c>
      <c r="AN76" s="496">
        <v>0</v>
      </c>
      <c r="AO76" s="496"/>
      <c r="AP76" s="496"/>
      <c r="AQ76" s="189"/>
    </row>
    <row r="77" spans="1:43" s="428" customFormat="1" ht="16.5" customHeight="1">
      <c r="A77" s="403"/>
      <c r="B77" s="111">
        <v>6869</v>
      </c>
      <c r="C77" s="423" t="s">
        <v>104</v>
      </c>
      <c r="D77" s="438" t="s">
        <v>70</v>
      </c>
      <c r="E77" s="461" t="s">
        <v>99</v>
      </c>
      <c r="F77" s="318">
        <v>9.73</v>
      </c>
      <c r="G77" s="319">
        <v>9.73</v>
      </c>
      <c r="H77" s="566">
        <f t="shared" si="0"/>
        <v>77</v>
      </c>
      <c r="I77" s="319">
        <v>0</v>
      </c>
      <c r="J77" s="319">
        <v>0</v>
      </c>
      <c r="K77" s="319"/>
      <c r="L77" s="406"/>
      <c r="M77" s="426"/>
      <c r="N77" s="438" t="s">
        <v>70</v>
      </c>
      <c r="O77" s="461" t="s">
        <v>92</v>
      </c>
      <c r="P77" s="189">
        <v>4</v>
      </c>
      <c r="Q77" s="496">
        <v>4</v>
      </c>
      <c r="R77" s="496"/>
      <c r="S77" s="496">
        <v>0</v>
      </c>
      <c r="T77" s="496">
        <v>0</v>
      </c>
      <c r="U77" s="496"/>
      <c r="V77" s="496"/>
      <c r="W77" s="189"/>
      <c r="X77" s="438" t="s">
        <v>70</v>
      </c>
      <c r="Y77" s="461" t="s">
        <v>82</v>
      </c>
      <c r="Z77" s="189">
        <v>0.77469999999999972</v>
      </c>
      <c r="AA77" s="496">
        <v>0.77469999999999972</v>
      </c>
      <c r="AB77" s="496"/>
      <c r="AC77" s="496">
        <v>0</v>
      </c>
      <c r="AD77" s="496">
        <v>0</v>
      </c>
      <c r="AE77" s="496"/>
      <c r="AF77" s="496"/>
      <c r="AG77" s="189"/>
      <c r="AH77" s="439"/>
      <c r="AI77" s="362"/>
      <c r="AJ77" s="189">
        <v>0.49529999999999991</v>
      </c>
      <c r="AK77" s="225">
        <v>0.49529999999999991</v>
      </c>
      <c r="AL77" s="496"/>
      <c r="AM77" s="496">
        <v>0</v>
      </c>
      <c r="AN77" s="496">
        <v>0</v>
      </c>
      <c r="AO77" s="496"/>
      <c r="AP77" s="496"/>
      <c r="AQ77" s="189"/>
    </row>
    <row r="78" spans="1:43" s="428" customFormat="1" ht="18" customHeight="1">
      <c r="A78" s="403"/>
      <c r="B78" s="404">
        <v>6900</v>
      </c>
      <c r="C78" s="322" t="s">
        <v>105</v>
      </c>
      <c r="D78" s="322"/>
      <c r="E78" s="322"/>
      <c r="F78" s="318"/>
      <c r="G78" s="319"/>
      <c r="H78" s="319"/>
      <c r="I78" s="319"/>
      <c r="J78" s="319"/>
      <c r="K78" s="319"/>
      <c r="L78" s="406"/>
      <c r="M78" s="426"/>
      <c r="N78" s="322"/>
      <c r="O78" s="322"/>
      <c r="P78" s="189"/>
      <c r="Q78" s="496"/>
      <c r="R78" s="496"/>
      <c r="S78" s="496"/>
      <c r="T78" s="496"/>
      <c r="U78" s="496"/>
      <c r="V78" s="496"/>
      <c r="W78" s="189"/>
      <c r="X78" s="322"/>
      <c r="Y78" s="322"/>
      <c r="Z78" s="189"/>
      <c r="AA78" s="225"/>
      <c r="AB78" s="496"/>
      <c r="AC78" s="496"/>
      <c r="AD78" s="496"/>
      <c r="AE78" s="496"/>
      <c r="AF78" s="496"/>
      <c r="AG78" s="189"/>
      <c r="AH78" s="322"/>
      <c r="AI78" s="322"/>
      <c r="AJ78" s="189"/>
      <c r="AK78" s="225"/>
      <c r="AL78" s="496"/>
      <c r="AM78" s="496"/>
      <c r="AN78" s="496"/>
      <c r="AO78" s="496"/>
      <c r="AP78" s="496"/>
      <c r="AQ78" s="189"/>
    </row>
    <row r="79" spans="1:43" s="428" customFormat="1" ht="15" customHeight="1">
      <c r="A79" s="403"/>
      <c r="B79" s="408">
        <v>6901</v>
      </c>
      <c r="C79" s="503" t="s">
        <v>106</v>
      </c>
      <c r="D79" s="503"/>
      <c r="E79" s="503"/>
      <c r="F79" s="318">
        <v>14323.6</v>
      </c>
      <c r="G79" s="319">
        <v>14323.6</v>
      </c>
      <c r="H79" s="566">
        <f>ROW(C79)</f>
        <v>79</v>
      </c>
      <c r="I79" s="319">
        <v>0</v>
      </c>
      <c r="J79" s="319">
        <v>0</v>
      </c>
      <c r="K79" s="319"/>
      <c r="L79" s="406"/>
      <c r="M79" s="426"/>
      <c r="N79" s="438" t="s">
        <v>107</v>
      </c>
      <c r="O79" s="362" t="s">
        <v>26</v>
      </c>
      <c r="P79" s="189">
        <v>2049.42</v>
      </c>
      <c r="Q79" s="189">
        <v>2049.42</v>
      </c>
      <c r="R79" s="496"/>
      <c r="S79" s="496">
        <v>0</v>
      </c>
      <c r="T79" s="496">
        <v>0</v>
      </c>
      <c r="U79" s="496"/>
      <c r="V79" s="496"/>
      <c r="W79" s="189"/>
      <c r="X79" s="438" t="s">
        <v>107</v>
      </c>
      <c r="Y79" s="362" t="s">
        <v>26</v>
      </c>
      <c r="Z79" s="189">
        <v>4499.9181999999992</v>
      </c>
      <c r="AA79" s="225">
        <v>4499.9181999999992</v>
      </c>
      <c r="AB79" s="496"/>
      <c r="AC79" s="496">
        <v>0</v>
      </c>
      <c r="AD79" s="496">
        <v>0</v>
      </c>
      <c r="AE79" s="496"/>
      <c r="AF79" s="496"/>
      <c r="AG79" s="189"/>
      <c r="AH79" s="438" t="s">
        <v>107</v>
      </c>
      <c r="AI79" s="362"/>
      <c r="AJ79" s="189">
        <v>3127.061799999999</v>
      </c>
      <c r="AK79" s="225">
        <v>3127.061799999999</v>
      </c>
      <c r="AL79" s="496"/>
      <c r="AM79" s="496">
        <v>0</v>
      </c>
      <c r="AN79" s="496">
        <v>0</v>
      </c>
      <c r="AO79" s="496"/>
      <c r="AP79" s="496"/>
      <c r="AQ79" s="189"/>
    </row>
    <row r="80" spans="1:43" s="428" customFormat="1" ht="15.75" customHeight="1">
      <c r="A80" s="403"/>
      <c r="B80" s="404">
        <v>7000</v>
      </c>
      <c r="C80" s="576" t="s">
        <v>108</v>
      </c>
      <c r="D80" s="317"/>
      <c r="E80" s="317"/>
      <c r="F80" s="318"/>
      <c r="G80" s="319"/>
      <c r="H80" s="319"/>
      <c r="I80" s="319"/>
      <c r="J80" s="319"/>
      <c r="K80" s="319"/>
      <c r="L80" s="406"/>
      <c r="M80" s="426"/>
      <c r="N80" s="489"/>
      <c r="O80" s="492"/>
      <c r="P80" s="492"/>
      <c r="Q80" s="493"/>
      <c r="R80" s="496"/>
      <c r="S80" s="496"/>
      <c r="T80" s="496"/>
      <c r="U80" s="496"/>
      <c r="V80" s="496"/>
      <c r="W80" s="189"/>
      <c r="X80" s="489"/>
      <c r="Y80" s="317"/>
      <c r="Z80" s="189"/>
      <c r="AA80" s="225"/>
      <c r="AB80" s="496"/>
      <c r="AC80" s="496"/>
      <c r="AD80" s="496"/>
      <c r="AE80" s="496"/>
      <c r="AF80" s="496"/>
      <c r="AG80" s="189"/>
      <c r="AH80" s="489"/>
      <c r="AI80" s="317"/>
      <c r="AJ80" s="189"/>
      <c r="AK80" s="225"/>
      <c r="AL80" s="496"/>
      <c r="AM80" s="496"/>
      <c r="AN80" s="496"/>
      <c r="AO80" s="496"/>
      <c r="AP80" s="496"/>
      <c r="AQ80" s="189"/>
    </row>
    <row r="81" spans="1:43" s="428" customFormat="1" ht="15.75" customHeight="1">
      <c r="A81" s="403"/>
      <c r="B81" s="410">
        <v>7036</v>
      </c>
      <c r="C81" s="576" t="s">
        <v>109</v>
      </c>
      <c r="D81" s="317"/>
      <c r="E81" s="317"/>
      <c r="F81" s="318"/>
      <c r="G81" s="319"/>
      <c r="H81" s="319"/>
      <c r="I81" s="319"/>
      <c r="J81" s="319"/>
      <c r="K81" s="319"/>
      <c r="L81" s="406"/>
      <c r="M81" s="426"/>
      <c r="N81" s="489"/>
      <c r="O81" s="492"/>
      <c r="P81" s="492"/>
      <c r="Q81" s="493"/>
      <c r="R81" s="496"/>
      <c r="S81" s="496"/>
      <c r="T81" s="496"/>
      <c r="U81" s="496"/>
      <c r="V81" s="496"/>
      <c r="W81" s="189"/>
      <c r="X81" s="489"/>
      <c r="Y81" s="317"/>
      <c r="Z81" s="189"/>
      <c r="AA81" s="496"/>
      <c r="AB81" s="496"/>
      <c r="AC81" s="496"/>
      <c r="AD81" s="496"/>
      <c r="AE81" s="496"/>
      <c r="AF81" s="496"/>
      <c r="AG81" s="189"/>
      <c r="AH81" s="489"/>
      <c r="AI81" s="317"/>
      <c r="AJ81" s="189"/>
      <c r="AK81" s="225"/>
      <c r="AL81" s="496"/>
      <c r="AM81" s="496"/>
      <c r="AN81" s="496"/>
      <c r="AO81" s="496"/>
      <c r="AP81" s="496"/>
      <c r="AQ81" s="189"/>
    </row>
    <row r="82" spans="1:43" s="428" customFormat="1" ht="17.25" customHeight="1">
      <c r="A82" s="403"/>
      <c r="B82" s="416"/>
      <c r="C82" s="310" t="s">
        <v>110</v>
      </c>
      <c r="D82" s="310"/>
      <c r="E82" s="310"/>
      <c r="F82" s="318">
        <v>116.72</v>
      </c>
      <c r="G82" s="319">
        <v>16.34</v>
      </c>
      <c r="H82" s="566">
        <f>ROW(C82)</f>
        <v>82</v>
      </c>
      <c r="I82" s="319">
        <v>100.38</v>
      </c>
      <c r="J82" s="319">
        <v>0</v>
      </c>
      <c r="K82" s="319"/>
      <c r="L82" s="406"/>
      <c r="M82" s="426"/>
      <c r="N82" s="438"/>
      <c r="O82" s="362"/>
      <c r="P82" s="189">
        <v>490.33</v>
      </c>
      <c r="Q82" s="496">
        <v>68.646200000000007</v>
      </c>
      <c r="R82" s="496"/>
      <c r="S82" s="496">
        <v>421.68380000000002</v>
      </c>
      <c r="T82" s="496">
        <v>0</v>
      </c>
      <c r="U82" s="496"/>
      <c r="V82" s="496"/>
      <c r="W82" s="189"/>
      <c r="X82" s="438" t="s">
        <v>70</v>
      </c>
      <c r="Y82" s="362">
        <v>131</v>
      </c>
      <c r="Z82" s="189">
        <v>350.07499999999999</v>
      </c>
      <c r="AA82" s="496">
        <v>49.010500000000008</v>
      </c>
      <c r="AB82" s="496"/>
      <c r="AC82" s="496">
        <v>301.06450000000001</v>
      </c>
      <c r="AD82" s="496">
        <v>0</v>
      </c>
      <c r="AE82" s="496"/>
      <c r="AF82" s="496"/>
      <c r="AG82" s="189"/>
      <c r="AH82" s="438"/>
      <c r="AI82" s="362"/>
      <c r="AJ82" s="189">
        <v>286.42500000000001</v>
      </c>
      <c r="AK82" s="225">
        <v>40.099500000000013</v>
      </c>
      <c r="AL82" s="496"/>
      <c r="AM82" s="496">
        <v>246.32550000000001</v>
      </c>
      <c r="AN82" s="496">
        <v>0</v>
      </c>
      <c r="AO82" s="496"/>
      <c r="AP82" s="496"/>
      <c r="AQ82" s="189"/>
    </row>
    <row r="83" spans="1:43" s="428" customFormat="1" ht="15.75" customHeight="1">
      <c r="A83" s="403"/>
      <c r="B83" s="410">
        <v>7041</v>
      </c>
      <c r="C83" s="576" t="s">
        <v>68</v>
      </c>
      <c r="D83" s="317"/>
      <c r="E83" s="317"/>
      <c r="F83" s="318"/>
      <c r="G83" s="319"/>
      <c r="H83" s="319"/>
      <c r="I83" s="319"/>
      <c r="J83" s="319"/>
      <c r="K83" s="319"/>
      <c r="L83" s="406"/>
      <c r="M83" s="426"/>
      <c r="N83" s="489"/>
      <c r="O83" s="492"/>
      <c r="P83" s="492"/>
      <c r="Q83" s="493"/>
      <c r="R83" s="496"/>
      <c r="S83" s="496"/>
      <c r="T83" s="496"/>
      <c r="U83" s="496"/>
      <c r="V83" s="496"/>
      <c r="W83" s="189"/>
      <c r="X83" s="489"/>
      <c r="Y83" s="317"/>
      <c r="Z83" s="189"/>
      <c r="AA83" s="496"/>
      <c r="AB83" s="496"/>
      <c r="AC83" s="496"/>
      <c r="AD83" s="496"/>
      <c r="AE83" s="496"/>
      <c r="AF83" s="496"/>
      <c r="AG83" s="189"/>
      <c r="AH83" s="489"/>
      <c r="AI83" s="317"/>
      <c r="AJ83" s="189"/>
      <c r="AK83" s="225"/>
      <c r="AL83" s="496"/>
      <c r="AM83" s="496"/>
      <c r="AN83" s="496"/>
      <c r="AO83" s="496"/>
      <c r="AP83" s="496"/>
      <c r="AQ83" s="189"/>
    </row>
    <row r="84" spans="1:43" s="428" customFormat="1" ht="17.25" customHeight="1">
      <c r="A84" s="403"/>
      <c r="B84" s="414"/>
      <c r="C84" s="310" t="s">
        <v>111</v>
      </c>
      <c r="D84" s="310"/>
      <c r="E84" s="310"/>
      <c r="F84" s="318">
        <v>0</v>
      </c>
      <c r="G84" s="319">
        <v>0</v>
      </c>
      <c r="H84" s="566">
        <f>ROW(C84)</f>
        <v>84</v>
      </c>
      <c r="I84" s="319">
        <v>0</v>
      </c>
      <c r="J84" s="319">
        <v>0</v>
      </c>
      <c r="K84" s="319"/>
      <c r="L84" s="406"/>
      <c r="M84" s="426"/>
      <c r="N84" s="438" t="s">
        <v>102</v>
      </c>
      <c r="O84" s="362" t="s">
        <v>26</v>
      </c>
      <c r="P84" s="189">
        <v>0</v>
      </c>
      <c r="Q84" s="496">
        <v>0</v>
      </c>
      <c r="R84" s="496"/>
      <c r="S84" s="496">
        <v>0</v>
      </c>
      <c r="T84" s="496">
        <v>0</v>
      </c>
      <c r="U84" s="496"/>
      <c r="V84" s="496"/>
      <c r="W84" s="189"/>
      <c r="X84" s="438" t="s">
        <v>102</v>
      </c>
      <c r="Y84" s="362" t="s">
        <v>26</v>
      </c>
      <c r="Z84" s="189">
        <v>281.58819999999997</v>
      </c>
      <c r="AA84" s="496">
        <v>39.422348</v>
      </c>
      <c r="AB84" s="496"/>
      <c r="AC84" s="496">
        <v>242.165852</v>
      </c>
      <c r="AD84" s="496">
        <v>0</v>
      </c>
      <c r="AE84" s="496"/>
      <c r="AF84" s="496"/>
      <c r="AG84" s="189"/>
      <c r="AH84" s="438"/>
      <c r="AI84" s="362"/>
      <c r="AJ84" s="189">
        <v>180.0318</v>
      </c>
      <c r="AK84" s="225">
        <v>25.204452</v>
      </c>
      <c r="AL84" s="496"/>
      <c r="AM84" s="496">
        <v>154.827348</v>
      </c>
      <c r="AN84" s="496">
        <v>0</v>
      </c>
      <c r="AO84" s="496"/>
      <c r="AP84" s="496"/>
      <c r="AQ84" s="189"/>
    </row>
    <row r="85" spans="1:43" s="428" customFormat="1" ht="17.25" customHeight="1">
      <c r="A85" s="403"/>
      <c r="B85" s="414"/>
      <c r="C85" s="310" t="s">
        <v>112</v>
      </c>
      <c r="D85" s="310"/>
      <c r="E85" s="310"/>
      <c r="F85" s="318">
        <v>6143.66</v>
      </c>
      <c r="G85" s="319">
        <v>889.49</v>
      </c>
      <c r="H85" s="566">
        <f>ROW(C85)</f>
        <v>85</v>
      </c>
      <c r="I85" s="319">
        <v>5254.17</v>
      </c>
      <c r="J85" s="319">
        <v>0</v>
      </c>
      <c r="K85" s="319"/>
      <c r="L85" s="406"/>
      <c r="M85" s="426"/>
      <c r="N85" s="438" t="s">
        <v>70</v>
      </c>
      <c r="O85" s="362" t="s">
        <v>26</v>
      </c>
      <c r="P85" s="189">
        <v>8105.58</v>
      </c>
      <c r="Q85" s="496">
        <v>1134.7811999999999</v>
      </c>
      <c r="R85" s="496"/>
      <c r="S85" s="496">
        <v>6970.7987999999996</v>
      </c>
      <c r="T85" s="496">
        <v>0</v>
      </c>
      <c r="U85" s="496"/>
      <c r="V85" s="496"/>
      <c r="W85" s="189"/>
      <c r="X85" s="438" t="s">
        <v>70</v>
      </c>
      <c r="Y85" s="362" t="s">
        <v>26</v>
      </c>
      <c r="Z85" s="189">
        <v>2949.1731</v>
      </c>
      <c r="AA85" s="496">
        <v>412.88423400000011</v>
      </c>
      <c r="AB85" s="496"/>
      <c r="AC85" s="496">
        <v>2536.2888659999999</v>
      </c>
      <c r="AD85" s="496">
        <v>0</v>
      </c>
      <c r="AE85" s="496"/>
      <c r="AF85" s="496"/>
      <c r="AG85" s="189"/>
      <c r="AH85" s="438" t="s">
        <v>70</v>
      </c>
      <c r="AI85" s="362" t="s">
        <v>26</v>
      </c>
      <c r="AJ85" s="189">
        <v>1885.536900000001</v>
      </c>
      <c r="AK85" s="225">
        <v>263.97516600000012</v>
      </c>
      <c r="AL85" s="496"/>
      <c r="AM85" s="496">
        <v>1621.5617339999999</v>
      </c>
      <c r="AN85" s="496">
        <v>0</v>
      </c>
      <c r="AO85" s="496"/>
      <c r="AP85" s="496"/>
      <c r="AQ85" s="189"/>
    </row>
    <row r="86" spans="1:43" s="428" customFormat="1" ht="19.5" customHeight="1">
      <c r="A86" s="403"/>
      <c r="B86" s="414"/>
      <c r="C86" s="310" t="s">
        <v>386</v>
      </c>
      <c r="D86" s="310"/>
      <c r="E86" s="310"/>
      <c r="F86" s="318">
        <v>6011.48</v>
      </c>
      <c r="G86" s="319">
        <v>791.08</v>
      </c>
      <c r="H86" s="566">
        <f>ROW(C86)</f>
        <v>86</v>
      </c>
      <c r="I86" s="319">
        <v>5220.3999999999996</v>
      </c>
      <c r="J86" s="319">
        <v>0</v>
      </c>
      <c r="K86" s="319"/>
      <c r="L86" s="406"/>
      <c r="M86" s="426"/>
      <c r="N86" s="438" t="s">
        <v>114</v>
      </c>
      <c r="O86" s="362" t="s">
        <v>26</v>
      </c>
      <c r="P86" s="189">
        <v>3936.68</v>
      </c>
      <c r="Q86" s="496">
        <v>551.13520000000005</v>
      </c>
      <c r="R86" s="496"/>
      <c r="S86" s="496">
        <v>3385.5448000000001</v>
      </c>
      <c r="T86" s="496">
        <v>0</v>
      </c>
      <c r="U86" s="496"/>
      <c r="V86" s="496"/>
      <c r="W86" s="189"/>
      <c r="X86" s="438" t="s">
        <v>114</v>
      </c>
      <c r="Y86" s="362" t="s">
        <v>26</v>
      </c>
      <c r="Z86" s="189">
        <v>0</v>
      </c>
      <c r="AA86" s="496">
        <v>0</v>
      </c>
      <c r="AB86" s="496"/>
      <c r="AC86" s="496">
        <v>0</v>
      </c>
      <c r="AD86" s="496">
        <v>0</v>
      </c>
      <c r="AE86" s="496"/>
      <c r="AF86" s="496"/>
      <c r="AG86" s="189"/>
      <c r="AH86" s="438" t="s">
        <v>114</v>
      </c>
      <c r="AI86" s="362" t="s">
        <v>26</v>
      </c>
      <c r="AJ86" s="189">
        <v>0</v>
      </c>
      <c r="AK86" s="225">
        <v>0</v>
      </c>
      <c r="AL86" s="496"/>
      <c r="AM86" s="496">
        <v>0</v>
      </c>
      <c r="AN86" s="496">
        <v>0</v>
      </c>
      <c r="AO86" s="496"/>
      <c r="AP86" s="496"/>
      <c r="AQ86" s="189"/>
    </row>
    <row r="87" spans="1:43" s="428" customFormat="1" ht="15.75" customHeight="1">
      <c r="A87" s="403"/>
      <c r="B87" s="413">
        <v>7081</v>
      </c>
      <c r="C87" s="576" t="s">
        <v>115</v>
      </c>
      <c r="D87" s="576"/>
      <c r="E87" s="576"/>
      <c r="F87" s="318"/>
      <c r="G87" s="319"/>
      <c r="H87" s="319"/>
      <c r="I87" s="319"/>
      <c r="J87" s="319"/>
      <c r="K87" s="319"/>
      <c r="L87" s="406"/>
      <c r="M87" s="426"/>
      <c r="N87" s="322"/>
      <c r="O87" s="576"/>
      <c r="P87" s="189"/>
      <c r="Q87" s="496"/>
      <c r="R87" s="496"/>
      <c r="S87" s="496"/>
      <c r="T87" s="496"/>
      <c r="U87" s="496"/>
      <c r="V87" s="496"/>
      <c r="W87" s="189"/>
      <c r="X87" s="322"/>
      <c r="Y87" s="576"/>
      <c r="Z87" s="189"/>
      <c r="AA87" s="225"/>
      <c r="AB87" s="496"/>
      <c r="AC87" s="496"/>
      <c r="AD87" s="496"/>
      <c r="AE87" s="496"/>
      <c r="AF87" s="496"/>
      <c r="AG87" s="189"/>
      <c r="AH87" s="322"/>
      <c r="AI87" s="576"/>
      <c r="AJ87" s="189"/>
      <c r="AK87" s="225"/>
      <c r="AL87" s="496"/>
      <c r="AM87" s="496"/>
      <c r="AN87" s="496"/>
      <c r="AO87" s="496"/>
      <c r="AP87" s="496"/>
      <c r="AQ87" s="189"/>
    </row>
    <row r="88" spans="1:43" s="428" customFormat="1" ht="19.5" customHeight="1">
      <c r="A88" s="403"/>
      <c r="B88" s="414"/>
      <c r="C88" s="310" t="s">
        <v>387</v>
      </c>
      <c r="D88" s="310"/>
      <c r="E88" s="310"/>
      <c r="F88" s="318">
        <v>455.04</v>
      </c>
      <c r="G88" s="319">
        <v>64.36</v>
      </c>
      <c r="H88" s="566">
        <f t="shared" ref="H88:H96" si="1">ROW(C88)</f>
        <v>88</v>
      </c>
      <c r="I88" s="319">
        <v>390.68</v>
      </c>
      <c r="J88" s="319">
        <v>0</v>
      </c>
      <c r="K88" s="319"/>
      <c r="L88" s="406"/>
      <c r="M88" s="426"/>
      <c r="N88" s="438" t="s">
        <v>114</v>
      </c>
      <c r="O88" s="362" t="s">
        <v>26</v>
      </c>
      <c r="P88" s="189">
        <v>900.73</v>
      </c>
      <c r="Q88" s="496">
        <v>126.1022</v>
      </c>
      <c r="R88" s="496"/>
      <c r="S88" s="496">
        <v>774.62779999999998</v>
      </c>
      <c r="T88" s="496">
        <v>0</v>
      </c>
      <c r="U88" s="496"/>
      <c r="V88" s="496"/>
      <c r="W88" s="189"/>
      <c r="X88" s="438" t="s">
        <v>114</v>
      </c>
      <c r="Y88" s="362" t="s">
        <v>26</v>
      </c>
      <c r="Z88" s="189">
        <v>1033.1022</v>
      </c>
      <c r="AA88" s="225">
        <v>144.634308</v>
      </c>
      <c r="AB88" s="496"/>
      <c r="AC88" s="496">
        <v>888.46789200000001</v>
      </c>
      <c r="AD88" s="496">
        <v>0</v>
      </c>
      <c r="AE88" s="496"/>
      <c r="AF88" s="496"/>
      <c r="AG88" s="189"/>
      <c r="AH88" s="322"/>
      <c r="AI88" s="576"/>
      <c r="AJ88" s="189">
        <v>779.3578</v>
      </c>
      <c r="AK88" s="225">
        <v>109.11009199999999</v>
      </c>
      <c r="AL88" s="496"/>
      <c r="AM88" s="496">
        <v>670.24770799999999</v>
      </c>
      <c r="AN88" s="496">
        <v>0</v>
      </c>
      <c r="AO88" s="496"/>
      <c r="AP88" s="496"/>
      <c r="AQ88" s="189"/>
    </row>
    <row r="89" spans="1:43" s="428" customFormat="1" ht="31.5" customHeight="1">
      <c r="A89" s="403"/>
      <c r="B89" s="414"/>
      <c r="C89" s="310" t="s">
        <v>117</v>
      </c>
      <c r="D89" s="310"/>
      <c r="E89" s="310"/>
      <c r="F89" s="318">
        <v>452.46</v>
      </c>
      <c r="G89" s="319">
        <v>63.49</v>
      </c>
      <c r="H89" s="566">
        <f t="shared" si="1"/>
        <v>89</v>
      </c>
      <c r="I89" s="319">
        <v>388.97</v>
      </c>
      <c r="J89" s="319">
        <v>0</v>
      </c>
      <c r="K89" s="319"/>
      <c r="L89" s="406"/>
      <c r="M89" s="426"/>
      <c r="N89" s="438" t="s">
        <v>114</v>
      </c>
      <c r="O89" s="362" t="s">
        <v>26</v>
      </c>
      <c r="P89" s="189">
        <v>913.26</v>
      </c>
      <c r="Q89" s="496">
        <v>127.85639999999999</v>
      </c>
      <c r="R89" s="496"/>
      <c r="S89" s="496">
        <v>785.40359999999998</v>
      </c>
      <c r="T89" s="496">
        <v>0</v>
      </c>
      <c r="U89" s="496"/>
      <c r="V89" s="496"/>
      <c r="W89" s="189"/>
      <c r="X89" s="438" t="s">
        <v>114</v>
      </c>
      <c r="Y89" s="362" t="s">
        <v>26</v>
      </c>
      <c r="Z89" s="189">
        <v>220.18530000000001</v>
      </c>
      <c r="AA89" s="225">
        <v>30.825942000000001</v>
      </c>
      <c r="AB89" s="496"/>
      <c r="AC89" s="496">
        <v>189.35935799999999</v>
      </c>
      <c r="AD89" s="496">
        <v>0</v>
      </c>
      <c r="AE89" s="496"/>
      <c r="AF89" s="496"/>
      <c r="AG89" s="189"/>
      <c r="AH89" s="322"/>
      <c r="AI89" s="576"/>
      <c r="AJ89" s="189">
        <v>166.10470000000001</v>
      </c>
      <c r="AK89" s="225">
        <v>23.254657999999999</v>
      </c>
      <c r="AL89" s="496"/>
      <c r="AM89" s="496">
        <v>142.850042</v>
      </c>
      <c r="AN89" s="496">
        <v>0</v>
      </c>
      <c r="AO89" s="496"/>
      <c r="AP89" s="496"/>
      <c r="AQ89" s="189"/>
    </row>
    <row r="90" spans="1:43" s="428" customFormat="1" ht="30.75" customHeight="1">
      <c r="A90" s="403"/>
      <c r="B90" s="414"/>
      <c r="C90" s="310" t="s">
        <v>388</v>
      </c>
      <c r="D90" s="310"/>
      <c r="E90" s="310"/>
      <c r="F90" s="318">
        <v>341.85</v>
      </c>
      <c r="G90" s="319">
        <v>48.84</v>
      </c>
      <c r="H90" s="566">
        <f t="shared" si="1"/>
        <v>90</v>
      </c>
      <c r="I90" s="319">
        <v>293.01</v>
      </c>
      <c r="J90" s="319">
        <v>0</v>
      </c>
      <c r="K90" s="319"/>
      <c r="L90" s="406"/>
      <c r="M90" s="426"/>
      <c r="N90" s="438" t="s">
        <v>114</v>
      </c>
      <c r="O90" s="362" t="s">
        <v>26</v>
      </c>
      <c r="P90" s="189">
        <v>657.55</v>
      </c>
      <c r="Q90" s="496">
        <v>92.057000000000002</v>
      </c>
      <c r="R90" s="496"/>
      <c r="S90" s="496">
        <v>565.49299999999994</v>
      </c>
      <c r="T90" s="496">
        <v>0</v>
      </c>
      <c r="U90" s="496"/>
      <c r="V90" s="496"/>
      <c r="W90" s="189"/>
      <c r="X90" s="438" t="s">
        <v>114</v>
      </c>
      <c r="Y90" s="362" t="s">
        <v>26</v>
      </c>
      <c r="Z90" s="189">
        <v>320.89679999999998</v>
      </c>
      <c r="AA90" s="225">
        <v>44.925552000000003</v>
      </c>
      <c r="AB90" s="496"/>
      <c r="AC90" s="496">
        <v>275.971248</v>
      </c>
      <c r="AD90" s="496">
        <v>0</v>
      </c>
      <c r="AE90" s="496"/>
      <c r="AF90" s="496"/>
      <c r="AG90" s="189"/>
      <c r="AH90" s="322"/>
      <c r="AI90" s="576"/>
      <c r="AJ90" s="189">
        <v>188.4632</v>
      </c>
      <c r="AK90" s="225">
        <v>26.384848000000002</v>
      </c>
      <c r="AL90" s="496"/>
      <c r="AM90" s="496">
        <v>162.078352</v>
      </c>
      <c r="AN90" s="496">
        <v>0</v>
      </c>
      <c r="AO90" s="496"/>
      <c r="AP90" s="496"/>
      <c r="AQ90" s="189"/>
    </row>
    <row r="91" spans="1:43" s="428" customFormat="1" ht="16.5" customHeight="1">
      <c r="A91" s="403"/>
      <c r="B91" s="414"/>
      <c r="C91" s="310" t="s">
        <v>389</v>
      </c>
      <c r="D91" s="310"/>
      <c r="E91" s="310"/>
      <c r="F91" s="318">
        <v>6127.06</v>
      </c>
      <c r="G91" s="319">
        <v>779.02</v>
      </c>
      <c r="H91" s="566">
        <f t="shared" si="1"/>
        <v>91</v>
      </c>
      <c r="I91" s="319">
        <v>5348.04</v>
      </c>
      <c r="J91" s="319">
        <v>0</v>
      </c>
      <c r="K91" s="319"/>
      <c r="L91" s="406"/>
      <c r="M91" s="426"/>
      <c r="N91" s="438" t="s">
        <v>114</v>
      </c>
      <c r="O91" s="362" t="s">
        <v>26</v>
      </c>
      <c r="P91" s="189">
        <v>4650.7700000000004</v>
      </c>
      <c r="Q91" s="496">
        <v>651.10780000000011</v>
      </c>
      <c r="R91" s="496"/>
      <c r="S91" s="496">
        <v>3999.6622000000002</v>
      </c>
      <c r="T91" s="496">
        <v>0</v>
      </c>
      <c r="U91" s="496"/>
      <c r="V91" s="496"/>
      <c r="W91" s="189"/>
      <c r="X91" s="438" t="s">
        <v>114</v>
      </c>
      <c r="Y91" s="362" t="s">
        <v>26</v>
      </c>
      <c r="Z91" s="189">
        <v>0</v>
      </c>
      <c r="AA91" s="496">
        <v>0</v>
      </c>
      <c r="AB91" s="496"/>
      <c r="AC91" s="496">
        <v>0</v>
      </c>
      <c r="AD91" s="496">
        <v>0</v>
      </c>
      <c r="AE91" s="496"/>
      <c r="AF91" s="496"/>
      <c r="AG91" s="189"/>
      <c r="AH91" s="438" t="s">
        <v>114</v>
      </c>
      <c r="AI91" s="362"/>
      <c r="AJ91" s="189">
        <v>0</v>
      </c>
      <c r="AK91" s="225">
        <v>0</v>
      </c>
      <c r="AL91" s="496"/>
      <c r="AM91" s="496">
        <v>0</v>
      </c>
      <c r="AN91" s="496">
        <v>0</v>
      </c>
      <c r="AO91" s="496"/>
      <c r="AP91" s="496"/>
      <c r="AQ91" s="189"/>
    </row>
    <row r="92" spans="1:43" s="428" customFormat="1" ht="16.5" customHeight="1">
      <c r="A92" s="403"/>
      <c r="B92" s="414"/>
      <c r="C92" s="310" t="s">
        <v>120</v>
      </c>
      <c r="D92" s="310"/>
      <c r="E92" s="310"/>
      <c r="F92" s="318">
        <v>73.260000000000005</v>
      </c>
      <c r="G92" s="319">
        <v>9.77</v>
      </c>
      <c r="H92" s="566">
        <f t="shared" si="1"/>
        <v>92</v>
      </c>
      <c r="I92" s="319">
        <v>63.49</v>
      </c>
      <c r="J92" s="319">
        <v>0</v>
      </c>
      <c r="K92" s="319"/>
      <c r="L92" s="406"/>
      <c r="M92" s="426"/>
      <c r="N92" s="438" t="s">
        <v>70</v>
      </c>
      <c r="O92" s="574"/>
      <c r="P92" s="189">
        <v>0</v>
      </c>
      <c r="Q92" s="496">
        <v>0</v>
      </c>
      <c r="R92" s="496"/>
      <c r="S92" s="496">
        <v>0</v>
      </c>
      <c r="T92" s="496">
        <v>0</v>
      </c>
      <c r="U92" s="496"/>
      <c r="V92" s="496"/>
      <c r="W92" s="189"/>
      <c r="X92" s="438" t="s">
        <v>70</v>
      </c>
      <c r="Y92" s="362"/>
      <c r="Z92" s="189">
        <v>50.133200000000002</v>
      </c>
      <c r="AA92" s="496">
        <v>7.0186480000000007</v>
      </c>
      <c r="AB92" s="496"/>
      <c r="AC92" s="496">
        <v>43.114552000000003</v>
      </c>
      <c r="AD92" s="496">
        <v>0</v>
      </c>
      <c r="AE92" s="496"/>
      <c r="AF92" s="496"/>
      <c r="AG92" s="189"/>
      <c r="AH92" s="438" t="s">
        <v>70</v>
      </c>
      <c r="AI92" s="362"/>
      <c r="AJ92" s="189">
        <v>30.726800000000001</v>
      </c>
      <c r="AK92" s="225">
        <v>4.3017519999999996</v>
      </c>
      <c r="AL92" s="496"/>
      <c r="AM92" s="496">
        <v>26.425048</v>
      </c>
      <c r="AN92" s="496">
        <v>0</v>
      </c>
      <c r="AO92" s="496"/>
      <c r="AP92" s="496"/>
      <c r="AQ92" s="189"/>
    </row>
    <row r="93" spans="1:43" s="428" customFormat="1" ht="16.5" customHeight="1">
      <c r="A93" s="403"/>
      <c r="B93" s="414"/>
      <c r="C93" s="310" t="s">
        <v>121</v>
      </c>
      <c r="D93" s="310"/>
      <c r="E93" s="310"/>
      <c r="F93" s="318">
        <v>0</v>
      </c>
      <c r="G93" s="319">
        <v>0</v>
      </c>
      <c r="H93" s="566">
        <f t="shared" si="1"/>
        <v>93</v>
      </c>
      <c r="I93" s="319">
        <v>0</v>
      </c>
      <c r="J93" s="319">
        <v>0</v>
      </c>
      <c r="K93" s="319"/>
      <c r="L93" s="406"/>
      <c r="M93" s="426"/>
      <c r="N93" s="438"/>
      <c r="O93" s="574"/>
      <c r="P93" s="189">
        <v>0</v>
      </c>
      <c r="Q93" s="496">
        <v>0</v>
      </c>
      <c r="R93" s="496"/>
      <c r="S93" s="496">
        <v>0</v>
      </c>
      <c r="T93" s="496">
        <v>0</v>
      </c>
      <c r="U93" s="496"/>
      <c r="V93" s="496"/>
      <c r="W93" s="189"/>
      <c r="X93" s="438"/>
      <c r="Y93" s="362"/>
      <c r="Z93" s="189">
        <v>2924.5608000000011</v>
      </c>
      <c r="AA93" s="496">
        <v>409.43851200000012</v>
      </c>
      <c r="AB93" s="496"/>
      <c r="AC93" s="496">
        <v>2515.122288</v>
      </c>
      <c r="AD93" s="496">
        <v>0</v>
      </c>
      <c r="AE93" s="496"/>
      <c r="AF93" s="496"/>
      <c r="AG93" s="189"/>
      <c r="AH93" s="438"/>
      <c r="AI93" s="362"/>
      <c r="AJ93" s="189">
        <v>2297.8692000000001</v>
      </c>
      <c r="AK93" s="225">
        <v>321.70168799999999</v>
      </c>
      <c r="AL93" s="496"/>
      <c r="AM93" s="496">
        <v>1976.167512</v>
      </c>
      <c r="AN93" s="496">
        <v>0</v>
      </c>
      <c r="AO93" s="496"/>
      <c r="AP93" s="496"/>
      <c r="AQ93" s="189"/>
    </row>
    <row r="94" spans="1:43" s="428" customFormat="1" ht="16.5" customHeight="1">
      <c r="A94" s="403"/>
      <c r="B94" s="414"/>
      <c r="C94" s="310" t="s">
        <v>122</v>
      </c>
      <c r="D94" s="310"/>
      <c r="E94" s="310"/>
      <c r="F94" s="318">
        <v>0</v>
      </c>
      <c r="G94" s="319">
        <v>0</v>
      </c>
      <c r="H94" s="566">
        <f t="shared" si="1"/>
        <v>94</v>
      </c>
      <c r="I94" s="319">
        <v>0</v>
      </c>
      <c r="J94" s="319">
        <v>0</v>
      </c>
      <c r="K94" s="319"/>
      <c r="L94" s="406"/>
      <c r="M94" s="426"/>
      <c r="N94" s="438"/>
      <c r="O94" s="574"/>
      <c r="P94" s="189">
        <v>0</v>
      </c>
      <c r="Q94" s="496">
        <v>0</v>
      </c>
      <c r="R94" s="496"/>
      <c r="S94" s="496">
        <v>0</v>
      </c>
      <c r="T94" s="496">
        <v>0</v>
      </c>
      <c r="U94" s="496"/>
      <c r="V94" s="496"/>
      <c r="W94" s="189"/>
      <c r="X94" s="438"/>
      <c r="Y94" s="362"/>
      <c r="Z94" s="189">
        <v>549</v>
      </c>
      <c r="AA94" s="496">
        <v>76.860000000000014</v>
      </c>
      <c r="AB94" s="496"/>
      <c r="AC94" s="496">
        <v>472.14</v>
      </c>
      <c r="AD94" s="496">
        <v>0</v>
      </c>
      <c r="AE94" s="496"/>
      <c r="AF94" s="496"/>
      <c r="AG94" s="189"/>
      <c r="AH94" s="438"/>
      <c r="AI94" s="362"/>
      <c r="AJ94" s="189">
        <v>351</v>
      </c>
      <c r="AK94" s="225">
        <v>49.140000000000008</v>
      </c>
      <c r="AL94" s="496"/>
      <c r="AM94" s="496">
        <v>301.86</v>
      </c>
      <c r="AN94" s="496">
        <v>0</v>
      </c>
      <c r="AO94" s="496"/>
      <c r="AP94" s="496"/>
      <c r="AQ94" s="189"/>
    </row>
    <row r="95" spans="1:43" s="428" customFormat="1" ht="16.5" customHeight="1">
      <c r="A95" s="403"/>
      <c r="B95" s="414"/>
      <c r="C95" s="310" t="s">
        <v>123</v>
      </c>
      <c r="D95" s="310"/>
      <c r="E95" s="310"/>
      <c r="F95" s="318">
        <v>42.09</v>
      </c>
      <c r="G95" s="319">
        <v>5.47</v>
      </c>
      <c r="H95" s="566">
        <f t="shared" si="1"/>
        <v>95</v>
      </c>
      <c r="I95" s="319">
        <v>36.619999999999997</v>
      </c>
      <c r="J95" s="319">
        <v>0</v>
      </c>
      <c r="K95" s="319"/>
      <c r="L95" s="406"/>
      <c r="M95" s="426"/>
      <c r="N95" s="438" t="s">
        <v>70</v>
      </c>
      <c r="O95" s="362" t="s">
        <v>26</v>
      </c>
      <c r="P95" s="189">
        <v>348.14</v>
      </c>
      <c r="Q95" s="496">
        <v>48.739600000000003</v>
      </c>
      <c r="R95" s="496"/>
      <c r="S95" s="496">
        <v>299.40039999999999</v>
      </c>
      <c r="T95" s="496">
        <v>0</v>
      </c>
      <c r="U95" s="496"/>
      <c r="V95" s="496"/>
      <c r="W95" s="189"/>
      <c r="X95" s="438" t="s">
        <v>70</v>
      </c>
      <c r="Y95" s="362"/>
      <c r="Z95" s="189">
        <v>1008.7643</v>
      </c>
      <c r="AA95" s="496">
        <v>141.227002</v>
      </c>
      <c r="AB95" s="496"/>
      <c r="AC95" s="496">
        <v>867.53729799999996</v>
      </c>
      <c r="AD95" s="496">
        <v>0</v>
      </c>
      <c r="AE95" s="496"/>
      <c r="AF95" s="496"/>
      <c r="AG95" s="189"/>
      <c r="AH95" s="438" t="s">
        <v>70</v>
      </c>
      <c r="AI95" s="362"/>
      <c r="AJ95" s="189">
        <v>701.00569999999993</v>
      </c>
      <c r="AK95" s="225">
        <v>98.140798000000004</v>
      </c>
      <c r="AL95" s="496"/>
      <c r="AM95" s="496">
        <v>602.86490199999992</v>
      </c>
      <c r="AN95" s="496">
        <v>0</v>
      </c>
      <c r="AO95" s="496"/>
      <c r="AP95" s="496"/>
      <c r="AQ95" s="189"/>
    </row>
    <row r="96" spans="1:43" s="428" customFormat="1" ht="16.5" customHeight="1">
      <c r="A96" s="403"/>
      <c r="B96" s="416"/>
      <c r="C96" s="310" t="s">
        <v>124</v>
      </c>
      <c r="D96" s="310"/>
      <c r="E96" s="310"/>
      <c r="F96" s="318">
        <v>0</v>
      </c>
      <c r="G96" s="319">
        <v>0</v>
      </c>
      <c r="H96" s="566">
        <f t="shared" si="1"/>
        <v>96</v>
      </c>
      <c r="I96" s="319">
        <v>0</v>
      </c>
      <c r="J96" s="319">
        <v>0</v>
      </c>
      <c r="K96" s="319"/>
      <c r="L96" s="406"/>
      <c r="M96" s="426"/>
      <c r="N96" s="438"/>
      <c r="O96" s="362"/>
      <c r="P96" s="189">
        <v>0</v>
      </c>
      <c r="Q96" s="496">
        <v>0</v>
      </c>
      <c r="R96" s="496"/>
      <c r="S96" s="496">
        <v>0</v>
      </c>
      <c r="T96" s="496">
        <v>0</v>
      </c>
      <c r="U96" s="496"/>
      <c r="V96" s="496"/>
      <c r="W96" s="189"/>
      <c r="X96" s="438"/>
      <c r="Y96" s="362" t="s">
        <v>26</v>
      </c>
      <c r="Z96" s="189">
        <v>114</v>
      </c>
      <c r="AA96" s="496">
        <v>114</v>
      </c>
      <c r="AB96" s="496"/>
      <c r="AC96" s="496">
        <v>0</v>
      </c>
      <c r="AD96" s="496">
        <v>0</v>
      </c>
      <c r="AE96" s="496"/>
      <c r="AF96" s="496"/>
      <c r="AG96" s="189"/>
      <c r="AH96" s="438"/>
      <c r="AI96" s="362"/>
      <c r="AJ96" s="189">
        <v>86</v>
      </c>
      <c r="AK96" s="225">
        <v>86</v>
      </c>
      <c r="AL96" s="496"/>
      <c r="AM96" s="496">
        <v>0</v>
      </c>
      <c r="AN96" s="496">
        <v>0</v>
      </c>
      <c r="AO96" s="496"/>
      <c r="AP96" s="496"/>
      <c r="AQ96" s="189"/>
    </row>
    <row r="97" spans="1:43" s="428" customFormat="1" ht="15.75" customHeight="1">
      <c r="A97" s="621" t="s">
        <v>125</v>
      </c>
      <c r="B97" s="617"/>
      <c r="C97" s="618"/>
      <c r="D97" s="516"/>
      <c r="E97" s="516"/>
      <c r="F97" s="318">
        <f>SUM(F60:F96)</f>
        <v>34935.856</v>
      </c>
      <c r="G97" s="318">
        <f>SUM(G60:G96)</f>
        <v>17840.096000000005</v>
      </c>
      <c r="H97" s="318"/>
      <c r="I97" s="318">
        <f>SUM(I60:I96)</f>
        <v>17095.760000000002</v>
      </c>
      <c r="J97" s="318">
        <f>SUM(J60:J96)</f>
        <v>0</v>
      </c>
      <c r="K97" s="318"/>
      <c r="L97" s="433"/>
      <c r="M97" s="426"/>
      <c r="N97" s="448"/>
      <c r="O97" s="189"/>
      <c r="P97" s="378">
        <f>SUM(P60:P96)</f>
        <v>22157.059999999998</v>
      </c>
      <c r="Q97" s="378">
        <f>SUM(Q60:Q96)</f>
        <v>4954.4455999999991</v>
      </c>
      <c r="R97" s="378"/>
      <c r="S97" s="378">
        <f>SUM(S60:S96)</f>
        <v>17202.614399999999</v>
      </c>
      <c r="T97" s="378">
        <f>SUM(T60:T96)</f>
        <v>0</v>
      </c>
      <c r="U97" s="378"/>
      <c r="V97" s="378"/>
      <c r="W97" s="378"/>
      <c r="X97" s="387"/>
      <c r="Y97" s="378"/>
      <c r="Z97" s="378">
        <f>SUM(Z60:Z96)</f>
        <v>14366.400900000001</v>
      </c>
      <c r="AA97" s="378">
        <f>SUM(AA60:AA96)</f>
        <v>6035.1690459999991</v>
      </c>
      <c r="AB97" s="378"/>
      <c r="AC97" s="378">
        <f>SUM(AC60:AC96)</f>
        <v>8331.2318539999997</v>
      </c>
      <c r="AD97" s="378">
        <f>SUM(AD60:AD96)</f>
        <v>0</v>
      </c>
      <c r="AE97" s="378"/>
      <c r="AF97" s="378"/>
      <c r="AG97" s="378"/>
      <c r="AH97" s="387"/>
      <c r="AI97" s="378"/>
      <c r="AJ97" s="378">
        <f>SUM(AJ60:AJ96)</f>
        <v>10127.569099999999</v>
      </c>
      <c r="AK97" s="379">
        <f>SUM(AK60:AK96)</f>
        <v>4222.3609539999989</v>
      </c>
      <c r="AL97" s="378"/>
      <c r="AM97" s="378">
        <f>SUM(AM60:AM96)</f>
        <v>5905.2081459999999</v>
      </c>
      <c r="AN97" s="378">
        <f>SUM(AN60:AN96)</f>
        <v>0</v>
      </c>
      <c r="AO97" s="189"/>
      <c r="AP97" s="189"/>
      <c r="AQ97" s="189"/>
    </row>
    <row r="98" spans="1:43" s="434" customFormat="1" ht="15.75" customHeight="1">
      <c r="A98" s="621" t="s">
        <v>126</v>
      </c>
      <c r="B98" s="617"/>
      <c r="C98" s="618"/>
      <c r="D98" s="516"/>
      <c r="E98" s="516"/>
      <c r="F98" s="319">
        <f>F56+F97</f>
        <v>45560.705999999998</v>
      </c>
      <c r="G98" s="319">
        <f>+G56+G97</f>
        <v>21124.756000000005</v>
      </c>
      <c r="H98" s="319"/>
      <c r="I98" s="319">
        <f>+I56+I97</f>
        <v>19267.940000000002</v>
      </c>
      <c r="J98" s="319">
        <f>+J56+J97</f>
        <v>5168.01</v>
      </c>
      <c r="K98" s="319"/>
      <c r="L98" s="406"/>
      <c r="M98" s="425"/>
      <c r="N98" s="448"/>
      <c r="O98" s="189"/>
      <c r="P98" s="378">
        <f>SUM(P56+P97)</f>
        <v>24717.059999999998</v>
      </c>
      <c r="Q98" s="380">
        <f>+Q56+Q97</f>
        <v>5964.8607839999986</v>
      </c>
      <c r="R98" s="378"/>
      <c r="S98" s="380">
        <f>+S56+S97</f>
        <v>18252.199215999997</v>
      </c>
      <c r="T98" s="380">
        <f>+T56+T97</f>
        <v>500</v>
      </c>
      <c r="U98" s="380"/>
      <c r="V98" s="380"/>
      <c r="W98" s="378"/>
      <c r="X98" s="387"/>
      <c r="Y98" s="378"/>
      <c r="Z98" s="378">
        <f>SUM(Z56+Z97)</f>
        <v>18202.627700000001</v>
      </c>
      <c r="AA98" s="380">
        <f>+AA56+AA97</f>
        <v>7365.7398723999995</v>
      </c>
      <c r="AB98" s="378"/>
      <c r="AC98" s="380">
        <f>+AC56+AC97</f>
        <v>9474.5199276000003</v>
      </c>
      <c r="AD98" s="380">
        <f>+AD56+AD97</f>
        <v>1362.3679</v>
      </c>
      <c r="AE98" s="380"/>
      <c r="AF98" s="380"/>
      <c r="AG98" s="378"/>
      <c r="AH98" s="387"/>
      <c r="AI98" s="380"/>
      <c r="AJ98" s="381">
        <f>+AJ56+AJ97</f>
        <v>12695.262299999999</v>
      </c>
      <c r="AK98" s="381">
        <f>+AK56+AK97</f>
        <v>5170.665983599999</v>
      </c>
      <c r="AL98" s="380"/>
      <c r="AM98" s="380">
        <f>+AM56+AM97</f>
        <v>6653.5742164000003</v>
      </c>
      <c r="AN98" s="380">
        <f>+AN56+AN97</f>
        <v>871.0220999999998</v>
      </c>
      <c r="AO98" s="496"/>
      <c r="AP98" s="496"/>
      <c r="AQ98" s="189"/>
    </row>
    <row r="99" spans="1:43" s="434" customFormat="1" ht="15" customHeight="1">
      <c r="A99" s="620" t="s">
        <v>127</v>
      </c>
      <c r="B99" s="617"/>
      <c r="C99" s="618"/>
      <c r="D99" s="515"/>
      <c r="E99" s="515"/>
      <c r="F99" s="318">
        <v>0</v>
      </c>
      <c r="G99" s="319">
        <v>0</v>
      </c>
      <c r="H99" s="566">
        <f>ROW(C99)</f>
        <v>99</v>
      </c>
      <c r="I99" s="319">
        <v>0</v>
      </c>
      <c r="J99" s="319">
        <v>0</v>
      </c>
      <c r="K99" s="319"/>
      <c r="L99" s="406"/>
      <c r="M99" s="425"/>
      <c r="N99" s="448"/>
      <c r="O99" s="189"/>
      <c r="P99" s="189">
        <v>0</v>
      </c>
      <c r="Q99" s="496">
        <v>0</v>
      </c>
      <c r="R99" s="496"/>
      <c r="S99" s="496">
        <v>0</v>
      </c>
      <c r="T99" s="496">
        <v>0</v>
      </c>
      <c r="U99" s="496"/>
      <c r="V99" s="496"/>
      <c r="W99" s="189"/>
      <c r="X99" s="387"/>
      <c r="Y99" s="189"/>
      <c r="Z99" s="189">
        <v>162.54</v>
      </c>
      <c r="AA99" s="496">
        <v>162.54</v>
      </c>
      <c r="AB99" s="496"/>
      <c r="AC99" s="496">
        <v>0</v>
      </c>
      <c r="AD99" s="496">
        <v>0</v>
      </c>
      <c r="AE99" s="496"/>
      <c r="AF99" s="496"/>
      <c r="AG99" s="189"/>
      <c r="AH99" s="387"/>
      <c r="AI99" s="313"/>
      <c r="AJ99" s="189">
        <v>95.46</v>
      </c>
      <c r="AK99" s="225">
        <v>95.46</v>
      </c>
      <c r="AL99" s="496"/>
      <c r="AM99" s="496">
        <v>0</v>
      </c>
      <c r="AN99" s="496">
        <v>0</v>
      </c>
      <c r="AO99" s="496"/>
      <c r="AP99" s="496"/>
      <c r="AQ99" s="189"/>
    </row>
    <row r="100" spans="1:43" s="434" customFormat="1" ht="18" customHeight="1">
      <c r="A100" s="620" t="s">
        <v>128</v>
      </c>
      <c r="B100" s="617"/>
      <c r="C100" s="618"/>
      <c r="D100" s="515"/>
      <c r="E100" s="515"/>
      <c r="F100" s="318">
        <v>0</v>
      </c>
      <c r="G100" s="319">
        <v>0</v>
      </c>
      <c r="H100" s="566">
        <f>ROW(C100)</f>
        <v>100</v>
      </c>
      <c r="I100" s="319">
        <v>0</v>
      </c>
      <c r="J100" s="319">
        <v>0</v>
      </c>
      <c r="K100" s="319"/>
      <c r="L100" s="406"/>
      <c r="M100" s="425"/>
      <c r="N100" s="448"/>
      <c r="O100" s="189"/>
      <c r="P100" s="189">
        <v>0</v>
      </c>
      <c r="Q100" s="496">
        <v>0</v>
      </c>
      <c r="R100" s="496"/>
      <c r="S100" s="496">
        <v>0</v>
      </c>
      <c r="T100" s="496">
        <v>0</v>
      </c>
      <c r="U100" s="496"/>
      <c r="V100" s="496"/>
      <c r="W100" s="189"/>
      <c r="X100" s="387"/>
      <c r="Y100" s="189"/>
      <c r="Z100" s="189">
        <v>221.17699999999999</v>
      </c>
      <c r="AA100" s="496">
        <v>221.17699999999999</v>
      </c>
      <c r="AB100" s="496"/>
      <c r="AC100" s="496">
        <v>0</v>
      </c>
      <c r="AD100" s="496">
        <v>0</v>
      </c>
      <c r="AE100" s="496"/>
      <c r="AF100" s="496"/>
      <c r="AG100" s="189"/>
      <c r="AH100" s="387"/>
      <c r="AI100" s="313"/>
      <c r="AJ100" s="189">
        <v>180.96299999999999</v>
      </c>
      <c r="AK100" s="225">
        <v>180.96299999999999</v>
      </c>
      <c r="AL100" s="496"/>
      <c r="AM100" s="496">
        <v>0</v>
      </c>
      <c r="AN100" s="496">
        <v>0</v>
      </c>
      <c r="AO100" s="496"/>
      <c r="AP100" s="496"/>
      <c r="AQ100" s="189"/>
    </row>
    <row r="101" spans="1:43" s="428" customFormat="1" ht="18" customHeight="1">
      <c r="A101" s="616" t="s">
        <v>129</v>
      </c>
      <c r="B101" s="617"/>
      <c r="C101" s="618"/>
      <c r="D101" s="486"/>
      <c r="E101" s="511">
        <v>0.16</v>
      </c>
      <c r="F101" s="319">
        <f>SUM(F98:F100)</f>
        <v>45560.705999999998</v>
      </c>
      <c r="G101" s="319">
        <f>SUM(G98:G100)</f>
        <v>21124.756000000005</v>
      </c>
      <c r="H101" s="319"/>
      <c r="I101" s="319">
        <f>SUM(I98:I100)</f>
        <v>19267.940000000002</v>
      </c>
      <c r="J101" s="319">
        <f>SUM(J98:J100)</f>
        <v>5168.01</v>
      </c>
      <c r="K101" s="319"/>
      <c r="L101" s="406"/>
      <c r="M101" s="426"/>
      <c r="N101" s="469"/>
      <c r="O101" s="459"/>
      <c r="P101" s="470">
        <f>SUM(P98:P100)</f>
        <v>24717.059999999998</v>
      </c>
      <c r="Q101" s="470">
        <f>SUM(Q98:Q100)</f>
        <v>5964.8607839999986</v>
      </c>
      <c r="R101" s="470"/>
      <c r="S101" s="470">
        <f>SUM(S98:S100)</f>
        <v>18252.199215999997</v>
      </c>
      <c r="T101" s="470">
        <f>SUM(T98:T100)</f>
        <v>500</v>
      </c>
      <c r="U101" s="470"/>
      <c r="V101" s="470"/>
      <c r="W101" s="470"/>
      <c r="X101" s="469"/>
      <c r="Y101" s="471"/>
      <c r="Z101" s="470">
        <f>SUM(Z98:Z100)</f>
        <v>18586.344700000001</v>
      </c>
      <c r="AA101" s="470">
        <f>SUM(AA98:AA100)</f>
        <v>7749.4568723999992</v>
      </c>
      <c r="AB101" s="470"/>
      <c r="AC101" s="470">
        <f>SUM(AC98:AC100)</f>
        <v>9474.5199276000003</v>
      </c>
      <c r="AD101" s="470">
        <f>SUM(AD98:AD100)</f>
        <v>1362.3679</v>
      </c>
      <c r="AE101" s="470"/>
      <c r="AF101" s="470"/>
      <c r="AG101" s="470"/>
      <c r="AH101" s="469"/>
      <c r="AI101" s="472"/>
      <c r="AJ101" s="470">
        <f>SUM(AJ98:AJ100)</f>
        <v>12971.685299999997</v>
      </c>
      <c r="AK101" s="471">
        <f>SUM(AK98:AK100)</f>
        <v>5447.0889835999988</v>
      </c>
      <c r="AL101" s="470"/>
      <c r="AM101" s="470">
        <f>SUM(AM98:AM100)</f>
        <v>6653.5742164000003</v>
      </c>
      <c r="AN101" s="470">
        <f>SUM(AN98:AN100)</f>
        <v>871.0220999999998</v>
      </c>
      <c r="AO101" s="459"/>
      <c r="AP101" s="459"/>
      <c r="AQ101" s="459"/>
    </row>
    <row r="104" spans="1:43" ht="17.25" customHeight="1">
      <c r="A104" s="570" t="s">
        <v>130</v>
      </c>
      <c r="C104" s="435"/>
      <c r="D104" s="435"/>
      <c r="E104" s="435"/>
      <c r="F104" s="435"/>
      <c r="G104" s="436"/>
      <c r="M104" s="436"/>
    </row>
    <row r="106" spans="1:43" ht="15.75" customHeight="1">
      <c r="C106" s="330"/>
      <c r="D106" s="330"/>
      <c r="E106" s="330"/>
      <c r="F106" s="330"/>
      <c r="I106" s="436"/>
      <c r="J106" s="436"/>
    </row>
    <row r="107" spans="1:43" ht="15.75" customHeight="1">
      <c r="C107" s="330"/>
      <c r="D107" s="330"/>
      <c r="E107" s="330"/>
      <c r="F107" s="330"/>
    </row>
    <row r="108" spans="1:43" ht="15.75" customHeight="1">
      <c r="C108" s="330"/>
      <c r="D108" s="330"/>
      <c r="E108" s="330"/>
      <c r="F108" s="330"/>
    </row>
    <row r="109" spans="1:43" ht="15.75" customHeight="1">
      <c r="C109" s="330"/>
      <c r="D109" s="330"/>
      <c r="E109" s="330"/>
      <c r="F109" s="330"/>
    </row>
    <row r="110" spans="1:43" ht="15.75" customHeight="1">
      <c r="C110" s="330"/>
      <c r="D110" s="330"/>
      <c r="E110" s="330"/>
      <c r="F110" s="330"/>
    </row>
    <row r="111" spans="1:43" ht="15.75" customHeight="1">
      <c r="C111" s="330"/>
      <c r="D111" s="330"/>
      <c r="E111" s="330"/>
      <c r="F111" s="330"/>
    </row>
    <row r="112" spans="1:43" ht="15" customHeight="1">
      <c r="C112" s="330"/>
      <c r="D112" s="330"/>
      <c r="E112" s="330"/>
      <c r="F112" s="330"/>
    </row>
    <row r="113" spans="3:6" ht="15.75" customHeight="1">
      <c r="C113" s="330"/>
      <c r="D113" s="330"/>
      <c r="E113" s="330"/>
      <c r="F113" s="330"/>
    </row>
  </sheetData>
  <mergeCells count="62">
    <mergeCell ref="AB6:AC6"/>
    <mergeCell ref="AL5:AO5"/>
    <mergeCell ref="AQ5:AQ7"/>
    <mergeCell ref="Q5:Q7"/>
    <mergeCell ref="AP5:AP7"/>
    <mergeCell ref="AI4:AI7"/>
    <mergeCell ref="AF5:AF7"/>
    <mergeCell ref="AN6:AO6"/>
    <mergeCell ref="AG5:AG7"/>
    <mergeCell ref="Z4:AG4"/>
    <mergeCell ref="R6:S6"/>
    <mergeCell ref="V5:V7"/>
    <mergeCell ref="AD6:AE6"/>
    <mergeCell ref="AH4:AH7"/>
    <mergeCell ref="X4:X7"/>
    <mergeCell ref="Z5:Z7"/>
    <mergeCell ref="P4:W4"/>
    <mergeCell ref="C71:Q71"/>
    <mergeCell ref="C59:Q59"/>
    <mergeCell ref="C62:Q62"/>
    <mergeCell ref="AM2:AQ2"/>
    <mergeCell ref="AA5:AA7"/>
    <mergeCell ref="AB5:AE5"/>
    <mergeCell ref="Y4:Y7"/>
    <mergeCell ref="C64:Q64"/>
    <mergeCell ref="C67:Q67"/>
    <mergeCell ref="A9:C9"/>
    <mergeCell ref="F4:M4"/>
    <mergeCell ref="X3:AG3"/>
    <mergeCell ref="AH3:AQ3"/>
    <mergeCell ref="AJ4:AQ4"/>
    <mergeCell ref="AJ5:AJ7"/>
    <mergeCell ref="AK1:AN1"/>
    <mergeCell ref="S2:W2"/>
    <mergeCell ref="L5:L7"/>
    <mergeCell ref="M5:M7"/>
    <mergeCell ref="B3:B7"/>
    <mergeCell ref="D4:D7"/>
    <mergeCell ref="AL6:AM6"/>
    <mergeCell ref="W5:W7"/>
    <mergeCell ref="AK5:AK7"/>
    <mergeCell ref="T1:W1"/>
    <mergeCell ref="P5:P7"/>
    <mergeCell ref="T6:U6"/>
    <mergeCell ref="N3:W3"/>
    <mergeCell ref="N4:N7"/>
    <mergeCell ref="O4:O7"/>
    <mergeCell ref="R5:U5"/>
    <mergeCell ref="A101:C101"/>
    <mergeCell ref="H6:I6"/>
    <mergeCell ref="A99:C99"/>
    <mergeCell ref="A100:C100"/>
    <mergeCell ref="A98:C98"/>
    <mergeCell ref="A57:C57"/>
    <mergeCell ref="E4:E7"/>
    <mergeCell ref="H5:K5"/>
    <mergeCell ref="J6:K6"/>
    <mergeCell ref="A97:C97"/>
    <mergeCell ref="F5:F7"/>
    <mergeCell ref="A3:A7"/>
    <mergeCell ref="C3:C7"/>
    <mergeCell ref="D3:M3"/>
  </mergeCells>
  <printOptions horizontalCentered="1"/>
  <pageMargins left="0.15" right="0.17" top="0.44" bottom="0" header="0.17" footer="0"/>
  <pageSetup paperSize="9" scale="53" firstPageNumber="6" orientation="landscape" useFirstPageNumber="1" r:id="rId1"/>
  <headerFooter alignWithMargins="0">
    <oddFooter>&amp;L                  †  Year 1 is FY 2014-15, Year 2 is FY 2015-16 and Year 3 is FY 2016-17 &amp;C&amp;20 P - &amp;P</oddFooter>
  </headerFooter>
  <rowBreaks count="1" manualBreakCount="1">
    <brk id="56" max="16383" man="1"/>
  </rowBreaks>
  <colBreaks count="1" manualBreakCount="1">
    <brk id="23" min="2" max="10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7"/>
  <sheetViews>
    <sheetView view="pageBreakPreview" topLeftCell="D1" zoomScale="70" zoomScaleNormal="100" zoomScaleSheetLayoutView="70" workbookViewId="0">
      <selection activeCell="G101" sqref="G101"/>
    </sheetView>
  </sheetViews>
  <sheetFormatPr defaultRowHeight="12.75"/>
  <cols>
    <col min="1" max="1" width="8" style="578" customWidth="1"/>
    <col min="2" max="2" width="9.7109375" style="578" customWidth="1"/>
    <col min="3" max="3" width="94.85546875" style="25" customWidth="1"/>
    <col min="4" max="4" width="7.42578125" style="586" customWidth="1"/>
    <col min="5" max="5" width="7.5703125" style="578" customWidth="1"/>
    <col min="6" max="6" width="8.42578125" style="578" customWidth="1"/>
    <col min="7" max="7" width="9.140625" style="582" customWidth="1"/>
    <col min="8" max="8" width="7.28515625" style="583" customWidth="1"/>
    <col min="9" max="9" width="8.140625" style="582" customWidth="1"/>
    <col min="10" max="10" width="6.7109375" style="582" customWidth="1"/>
    <col min="11" max="11" width="6.85546875" style="583" customWidth="1"/>
    <col min="12" max="12" width="8.42578125" style="582" customWidth="1"/>
    <col min="13" max="13" width="6.7109375" style="582" customWidth="1"/>
    <col min="14" max="14" width="6.85546875" style="583" customWidth="1"/>
    <col min="15" max="15" width="8.42578125" style="582" customWidth="1"/>
    <col min="16" max="16" width="6.7109375" style="582" customWidth="1"/>
    <col min="17" max="17" width="7.28515625" style="583" customWidth="1"/>
    <col min="18" max="18" width="8.42578125" style="582" customWidth="1"/>
    <col min="19" max="19" width="6.7109375" style="582" customWidth="1"/>
    <col min="20" max="20" width="7.85546875" style="583" customWidth="1"/>
    <col min="21" max="21" width="8.42578125" style="582" customWidth="1"/>
    <col min="22" max="22" width="6.7109375" style="582" customWidth="1"/>
    <col min="23" max="23" width="8.140625" style="583" customWidth="1"/>
    <col min="24" max="24" width="8.42578125" style="578" customWidth="1"/>
    <col min="25" max="25" width="6.7109375" style="578" customWidth="1"/>
    <col min="26" max="27" width="8.42578125" style="578" customWidth="1"/>
    <col min="28" max="28" width="6.7109375" style="578" customWidth="1"/>
    <col min="29" max="29" width="7.140625" style="578" customWidth="1"/>
    <col min="30" max="30" width="8.42578125" style="578" customWidth="1"/>
    <col min="31" max="31" width="6.7109375" style="578" customWidth="1"/>
    <col min="32" max="32" width="8.28515625" style="578" customWidth="1"/>
    <col min="33" max="34" width="9.140625" style="578" customWidth="1"/>
    <col min="35" max="35" width="8.140625" style="578" customWidth="1"/>
    <col min="36" max="36" width="10.28515625" style="578" customWidth="1"/>
    <col min="37" max="45" width="9.140625" style="578" customWidth="1"/>
    <col min="46" max="16384" width="9.140625" style="578"/>
  </cols>
  <sheetData>
    <row r="1" spans="1:37" ht="24.75" customHeight="1">
      <c r="A1" s="29" t="s">
        <v>131</v>
      </c>
      <c r="B1" s="29"/>
      <c r="C1" s="29"/>
      <c r="D1" s="29"/>
      <c r="E1" s="29"/>
      <c r="F1" s="29"/>
      <c r="G1" s="29"/>
      <c r="H1" s="29"/>
      <c r="I1" s="29"/>
      <c r="J1" s="29"/>
      <c r="L1" s="29"/>
      <c r="M1" s="29"/>
      <c r="O1" s="29"/>
      <c r="P1" s="29"/>
      <c r="Q1" s="580"/>
      <c r="R1" s="658" t="s">
        <v>132</v>
      </c>
      <c r="S1" s="659"/>
      <c r="T1" s="644"/>
      <c r="Z1" s="580"/>
      <c r="AD1" s="658" t="s">
        <v>132</v>
      </c>
      <c r="AE1" s="631"/>
      <c r="AF1" s="631"/>
    </row>
    <row r="2" spans="1:37" s="584" customFormat="1" ht="16.5" customHeight="1">
      <c r="A2" s="653" t="s">
        <v>133</v>
      </c>
      <c r="B2" s="654"/>
      <c r="C2" s="654"/>
      <c r="D2" s="654"/>
      <c r="E2" s="654"/>
      <c r="F2" s="654"/>
      <c r="G2" s="654"/>
      <c r="H2" s="654"/>
      <c r="I2" s="119"/>
      <c r="J2" s="119"/>
      <c r="K2" s="119"/>
      <c r="L2" s="119"/>
      <c r="M2" s="119"/>
      <c r="N2" s="119"/>
      <c r="O2" s="120"/>
      <c r="P2" s="120"/>
      <c r="Q2" s="120"/>
      <c r="R2" s="120"/>
      <c r="S2" s="120"/>
      <c r="T2" s="120"/>
      <c r="U2" s="120"/>
      <c r="V2" s="120"/>
      <c r="W2" s="120"/>
    </row>
    <row r="3" spans="1:37" s="584" customFormat="1" ht="14.25" customHeight="1">
      <c r="A3" s="655" t="s">
        <v>134</v>
      </c>
      <c r="B3" s="647"/>
      <c r="C3" s="647"/>
      <c r="D3" s="647"/>
      <c r="E3" s="647"/>
      <c r="F3" s="647"/>
      <c r="G3" s="647"/>
      <c r="H3" s="647"/>
      <c r="I3" s="121"/>
      <c r="J3" s="122"/>
      <c r="K3" s="533"/>
      <c r="L3" s="121"/>
      <c r="M3" s="122"/>
      <c r="N3" s="533"/>
      <c r="O3" s="122"/>
      <c r="P3" s="122"/>
      <c r="Q3" s="123"/>
      <c r="R3" s="122"/>
      <c r="S3" s="122"/>
      <c r="T3" s="123"/>
      <c r="U3" s="121"/>
      <c r="V3" s="121"/>
      <c r="W3" s="533"/>
      <c r="Z3" s="123"/>
      <c r="AF3" s="123"/>
    </row>
    <row r="4" spans="1:37" s="584" customFormat="1" ht="16.5" customHeight="1">
      <c r="A4" s="651" t="s">
        <v>2</v>
      </c>
      <c r="B4" s="651" t="s">
        <v>135</v>
      </c>
      <c r="C4" s="651" t="s">
        <v>136</v>
      </c>
      <c r="D4" s="657" t="s">
        <v>137</v>
      </c>
      <c r="E4" s="617"/>
      <c r="F4" s="617"/>
      <c r="G4" s="617"/>
      <c r="H4" s="618"/>
      <c r="I4" s="651" t="s">
        <v>138</v>
      </c>
      <c r="J4" s="617"/>
      <c r="K4" s="618"/>
      <c r="L4" s="651" t="s">
        <v>139</v>
      </c>
      <c r="M4" s="617"/>
      <c r="N4" s="618"/>
      <c r="O4" s="651" t="s">
        <v>140</v>
      </c>
      <c r="P4" s="617"/>
      <c r="Q4" s="618"/>
      <c r="R4" s="651" t="s">
        <v>141</v>
      </c>
      <c r="S4" s="617"/>
      <c r="T4" s="618"/>
      <c r="U4" s="651" t="s">
        <v>142</v>
      </c>
      <c r="V4" s="617"/>
      <c r="W4" s="618"/>
      <c r="X4" s="651" t="s">
        <v>143</v>
      </c>
      <c r="Y4" s="617"/>
      <c r="Z4" s="618"/>
      <c r="AA4" s="651" t="s">
        <v>7</v>
      </c>
      <c r="AB4" s="617"/>
      <c r="AC4" s="618"/>
      <c r="AD4" s="651" t="s">
        <v>144</v>
      </c>
      <c r="AE4" s="617"/>
      <c r="AF4" s="618"/>
    </row>
    <row r="5" spans="1:37" s="584" customFormat="1" ht="12.75" customHeight="1">
      <c r="A5" s="624"/>
      <c r="B5" s="624"/>
      <c r="C5" s="624"/>
      <c r="D5" s="651" t="s">
        <v>9</v>
      </c>
      <c r="E5" s="651" t="s">
        <v>145</v>
      </c>
      <c r="F5" s="651" t="s">
        <v>146</v>
      </c>
      <c r="G5" s="652" t="s">
        <v>147</v>
      </c>
      <c r="H5" s="656" t="s">
        <v>148</v>
      </c>
      <c r="I5" s="652" t="s">
        <v>149</v>
      </c>
      <c r="J5" s="651" t="s">
        <v>150</v>
      </c>
      <c r="K5" s="618"/>
      <c r="L5" s="652" t="s">
        <v>149</v>
      </c>
      <c r="M5" s="651" t="s">
        <v>150</v>
      </c>
      <c r="N5" s="618"/>
      <c r="O5" s="652" t="s">
        <v>149</v>
      </c>
      <c r="P5" s="651" t="s">
        <v>150</v>
      </c>
      <c r="Q5" s="618"/>
      <c r="R5" s="652" t="s">
        <v>149</v>
      </c>
      <c r="S5" s="651" t="s">
        <v>150</v>
      </c>
      <c r="T5" s="618"/>
      <c r="U5" s="652" t="s">
        <v>149</v>
      </c>
      <c r="V5" s="651" t="s">
        <v>150</v>
      </c>
      <c r="W5" s="618"/>
      <c r="X5" s="652" t="s">
        <v>149</v>
      </c>
      <c r="Y5" s="651" t="s">
        <v>150</v>
      </c>
      <c r="Z5" s="618"/>
      <c r="AA5" s="652" t="s">
        <v>149</v>
      </c>
      <c r="AB5" s="651" t="s">
        <v>150</v>
      </c>
      <c r="AC5" s="618"/>
      <c r="AD5" s="652" t="s">
        <v>149</v>
      </c>
      <c r="AE5" s="651" t="s">
        <v>150</v>
      </c>
      <c r="AF5" s="618"/>
    </row>
    <row r="6" spans="1:37" s="584" customFormat="1" ht="34.5" customHeight="1">
      <c r="A6" s="625"/>
      <c r="B6" s="625"/>
      <c r="C6" s="625"/>
      <c r="D6" s="625"/>
      <c r="E6" s="625"/>
      <c r="F6" s="625"/>
      <c r="G6" s="625"/>
      <c r="H6" s="625"/>
      <c r="I6" s="625"/>
      <c r="J6" s="144" t="s">
        <v>151</v>
      </c>
      <c r="K6" s="534" t="s">
        <v>152</v>
      </c>
      <c r="L6" s="625"/>
      <c r="M6" s="144" t="s">
        <v>151</v>
      </c>
      <c r="N6" s="534" t="s">
        <v>152</v>
      </c>
      <c r="O6" s="625"/>
      <c r="P6" s="144" t="s">
        <v>151</v>
      </c>
      <c r="Q6" s="534" t="s">
        <v>152</v>
      </c>
      <c r="R6" s="625"/>
      <c r="S6" s="144" t="s">
        <v>151</v>
      </c>
      <c r="T6" s="534" t="s">
        <v>152</v>
      </c>
      <c r="U6" s="625"/>
      <c r="V6" s="144" t="s">
        <v>151</v>
      </c>
      <c r="W6" s="534" t="s">
        <v>152</v>
      </c>
      <c r="X6" s="625"/>
      <c r="Y6" s="144" t="s">
        <v>151</v>
      </c>
      <c r="Z6" s="534" t="s">
        <v>152</v>
      </c>
      <c r="AA6" s="625"/>
      <c r="AB6" s="144" t="s">
        <v>151</v>
      </c>
      <c r="AC6" s="534" t="s">
        <v>152</v>
      </c>
      <c r="AD6" s="625"/>
      <c r="AE6" s="144" t="s">
        <v>151</v>
      </c>
      <c r="AF6" s="534" t="s">
        <v>152</v>
      </c>
    </row>
    <row r="7" spans="1:37" s="584" customFormat="1" ht="12.75" customHeight="1">
      <c r="A7" s="266">
        <v>1</v>
      </c>
      <c r="B7" s="517">
        <v>2</v>
      </c>
      <c r="C7" s="231">
        <v>3</v>
      </c>
      <c r="D7" s="581">
        <v>4</v>
      </c>
      <c r="E7" s="581">
        <v>5</v>
      </c>
      <c r="F7" s="581">
        <v>6</v>
      </c>
      <c r="G7" s="267">
        <v>7</v>
      </c>
      <c r="H7" s="267">
        <v>8</v>
      </c>
      <c r="I7" s="267">
        <v>9</v>
      </c>
      <c r="J7" s="270">
        <v>10</v>
      </c>
      <c r="K7" s="270">
        <v>11</v>
      </c>
      <c r="L7" s="267">
        <v>12</v>
      </c>
      <c r="M7" s="270">
        <v>13</v>
      </c>
      <c r="N7" s="270">
        <v>14</v>
      </c>
      <c r="O7" s="267">
        <v>15</v>
      </c>
      <c r="P7" s="270">
        <v>16</v>
      </c>
      <c r="Q7" s="270">
        <v>17</v>
      </c>
      <c r="R7" s="267">
        <v>18</v>
      </c>
      <c r="S7" s="270">
        <v>19</v>
      </c>
      <c r="T7" s="270">
        <v>20</v>
      </c>
      <c r="U7" s="267">
        <v>21</v>
      </c>
      <c r="V7" s="270">
        <v>22</v>
      </c>
      <c r="W7" s="270">
        <v>23</v>
      </c>
      <c r="X7" s="267">
        <v>24</v>
      </c>
      <c r="Y7" s="270">
        <v>25</v>
      </c>
      <c r="Z7" s="270">
        <v>26</v>
      </c>
      <c r="AA7" s="267">
        <v>27</v>
      </c>
      <c r="AB7" s="270">
        <v>28</v>
      </c>
      <c r="AC7" s="270">
        <v>29</v>
      </c>
      <c r="AD7" s="267">
        <v>30</v>
      </c>
      <c r="AE7" s="270">
        <v>31</v>
      </c>
      <c r="AF7" s="270">
        <v>32</v>
      </c>
    </row>
    <row r="8" spans="1:37" s="584" customFormat="1" ht="10.5" customHeight="1">
      <c r="A8" s="124" t="s">
        <v>23</v>
      </c>
      <c r="B8" s="125"/>
      <c r="C8" s="126"/>
      <c r="D8" s="135"/>
      <c r="E8" s="135"/>
      <c r="F8" s="135"/>
      <c r="G8" s="135"/>
      <c r="H8" s="135"/>
      <c r="I8" s="135"/>
      <c r="J8" s="135"/>
      <c r="K8" s="136"/>
      <c r="L8" s="135"/>
      <c r="M8" s="135"/>
      <c r="N8" s="136"/>
      <c r="O8" s="137"/>
      <c r="P8" s="135"/>
      <c r="Q8" s="136"/>
      <c r="R8" s="137"/>
      <c r="S8" s="135"/>
      <c r="T8" s="136"/>
      <c r="U8" s="137"/>
      <c r="V8" s="135"/>
      <c r="W8" s="136"/>
      <c r="X8" s="137"/>
      <c r="Y8" s="135"/>
      <c r="Z8" s="136"/>
      <c r="AA8" s="137"/>
      <c r="AB8" s="135"/>
      <c r="AC8" s="136"/>
      <c r="AD8" s="137"/>
      <c r="AE8" s="135"/>
      <c r="AF8" s="136"/>
    </row>
    <row r="9" spans="1:37" s="584" customFormat="1" ht="14.25" customHeight="1">
      <c r="A9" s="128"/>
      <c r="B9" s="220"/>
      <c r="C9" s="129" t="str">
        <f>'9.Detil Phasing'!C10</f>
        <v>Allowances</v>
      </c>
      <c r="D9" s="138"/>
      <c r="E9" s="300"/>
      <c r="F9" s="542"/>
      <c r="G9" s="387"/>
      <c r="H9" s="535"/>
      <c r="I9" s="387"/>
      <c r="J9" s="387"/>
      <c r="K9" s="535"/>
      <c r="L9" s="387"/>
      <c r="M9" s="387"/>
      <c r="N9" s="535"/>
      <c r="O9" s="387"/>
      <c r="P9" s="363"/>
      <c r="Q9" s="535"/>
      <c r="R9" s="387"/>
      <c r="S9" s="363"/>
      <c r="T9" s="535"/>
      <c r="U9" s="387"/>
      <c r="V9" s="363"/>
      <c r="W9" s="535"/>
      <c r="X9" s="387"/>
      <c r="Y9" s="363"/>
      <c r="Z9" s="535"/>
      <c r="AA9" s="387"/>
      <c r="AB9" s="363"/>
      <c r="AC9" s="535"/>
      <c r="AD9" s="387"/>
      <c r="AE9" s="363"/>
      <c r="AF9" s="535"/>
      <c r="AG9" s="121"/>
    </row>
    <row r="10" spans="1:37" s="584" customFormat="1" ht="14.25" customHeight="1">
      <c r="A10" s="128"/>
      <c r="B10" s="127">
        <v>3111302</v>
      </c>
      <c r="C10" s="118" t="str">
        <f>'9.Detil Phasing'!C11</f>
        <v>Conveyance Allowance</v>
      </c>
      <c r="D10" s="519" t="s">
        <v>153</v>
      </c>
      <c r="E10" s="140">
        <v>5</v>
      </c>
      <c r="F10" s="543">
        <v>0</v>
      </c>
      <c r="G10" s="387">
        <v>5</v>
      </c>
      <c r="H10" s="535">
        <f>G10/G$100</f>
        <v>4.9098651859036987E-5</v>
      </c>
      <c r="I10" s="387">
        <v>0</v>
      </c>
      <c r="J10" s="387">
        <f>I10/G10*100</f>
        <v>0</v>
      </c>
      <c r="K10" s="535">
        <f>J10*$H10</f>
        <v>0</v>
      </c>
      <c r="L10" s="387">
        <v>0.3</v>
      </c>
      <c r="M10" s="387">
        <f>L10/G10*100</f>
        <v>6</v>
      </c>
      <c r="N10" s="535">
        <f>M10*$H10</f>
        <v>2.9459191115422192E-4</v>
      </c>
      <c r="O10" s="387">
        <v>0.13</v>
      </c>
      <c r="P10" s="363">
        <f>O10/G10*100</f>
        <v>2.6</v>
      </c>
      <c r="Q10" s="535">
        <f>P10*$H10</f>
        <v>1.2765649483349617E-4</v>
      </c>
      <c r="R10" s="387">
        <v>0.28000000000000003</v>
      </c>
      <c r="S10" s="363">
        <f>R10/G10*100</f>
        <v>5.6000000000000005</v>
      </c>
      <c r="T10" s="535">
        <f>S10*$H10</f>
        <v>2.7495245041060716E-4</v>
      </c>
      <c r="U10" s="387">
        <v>0.3</v>
      </c>
      <c r="V10" s="363">
        <f>U10/G10*100</f>
        <v>6</v>
      </c>
      <c r="W10" s="535">
        <f>V10*$H10</f>
        <v>2.9459191115422192E-4</v>
      </c>
      <c r="X10" s="387">
        <v>0.5</v>
      </c>
      <c r="Y10" s="363">
        <f>X10/G10*100</f>
        <v>10</v>
      </c>
      <c r="Z10" s="535">
        <f>Y10*$H10</f>
        <v>4.9098651859036987E-4</v>
      </c>
      <c r="AA10" s="387">
        <v>2.0242</v>
      </c>
      <c r="AB10" s="363">
        <f>AA10/G10*100</f>
        <v>40.483999999999995</v>
      </c>
      <c r="AC10" s="535">
        <f>AB10*$H10</f>
        <v>1.9877098218612529E-3</v>
      </c>
      <c r="AD10" s="387">
        <v>1.4658</v>
      </c>
      <c r="AE10" s="363">
        <f>AD10/G10*100</f>
        <v>29.315999999999999</v>
      </c>
      <c r="AF10" s="535">
        <f>AE10*$H10</f>
        <v>1.4393760778995282E-3</v>
      </c>
      <c r="AG10" s="121">
        <f>SUM(AE10+AB10+Y10+V10+S10+P10+M10+J10)</f>
        <v>99.999999999999986</v>
      </c>
      <c r="AH10" s="533">
        <f>N10+Q10+T10+W10+Z10+AC10+AF10</f>
        <v>4.9098651859036981E-3</v>
      </c>
      <c r="AI10" s="584">
        <f>ROW(AH10)</f>
        <v>10</v>
      </c>
    </row>
    <row r="11" spans="1:37" s="584" customFormat="1" ht="14.25" customHeight="1">
      <c r="A11" s="128"/>
      <c r="B11" s="127">
        <v>3111327</v>
      </c>
      <c r="C11" s="118" t="str">
        <f>'9.Detil Phasing'!C12</f>
        <v>Overtime Allowance</v>
      </c>
      <c r="D11" s="519" t="s">
        <v>153</v>
      </c>
      <c r="E11" s="140">
        <v>10</v>
      </c>
      <c r="F11" s="543">
        <v>0</v>
      </c>
      <c r="G11" s="387">
        <v>10</v>
      </c>
      <c r="H11" s="535">
        <f>G11/G$100</f>
        <v>9.8197303718073974E-5</v>
      </c>
      <c r="I11" s="387">
        <v>0</v>
      </c>
      <c r="J11" s="387">
        <f>I11/E11</f>
        <v>0</v>
      </c>
      <c r="K11" s="535">
        <f>J11*$H11</f>
        <v>0</v>
      </c>
      <c r="L11" s="387">
        <v>0</v>
      </c>
      <c r="M11" s="387">
        <f>L11/G11*100</f>
        <v>0</v>
      </c>
      <c r="N11" s="535">
        <f>M11*$H11</f>
        <v>0</v>
      </c>
      <c r="O11" s="387">
        <v>0</v>
      </c>
      <c r="P11" s="363">
        <f>O11/G11*100</f>
        <v>0</v>
      </c>
      <c r="Q11" s="535">
        <f>P11*$H11</f>
        <v>0</v>
      </c>
      <c r="R11" s="387">
        <v>0</v>
      </c>
      <c r="S11" s="363">
        <f>R11/G11*100</f>
        <v>0</v>
      </c>
      <c r="T11" s="535">
        <f>S11*$H11</f>
        <v>0</v>
      </c>
      <c r="U11" s="387">
        <v>0</v>
      </c>
      <c r="V11" s="363">
        <f>U11/G11*100</f>
        <v>0</v>
      </c>
      <c r="W11" s="535">
        <f>V11*$H11</f>
        <v>0</v>
      </c>
      <c r="X11" s="387">
        <v>0</v>
      </c>
      <c r="Y11" s="363">
        <f>X11/G11*100</f>
        <v>0</v>
      </c>
      <c r="Z11" s="535">
        <f>Y11*$H11</f>
        <v>0</v>
      </c>
      <c r="AA11" s="387">
        <v>6.3</v>
      </c>
      <c r="AB11" s="363">
        <f>AA11/G11*100</f>
        <v>63</v>
      </c>
      <c r="AC11" s="535">
        <f>AB11*$H11</f>
        <v>6.1864301342386607E-3</v>
      </c>
      <c r="AD11" s="387">
        <v>3.7</v>
      </c>
      <c r="AE11" s="363">
        <f>AD11/G11*100</f>
        <v>37</v>
      </c>
      <c r="AF11" s="535">
        <f>AE11*$H11</f>
        <v>3.6333002375687371E-3</v>
      </c>
      <c r="AG11" s="121">
        <f>SUM(AE11+AB11+Y11+V11+S11+P11+M11+J11)</f>
        <v>100</v>
      </c>
      <c r="AH11" s="533">
        <f>N11+Q11+T11+W11+Z11+AC11+AF11</f>
        <v>9.8197303718073978E-3</v>
      </c>
      <c r="AI11" s="584">
        <f>ROW(AH11)</f>
        <v>11</v>
      </c>
    </row>
    <row r="12" spans="1:37" s="584" customFormat="1" ht="14.25" customHeight="1">
      <c r="A12" s="128"/>
      <c r="B12" s="127">
        <v>3111338</v>
      </c>
      <c r="C12" s="118" t="str">
        <f>'9.Detil Phasing'!C13</f>
        <v>Other Allowance</v>
      </c>
      <c r="D12" s="519" t="s">
        <v>153</v>
      </c>
      <c r="E12" s="140">
        <v>140</v>
      </c>
      <c r="F12" s="543">
        <v>0</v>
      </c>
      <c r="G12" s="387">
        <v>140</v>
      </c>
      <c r="H12" s="535">
        <f>G12/G$100</f>
        <v>1.3747622520530356E-3</v>
      </c>
      <c r="I12" s="387">
        <v>0</v>
      </c>
      <c r="J12" s="387">
        <f>I12/G12*100</f>
        <v>0</v>
      </c>
      <c r="K12" s="535">
        <f>J12*$H12</f>
        <v>0</v>
      </c>
      <c r="L12" s="387">
        <v>0</v>
      </c>
      <c r="M12" s="387">
        <f>L12/G12*100</f>
        <v>0</v>
      </c>
      <c r="N12" s="535">
        <f>M12*$H12</f>
        <v>0</v>
      </c>
      <c r="O12" s="387">
        <v>0</v>
      </c>
      <c r="P12" s="363">
        <f>O12/G12*100</f>
        <v>0</v>
      </c>
      <c r="Q12" s="535">
        <f>P12*$H12</f>
        <v>0</v>
      </c>
      <c r="R12" s="387">
        <v>25</v>
      </c>
      <c r="S12" s="363">
        <f>R12/G12*100</f>
        <v>17.857142857142858</v>
      </c>
      <c r="T12" s="535">
        <f>S12*$H12</f>
        <v>2.4549325929518494E-2</v>
      </c>
      <c r="U12" s="387">
        <v>11.61</v>
      </c>
      <c r="V12" s="363">
        <f>U12/G12*100</f>
        <v>8.2928571428571427</v>
      </c>
      <c r="W12" s="535">
        <f>V12*$H12</f>
        <v>1.1400706961668387E-2</v>
      </c>
      <c r="X12" s="387">
        <v>14</v>
      </c>
      <c r="Y12" s="363">
        <f>X12/G12*100</f>
        <v>10</v>
      </c>
      <c r="Z12" s="535">
        <f>Y12*$H12</f>
        <v>1.3747622520530356E-2</v>
      </c>
      <c r="AA12" s="387">
        <v>53.634</v>
      </c>
      <c r="AB12" s="363">
        <f>AA12/G12*100</f>
        <v>38.31</v>
      </c>
      <c r="AC12" s="535">
        <f>AB12*$H12</f>
        <v>5.2667141876151798E-2</v>
      </c>
      <c r="AD12" s="387">
        <v>35.756</v>
      </c>
      <c r="AE12" s="363">
        <f>AD12/G12*100</f>
        <v>25.540000000000003</v>
      </c>
      <c r="AF12" s="535">
        <f>AE12*$H12</f>
        <v>3.5111427917434532E-2</v>
      </c>
      <c r="AG12" s="121">
        <f>SUM(AE12+AB12+Y12+V12+S12+P12+M12+J12)</f>
        <v>100.00000000000001</v>
      </c>
      <c r="AH12" s="533">
        <f>N12+Q12+T12+W12+Z12+AC12+AF12</f>
        <v>0.13747622520530356</v>
      </c>
      <c r="AI12" s="584">
        <f>ROW(AH12)</f>
        <v>12</v>
      </c>
    </row>
    <row r="13" spans="1:37" s="584" customFormat="1" ht="14.25" customHeight="1">
      <c r="A13" s="128"/>
      <c r="B13" s="220"/>
      <c r="C13" s="129" t="str">
        <f>'9.Detil Phasing'!C14</f>
        <v xml:space="preserve">Supplies and services: </v>
      </c>
      <c r="D13" s="519"/>
      <c r="E13" s="140"/>
      <c r="F13" s="543"/>
      <c r="G13" s="387"/>
      <c r="H13" s="535"/>
      <c r="I13" s="387"/>
      <c r="J13" s="387"/>
      <c r="K13" s="535"/>
      <c r="L13" s="387"/>
      <c r="M13" s="387"/>
      <c r="N13" s="535"/>
      <c r="O13" s="387"/>
      <c r="P13" s="363"/>
      <c r="Q13" s="535"/>
      <c r="R13" s="387"/>
      <c r="S13" s="363"/>
      <c r="T13" s="535"/>
      <c r="U13" s="387"/>
      <c r="V13" s="363"/>
      <c r="W13" s="535"/>
      <c r="X13" s="387"/>
      <c r="Y13" s="363"/>
      <c r="Z13" s="535"/>
      <c r="AA13" s="387"/>
      <c r="AB13" s="363"/>
      <c r="AC13" s="535"/>
      <c r="AD13" s="387"/>
      <c r="AE13" s="363"/>
      <c r="AF13" s="535"/>
      <c r="AG13" s="121"/>
    </row>
    <row r="14" spans="1:37" s="584" customFormat="1" ht="17.25" customHeight="1">
      <c r="A14" s="128"/>
      <c r="B14" s="127">
        <v>3241101</v>
      </c>
      <c r="C14" s="118" t="str">
        <f>'9.Detil Phasing'!C15</f>
        <v>Travel Expenses (TA &amp; DA for PMO &amp; PIU)</v>
      </c>
      <c r="D14" s="519" t="s">
        <v>153</v>
      </c>
      <c r="E14" s="140">
        <v>120</v>
      </c>
      <c r="F14" s="543">
        <v>0</v>
      </c>
      <c r="G14" s="387">
        <v>120</v>
      </c>
      <c r="H14" s="535">
        <f t="shared" ref="H14:H28" si="0">G14/G$100</f>
        <v>1.1783676446168877E-3</v>
      </c>
      <c r="I14" s="387">
        <v>0.99099999999999999</v>
      </c>
      <c r="J14" s="387">
        <f t="shared" ref="J14:J28" si="1">I14/G14*100</f>
        <v>0.82583333333333331</v>
      </c>
      <c r="K14" s="535">
        <f t="shared" ref="K14:K28" si="2">J14*$H14</f>
        <v>9.7313527984611305E-4</v>
      </c>
      <c r="L14" s="387">
        <v>11.909000000000001</v>
      </c>
      <c r="M14" s="387">
        <f t="shared" ref="M14:M28" si="3">L14/G14*100</f>
        <v>9.9241666666666681</v>
      </c>
      <c r="N14" s="535">
        <f t="shared" ref="N14:N28" si="4">M14*$H14</f>
        <v>1.1694316899785432E-2</v>
      </c>
      <c r="O14" s="387">
        <v>14.98</v>
      </c>
      <c r="P14" s="363">
        <f t="shared" ref="P14:P28" si="5">O14/G14*100</f>
        <v>12.483333333333334</v>
      </c>
      <c r="Q14" s="535">
        <f t="shared" ref="Q14:Q28" si="6">P14*$H14</f>
        <v>1.4709956096967482E-2</v>
      </c>
      <c r="R14" s="387">
        <v>17.96</v>
      </c>
      <c r="S14" s="363">
        <f t="shared" ref="S14:S28" si="7">R14/G14*100</f>
        <v>14.966666666666667</v>
      </c>
      <c r="T14" s="535">
        <f t="shared" ref="T14:T28" si="8">S14*$H14</f>
        <v>1.7636235747766085E-2</v>
      </c>
      <c r="U14" s="387">
        <v>12.7</v>
      </c>
      <c r="V14" s="363">
        <f t="shared" ref="V14:V28" si="9">U14/G14*100</f>
        <v>10.583333333333332</v>
      </c>
      <c r="W14" s="535">
        <f t="shared" ref="W14:W28" si="10">V14*$H14</f>
        <v>1.2471057572195394E-2</v>
      </c>
      <c r="X14" s="387">
        <v>15</v>
      </c>
      <c r="Y14" s="363">
        <f t="shared" ref="Y14:Y28" si="11">X14/G14*100</f>
        <v>12.5</v>
      </c>
      <c r="Z14" s="535">
        <f t="shared" ref="Z14:Z28" si="12">Y14*$H14</f>
        <v>1.4729595557711096E-2</v>
      </c>
      <c r="AA14" s="387">
        <v>28.805199999999999</v>
      </c>
      <c r="AB14" s="363">
        <f t="shared" ref="AB14:AB28" si="13">AA14/G14*100</f>
        <v>24.004333333333332</v>
      </c>
      <c r="AC14" s="535">
        <f t="shared" ref="AC14:AC28" si="14">AB14*$H14</f>
        <v>2.8285929730598642E-2</v>
      </c>
      <c r="AD14" s="387">
        <v>17.654800000000002</v>
      </c>
      <c r="AE14" s="363">
        <f t="shared" ref="AE14:AE28" si="15">AD14/G14*100</f>
        <v>14.712333333333335</v>
      </c>
      <c r="AF14" s="535">
        <f t="shared" ref="AF14:AF28" si="16">AE14*$H14</f>
        <v>1.7336537576818526E-2</v>
      </c>
      <c r="AG14" s="121">
        <f t="shared" ref="AG14:AG28" si="17">SUM(AE14+AB14+Y14+V14+S14+P14+M14+J14)</f>
        <v>100</v>
      </c>
      <c r="AH14" s="533">
        <f t="shared" ref="AH14:AH28" si="18">N14+Q14+T14+W14+Z14+AC14+AF14</f>
        <v>0.11686362918184265</v>
      </c>
      <c r="AI14" s="584">
        <f t="shared" ref="AI14:AI28" si="19">ROW(AH14)</f>
        <v>14</v>
      </c>
    </row>
    <row r="15" spans="1:37" s="584" customFormat="1" ht="15.75" customHeight="1">
      <c r="A15" s="128"/>
      <c r="B15" s="127">
        <v>3211129</v>
      </c>
      <c r="C15" s="118" t="str">
        <f>'9.Detil Phasing'!C16</f>
        <v>Rent-Office : Office Accomodation for PMO (3,500sft) for 8 years</v>
      </c>
      <c r="D15" s="519" t="s">
        <v>154</v>
      </c>
      <c r="E15" s="140">
        <v>245</v>
      </c>
      <c r="F15" s="543">
        <v>0</v>
      </c>
      <c r="G15" s="387">
        <v>245</v>
      </c>
      <c r="H15" s="535">
        <f t="shared" si="0"/>
        <v>2.4058339410928122E-3</v>
      </c>
      <c r="I15" s="387">
        <v>0</v>
      </c>
      <c r="J15" s="387">
        <f t="shared" si="1"/>
        <v>0</v>
      </c>
      <c r="K15" s="535">
        <f t="shared" si="2"/>
        <v>0</v>
      </c>
      <c r="L15" s="387">
        <v>16.25</v>
      </c>
      <c r="M15" s="387">
        <f t="shared" si="3"/>
        <v>6.6326530612244898</v>
      </c>
      <c r="N15" s="535">
        <f t="shared" si="4"/>
        <v>1.5957061854187021E-2</v>
      </c>
      <c r="O15" s="387">
        <v>31.35</v>
      </c>
      <c r="P15" s="363">
        <f t="shared" si="5"/>
        <v>12.795918367346939</v>
      </c>
      <c r="Q15" s="535">
        <f t="shared" si="6"/>
        <v>3.0784854715616188E-2</v>
      </c>
      <c r="R15" s="387">
        <v>34.86</v>
      </c>
      <c r="S15" s="363">
        <f t="shared" si="7"/>
        <v>14.22857142857143</v>
      </c>
      <c r="T15" s="535">
        <f t="shared" si="8"/>
        <v>3.4231580076120587E-2</v>
      </c>
      <c r="U15" s="387">
        <v>34.21</v>
      </c>
      <c r="V15" s="363">
        <f t="shared" si="9"/>
        <v>13.96326530612245</v>
      </c>
      <c r="W15" s="535">
        <f t="shared" si="10"/>
        <v>3.3593297601953107E-2</v>
      </c>
      <c r="X15" s="387">
        <v>34.25</v>
      </c>
      <c r="Y15" s="363">
        <f t="shared" si="11"/>
        <v>13.979591836734695</v>
      </c>
      <c r="Z15" s="535">
        <f t="shared" si="12"/>
        <v>3.3632576523440337E-2</v>
      </c>
      <c r="AA15" s="387">
        <v>58.329599999999992</v>
      </c>
      <c r="AB15" s="363">
        <f t="shared" si="13"/>
        <v>23.807999999999996</v>
      </c>
      <c r="AC15" s="535">
        <f t="shared" si="14"/>
        <v>5.7278094469537667E-2</v>
      </c>
      <c r="AD15" s="387">
        <v>35.750399999999992</v>
      </c>
      <c r="AE15" s="363">
        <f t="shared" si="15"/>
        <v>14.591999999999997</v>
      </c>
      <c r="AF15" s="535">
        <f t="shared" si="16"/>
        <v>3.5105928868426312E-2</v>
      </c>
      <c r="AG15" s="121">
        <f t="shared" si="17"/>
        <v>100</v>
      </c>
      <c r="AH15" s="533">
        <f t="shared" si="18"/>
        <v>0.2405833941092812</v>
      </c>
      <c r="AI15" s="584">
        <f t="shared" si="19"/>
        <v>15</v>
      </c>
      <c r="AJ15" s="121">
        <f>I15+L15+O15+R15+U15+X15+AA15+AD15</f>
        <v>245</v>
      </c>
      <c r="AK15" s="121">
        <f>J15+M15+P15+S15+V15+Y15+AB15+AE15</f>
        <v>100</v>
      </c>
    </row>
    <row r="16" spans="1:37" s="584" customFormat="1" ht="16.5" customHeight="1">
      <c r="A16" s="128"/>
      <c r="B16" s="127">
        <v>3821103</v>
      </c>
      <c r="C16" s="118" t="str">
        <f>'9.Detil Phasing'!C17</f>
        <v>Misc. Taxes (Income Tax of Consultants, Outsourcing Staff Salary,House rent, Fees for Environmental clearance  etc.)</v>
      </c>
      <c r="D16" s="519" t="s">
        <v>153</v>
      </c>
      <c r="E16" s="140">
        <v>2596.27</v>
      </c>
      <c r="F16" s="543">
        <v>0</v>
      </c>
      <c r="G16" s="387">
        <v>2596.27</v>
      </c>
      <c r="H16" s="535">
        <f t="shared" si="0"/>
        <v>2.5494671372412393E-2</v>
      </c>
      <c r="I16" s="387">
        <v>223.74600000000001</v>
      </c>
      <c r="J16" s="387">
        <f t="shared" si="1"/>
        <v>8.6179788696861266</v>
      </c>
      <c r="K16" s="535">
        <f t="shared" si="2"/>
        <v>0.21971253917704181</v>
      </c>
      <c r="L16" s="387">
        <v>464.654</v>
      </c>
      <c r="M16" s="387">
        <f t="shared" si="3"/>
        <v>17.896982979428181</v>
      </c>
      <c r="N16" s="535">
        <f t="shared" si="4"/>
        <v>0.45627769961817949</v>
      </c>
      <c r="O16" s="387">
        <v>327.7</v>
      </c>
      <c r="P16" s="363">
        <f t="shared" si="5"/>
        <v>12.62195380295578</v>
      </c>
      <c r="Q16" s="535">
        <f t="shared" si="6"/>
        <v>0.32179256428412845</v>
      </c>
      <c r="R16" s="387">
        <v>337.33</v>
      </c>
      <c r="S16" s="363">
        <f t="shared" si="7"/>
        <v>12.992870541199489</v>
      </c>
      <c r="T16" s="535">
        <f t="shared" si="8"/>
        <v>0.3312489646321789</v>
      </c>
      <c r="U16" s="387">
        <v>249.75</v>
      </c>
      <c r="V16" s="363">
        <f t="shared" si="9"/>
        <v>9.619569613329892</v>
      </c>
      <c r="W16" s="535">
        <f t="shared" si="10"/>
        <v>0.24524776603588974</v>
      </c>
      <c r="X16" s="387">
        <v>359.08</v>
      </c>
      <c r="Y16" s="363">
        <f t="shared" si="11"/>
        <v>13.830610837855847</v>
      </c>
      <c r="Z16" s="535">
        <f t="shared" si="12"/>
        <v>0.35260687819086006</v>
      </c>
      <c r="AA16" s="387">
        <v>367.72580000000011</v>
      </c>
      <c r="AB16" s="363">
        <f t="shared" si="13"/>
        <v>14.163619346215922</v>
      </c>
      <c r="AC16" s="535">
        <f t="shared" si="14"/>
        <v>0.36109682067571741</v>
      </c>
      <c r="AD16" s="387">
        <v>266.28420000000011</v>
      </c>
      <c r="AE16" s="363">
        <f t="shared" si="15"/>
        <v>10.256414009328772</v>
      </c>
      <c r="AF16" s="535">
        <f t="shared" si="16"/>
        <v>0.26148390462724364</v>
      </c>
      <c r="AG16" s="121">
        <f t="shared" si="17"/>
        <v>100.00000000000001</v>
      </c>
      <c r="AH16" s="533">
        <f t="shared" si="18"/>
        <v>2.3297545980641976</v>
      </c>
      <c r="AI16" s="584">
        <f t="shared" si="19"/>
        <v>16</v>
      </c>
    </row>
    <row r="17" spans="1:35" s="584" customFormat="1" ht="15.75" customHeight="1">
      <c r="A17" s="128"/>
      <c r="B17" s="127">
        <v>3211119</v>
      </c>
      <c r="C17" s="118" t="str">
        <f>'9.Detil Phasing'!C18</f>
        <v>Postage</v>
      </c>
      <c r="D17" s="519" t="s">
        <v>153</v>
      </c>
      <c r="E17" s="140">
        <v>5</v>
      </c>
      <c r="F17" s="543">
        <v>0</v>
      </c>
      <c r="G17" s="387">
        <v>5</v>
      </c>
      <c r="H17" s="535">
        <f t="shared" si="0"/>
        <v>4.9098651859036987E-5</v>
      </c>
      <c r="I17" s="387">
        <v>0</v>
      </c>
      <c r="J17" s="387">
        <f t="shared" si="1"/>
        <v>0</v>
      </c>
      <c r="K17" s="535">
        <f t="shared" si="2"/>
        <v>0</v>
      </c>
      <c r="L17" s="387">
        <v>0.05</v>
      </c>
      <c r="M17" s="387">
        <f t="shared" si="3"/>
        <v>1</v>
      </c>
      <c r="N17" s="535">
        <f t="shared" si="4"/>
        <v>4.9098651859036987E-5</v>
      </c>
      <c r="O17" s="387">
        <v>0.13</v>
      </c>
      <c r="P17" s="363">
        <f t="shared" si="5"/>
        <v>2.6</v>
      </c>
      <c r="Q17" s="535">
        <f t="shared" si="6"/>
        <v>1.2765649483349617E-4</v>
      </c>
      <c r="R17" s="387">
        <v>0.22</v>
      </c>
      <c r="S17" s="363">
        <f t="shared" si="7"/>
        <v>4.3999999999999995</v>
      </c>
      <c r="T17" s="535">
        <f t="shared" si="8"/>
        <v>2.1603406817976271E-4</v>
      </c>
      <c r="U17" s="387">
        <v>0.37</v>
      </c>
      <c r="V17" s="363">
        <f t="shared" si="9"/>
        <v>7.3999999999999995</v>
      </c>
      <c r="W17" s="535">
        <f t="shared" si="10"/>
        <v>3.6333002375687367E-4</v>
      </c>
      <c r="X17" s="387">
        <v>0.5</v>
      </c>
      <c r="Y17" s="363">
        <f t="shared" si="11"/>
        <v>10</v>
      </c>
      <c r="Z17" s="535">
        <f t="shared" si="12"/>
        <v>4.9098651859036987E-4</v>
      </c>
      <c r="AA17" s="387">
        <v>2.1634000000000002</v>
      </c>
      <c r="AB17" s="363">
        <f t="shared" si="13"/>
        <v>43.268000000000008</v>
      </c>
      <c r="AC17" s="535">
        <f t="shared" si="14"/>
        <v>2.1244004686368128E-3</v>
      </c>
      <c r="AD17" s="387">
        <v>1.5666</v>
      </c>
      <c r="AE17" s="363">
        <f t="shared" si="15"/>
        <v>31.331999999999997</v>
      </c>
      <c r="AF17" s="535">
        <f t="shared" si="16"/>
        <v>1.5383589600473468E-3</v>
      </c>
      <c r="AG17" s="121">
        <f t="shared" si="17"/>
        <v>100.00000000000001</v>
      </c>
      <c r="AH17" s="533">
        <f t="shared" si="18"/>
        <v>4.9098651859036989E-3</v>
      </c>
      <c r="AI17" s="584">
        <f t="shared" si="19"/>
        <v>17</v>
      </c>
    </row>
    <row r="18" spans="1:35" s="584" customFormat="1" ht="15.75" customHeight="1">
      <c r="A18" s="128"/>
      <c r="B18" s="127">
        <v>3211120</v>
      </c>
      <c r="C18" s="118" t="str">
        <f>'9.Detil Phasing'!C19</f>
        <v>Telephones/Telegram/Teleprinter</v>
      </c>
      <c r="D18" s="519" t="s">
        <v>153</v>
      </c>
      <c r="E18" s="140">
        <v>5</v>
      </c>
      <c r="F18" s="543">
        <v>0</v>
      </c>
      <c r="G18" s="387">
        <v>5</v>
      </c>
      <c r="H18" s="535">
        <f t="shared" si="0"/>
        <v>4.9098651859036987E-5</v>
      </c>
      <c r="I18" s="387">
        <v>0.21</v>
      </c>
      <c r="J18" s="387">
        <f t="shared" si="1"/>
        <v>4.1999999999999993</v>
      </c>
      <c r="K18" s="535">
        <f t="shared" si="2"/>
        <v>2.062143378079553E-4</v>
      </c>
      <c r="L18" s="387">
        <v>0.24</v>
      </c>
      <c r="M18" s="387">
        <f t="shared" si="3"/>
        <v>4.8</v>
      </c>
      <c r="N18" s="535">
        <f t="shared" si="4"/>
        <v>2.3567352892337753E-4</v>
      </c>
      <c r="O18" s="387">
        <v>0.28999999999999998</v>
      </c>
      <c r="P18" s="363">
        <f t="shared" si="5"/>
        <v>5.8</v>
      </c>
      <c r="Q18" s="535">
        <f t="shared" si="6"/>
        <v>2.8477218078241451E-4</v>
      </c>
      <c r="R18" s="387">
        <v>0.15</v>
      </c>
      <c r="S18" s="363">
        <f t="shared" si="7"/>
        <v>3</v>
      </c>
      <c r="T18" s="535">
        <f t="shared" si="8"/>
        <v>1.4729595557711096E-4</v>
      </c>
      <c r="U18" s="387">
        <v>0.08</v>
      </c>
      <c r="V18" s="363">
        <f t="shared" si="9"/>
        <v>1.6</v>
      </c>
      <c r="W18" s="535">
        <f t="shared" si="10"/>
        <v>7.8557842974459185E-5</v>
      </c>
      <c r="X18" s="387">
        <v>0.2</v>
      </c>
      <c r="Y18" s="363">
        <f t="shared" si="11"/>
        <v>4</v>
      </c>
      <c r="Z18" s="535">
        <f t="shared" si="12"/>
        <v>1.9639460743614795E-4</v>
      </c>
      <c r="AA18" s="387">
        <v>2.3363</v>
      </c>
      <c r="AB18" s="363">
        <f t="shared" si="13"/>
        <v>46.725999999999999</v>
      </c>
      <c r="AC18" s="535">
        <f t="shared" si="14"/>
        <v>2.2941836067653623E-3</v>
      </c>
      <c r="AD18" s="387">
        <v>1.4937</v>
      </c>
      <c r="AE18" s="363">
        <f t="shared" si="15"/>
        <v>29.874000000000002</v>
      </c>
      <c r="AF18" s="535">
        <f t="shared" si="16"/>
        <v>1.4667731256368711E-3</v>
      </c>
      <c r="AG18" s="121">
        <f t="shared" si="17"/>
        <v>99.999999999999986</v>
      </c>
      <c r="AH18" s="533">
        <f t="shared" si="18"/>
        <v>4.7036508480957431E-3</v>
      </c>
      <c r="AI18" s="584">
        <f t="shared" si="19"/>
        <v>18</v>
      </c>
    </row>
    <row r="19" spans="1:35" s="584" customFormat="1" ht="15.75" customHeight="1">
      <c r="A19" s="128"/>
      <c r="B19" s="127">
        <v>3211117</v>
      </c>
      <c r="C19" s="118" t="str">
        <f>'9.Detil Phasing'!C20</f>
        <v>Telex/Fax/Internet</v>
      </c>
      <c r="D19" s="519" t="s">
        <v>153</v>
      </c>
      <c r="E19" s="140">
        <v>5</v>
      </c>
      <c r="F19" s="543">
        <v>0</v>
      </c>
      <c r="G19" s="387">
        <v>5</v>
      </c>
      <c r="H19" s="535">
        <f t="shared" si="0"/>
        <v>4.9098651859036987E-5</v>
      </c>
      <c r="I19" s="387">
        <v>0.249</v>
      </c>
      <c r="J19" s="387">
        <f t="shared" si="1"/>
        <v>4.9799999999999995</v>
      </c>
      <c r="K19" s="535">
        <f t="shared" si="2"/>
        <v>2.4451128625800416E-4</v>
      </c>
      <c r="L19" s="387">
        <v>1E-3</v>
      </c>
      <c r="M19" s="387">
        <f t="shared" si="3"/>
        <v>0.02</v>
      </c>
      <c r="N19" s="535">
        <f t="shared" si="4"/>
        <v>9.8197303718073968E-7</v>
      </c>
      <c r="O19" s="387">
        <v>0.09</v>
      </c>
      <c r="P19" s="363">
        <f t="shared" si="5"/>
        <v>1.7999999999999998</v>
      </c>
      <c r="Q19" s="535">
        <f t="shared" si="6"/>
        <v>8.8377573346266566E-5</v>
      </c>
      <c r="R19" s="387">
        <v>0.05</v>
      </c>
      <c r="S19" s="363">
        <f t="shared" si="7"/>
        <v>1</v>
      </c>
      <c r="T19" s="535">
        <f t="shared" si="8"/>
        <v>4.9098651859036987E-5</v>
      </c>
      <c r="U19" s="387">
        <v>0.05</v>
      </c>
      <c r="V19" s="363">
        <f t="shared" si="9"/>
        <v>1</v>
      </c>
      <c r="W19" s="535">
        <f t="shared" si="10"/>
        <v>4.9098651859036987E-5</v>
      </c>
      <c r="X19" s="387">
        <v>0.2</v>
      </c>
      <c r="Y19" s="363">
        <f t="shared" si="11"/>
        <v>4</v>
      </c>
      <c r="Z19" s="535">
        <f t="shared" si="12"/>
        <v>1.9639460743614795E-4</v>
      </c>
      <c r="AA19" s="387">
        <v>2.4416000000000002</v>
      </c>
      <c r="AB19" s="363">
        <f t="shared" si="13"/>
        <v>48.832000000000001</v>
      </c>
      <c r="AC19" s="535">
        <f t="shared" si="14"/>
        <v>2.3975853675804941E-3</v>
      </c>
      <c r="AD19" s="387">
        <v>1.9184000000000001</v>
      </c>
      <c r="AE19" s="363">
        <f t="shared" si="15"/>
        <v>38.368000000000002</v>
      </c>
      <c r="AF19" s="535">
        <f t="shared" si="16"/>
        <v>1.8838170745275312E-3</v>
      </c>
      <c r="AG19" s="121">
        <f t="shared" si="17"/>
        <v>100</v>
      </c>
      <c r="AH19" s="533">
        <f t="shared" si="18"/>
        <v>4.6653538996456944E-3</v>
      </c>
      <c r="AI19" s="584">
        <f t="shared" si="19"/>
        <v>19</v>
      </c>
    </row>
    <row r="20" spans="1:35" s="584" customFormat="1" ht="15.75" customHeight="1">
      <c r="A20" s="128"/>
      <c r="B20" s="127">
        <v>3221104</v>
      </c>
      <c r="C20" s="118" t="str">
        <f>'9.Detil Phasing'!C21</f>
        <v>Registration Fee (Vehicles)</v>
      </c>
      <c r="D20" s="519" t="s">
        <v>153</v>
      </c>
      <c r="E20" s="140">
        <v>20</v>
      </c>
      <c r="F20" s="543">
        <v>0</v>
      </c>
      <c r="G20" s="387">
        <v>20</v>
      </c>
      <c r="H20" s="535">
        <f t="shared" si="0"/>
        <v>1.9639460743614795E-4</v>
      </c>
      <c r="I20" s="387">
        <v>1.1000000000000001</v>
      </c>
      <c r="J20" s="387">
        <f t="shared" si="1"/>
        <v>5.5000000000000009</v>
      </c>
      <c r="K20" s="535">
        <f t="shared" si="2"/>
        <v>1.0801703408988138E-3</v>
      </c>
      <c r="L20" s="387">
        <v>8.3699999999999992</v>
      </c>
      <c r="M20" s="387">
        <f t="shared" si="3"/>
        <v>41.85</v>
      </c>
      <c r="N20" s="535">
        <f t="shared" si="4"/>
        <v>8.2191143212027914E-3</v>
      </c>
      <c r="O20" s="387">
        <v>0.08</v>
      </c>
      <c r="P20" s="363">
        <f t="shared" si="5"/>
        <v>0.4</v>
      </c>
      <c r="Q20" s="535">
        <f t="shared" si="6"/>
        <v>7.8557842974459185E-5</v>
      </c>
      <c r="R20" s="387">
        <v>0</v>
      </c>
      <c r="S20" s="363">
        <f t="shared" si="7"/>
        <v>0</v>
      </c>
      <c r="T20" s="535">
        <f t="shared" si="8"/>
        <v>0</v>
      </c>
      <c r="U20" s="387">
        <v>2.37</v>
      </c>
      <c r="V20" s="363">
        <f t="shared" si="9"/>
        <v>11.850000000000001</v>
      </c>
      <c r="W20" s="535">
        <f t="shared" si="10"/>
        <v>2.3272760981183534E-3</v>
      </c>
      <c r="X20" s="387">
        <v>1</v>
      </c>
      <c r="Y20" s="363">
        <f t="shared" si="11"/>
        <v>5</v>
      </c>
      <c r="Z20" s="535">
        <f t="shared" si="12"/>
        <v>9.8197303718073974E-4</v>
      </c>
      <c r="AA20" s="387">
        <v>4.4604000000000008</v>
      </c>
      <c r="AB20" s="363">
        <f t="shared" si="13"/>
        <v>22.302000000000007</v>
      </c>
      <c r="AC20" s="535">
        <f t="shared" si="14"/>
        <v>4.3799925350409726E-3</v>
      </c>
      <c r="AD20" s="387">
        <v>2.619600000000001</v>
      </c>
      <c r="AE20" s="363">
        <f t="shared" si="15"/>
        <v>13.098000000000004</v>
      </c>
      <c r="AF20" s="535">
        <f t="shared" si="16"/>
        <v>2.5723765681986669E-3</v>
      </c>
      <c r="AG20" s="121">
        <f t="shared" si="17"/>
        <v>100.00000000000001</v>
      </c>
      <c r="AH20" s="533">
        <f t="shared" si="18"/>
        <v>1.8559290402715981E-2</v>
      </c>
      <c r="AI20" s="584">
        <f t="shared" si="19"/>
        <v>20</v>
      </c>
    </row>
    <row r="21" spans="1:35" s="584" customFormat="1" ht="15.75" customHeight="1">
      <c r="A21" s="128"/>
      <c r="B21" s="127">
        <v>3211115</v>
      </c>
      <c r="C21" s="118" t="str">
        <f>'9.Detil Phasing'!C22</f>
        <v>Water</v>
      </c>
      <c r="D21" s="519" t="s">
        <v>153</v>
      </c>
      <c r="E21" s="140">
        <v>5</v>
      </c>
      <c r="F21" s="543">
        <v>0</v>
      </c>
      <c r="G21" s="387">
        <v>5</v>
      </c>
      <c r="H21" s="535">
        <f t="shared" si="0"/>
        <v>4.9098651859036987E-5</v>
      </c>
      <c r="I21" s="387">
        <v>0</v>
      </c>
      <c r="J21" s="387">
        <f t="shared" si="1"/>
        <v>0</v>
      </c>
      <c r="K21" s="535">
        <f t="shared" si="2"/>
        <v>0</v>
      </c>
      <c r="L21" s="387">
        <v>0.11</v>
      </c>
      <c r="M21" s="387">
        <f t="shared" si="3"/>
        <v>2.1999999999999997</v>
      </c>
      <c r="N21" s="535">
        <f t="shared" si="4"/>
        <v>1.0801703408988136E-4</v>
      </c>
      <c r="O21" s="387">
        <v>0.23</v>
      </c>
      <c r="P21" s="363">
        <f t="shared" si="5"/>
        <v>4.5999999999999996</v>
      </c>
      <c r="Q21" s="535">
        <f t="shared" si="6"/>
        <v>2.2585379855157012E-4</v>
      </c>
      <c r="R21" s="387">
        <v>0.37</v>
      </c>
      <c r="S21" s="363">
        <f t="shared" si="7"/>
        <v>7.3999999999999995</v>
      </c>
      <c r="T21" s="535">
        <f t="shared" si="8"/>
        <v>3.6333002375687367E-4</v>
      </c>
      <c r="U21" s="387">
        <v>0.4</v>
      </c>
      <c r="V21" s="363">
        <f t="shared" si="9"/>
        <v>8</v>
      </c>
      <c r="W21" s="535">
        <f t="shared" si="10"/>
        <v>3.927892148722959E-4</v>
      </c>
      <c r="X21" s="387">
        <v>0.45</v>
      </c>
      <c r="Y21" s="363">
        <f t="shared" si="11"/>
        <v>9</v>
      </c>
      <c r="Z21" s="535">
        <f t="shared" si="12"/>
        <v>4.4188786673133288E-4</v>
      </c>
      <c r="AA21" s="387">
        <v>2.0983999999999998</v>
      </c>
      <c r="AB21" s="363">
        <f t="shared" si="13"/>
        <v>41.967999999999996</v>
      </c>
      <c r="AC21" s="535">
        <f t="shared" si="14"/>
        <v>2.0605722212200641E-3</v>
      </c>
      <c r="AD21" s="387">
        <v>1.3415999999999999</v>
      </c>
      <c r="AE21" s="363">
        <f t="shared" si="15"/>
        <v>26.832000000000001</v>
      </c>
      <c r="AF21" s="535">
        <f t="shared" si="16"/>
        <v>1.3174150266816805E-3</v>
      </c>
      <c r="AG21" s="121">
        <f t="shared" si="17"/>
        <v>100</v>
      </c>
      <c r="AH21" s="533">
        <f t="shared" si="18"/>
        <v>4.9098651859036981E-3</v>
      </c>
      <c r="AI21" s="584">
        <f t="shared" si="19"/>
        <v>21</v>
      </c>
    </row>
    <row r="22" spans="1:35" s="584" customFormat="1" ht="15.75" customHeight="1">
      <c r="A22" s="128"/>
      <c r="B22" s="127">
        <v>3211113</v>
      </c>
      <c r="C22" s="118" t="str">
        <f>'9.Detil Phasing'!C23</f>
        <v>Electricity</v>
      </c>
      <c r="D22" s="519" t="s">
        <v>153</v>
      </c>
      <c r="E22" s="140">
        <v>20</v>
      </c>
      <c r="F22" s="543">
        <v>0</v>
      </c>
      <c r="G22" s="387">
        <v>20</v>
      </c>
      <c r="H22" s="535">
        <f t="shared" si="0"/>
        <v>1.9639460743614795E-4</v>
      </c>
      <c r="I22" s="387">
        <v>0.187</v>
      </c>
      <c r="J22" s="387">
        <f t="shared" si="1"/>
        <v>0.93500000000000005</v>
      </c>
      <c r="K22" s="535">
        <f t="shared" si="2"/>
        <v>1.8362895795279836E-4</v>
      </c>
      <c r="L22" s="387">
        <v>1.6830000000000001</v>
      </c>
      <c r="M22" s="387">
        <f t="shared" si="3"/>
        <v>8.4150000000000009</v>
      </c>
      <c r="N22" s="535">
        <f t="shared" si="4"/>
        <v>1.6526606215751852E-3</v>
      </c>
      <c r="O22" s="387">
        <v>1.78</v>
      </c>
      <c r="P22" s="363">
        <f t="shared" si="5"/>
        <v>8.9</v>
      </c>
      <c r="Q22" s="535">
        <f t="shared" si="6"/>
        <v>1.7479120061817167E-3</v>
      </c>
      <c r="R22" s="387">
        <v>2.31</v>
      </c>
      <c r="S22" s="363">
        <f t="shared" si="7"/>
        <v>11.55</v>
      </c>
      <c r="T22" s="535">
        <f t="shared" si="8"/>
        <v>2.2683577158875089E-3</v>
      </c>
      <c r="U22" s="387">
        <v>2.78</v>
      </c>
      <c r="V22" s="363">
        <f t="shared" si="9"/>
        <v>13.899999999999999</v>
      </c>
      <c r="W22" s="535">
        <f t="shared" si="10"/>
        <v>2.729885043362456E-3</v>
      </c>
      <c r="X22" s="387">
        <v>3.5</v>
      </c>
      <c r="Y22" s="363">
        <f t="shared" si="11"/>
        <v>17.5</v>
      </c>
      <c r="Z22" s="535">
        <f t="shared" si="12"/>
        <v>3.436905630132589E-3</v>
      </c>
      <c r="AA22" s="387">
        <v>4.2679999999999998</v>
      </c>
      <c r="AB22" s="363">
        <f t="shared" si="13"/>
        <v>21.339999999999996</v>
      </c>
      <c r="AC22" s="535">
        <f t="shared" si="14"/>
        <v>4.1910609226873969E-3</v>
      </c>
      <c r="AD22" s="387">
        <v>3.492</v>
      </c>
      <c r="AE22" s="363">
        <f t="shared" si="15"/>
        <v>17.46</v>
      </c>
      <c r="AF22" s="535">
        <f t="shared" si="16"/>
        <v>3.4290498458351432E-3</v>
      </c>
      <c r="AG22" s="121">
        <f t="shared" si="17"/>
        <v>100</v>
      </c>
      <c r="AH22" s="533">
        <f t="shared" si="18"/>
        <v>1.9455831785661994E-2</v>
      </c>
      <c r="AI22" s="584">
        <f t="shared" si="19"/>
        <v>22</v>
      </c>
    </row>
    <row r="23" spans="1:35" s="584" customFormat="1" ht="15.75" customHeight="1">
      <c r="A23" s="128"/>
      <c r="B23" s="127">
        <v>3243102</v>
      </c>
      <c r="C23" s="118" t="str">
        <f>'9.Detil Phasing'!C24</f>
        <v>Gas &amp; Fuel</v>
      </c>
      <c r="D23" s="519" t="s">
        <v>153</v>
      </c>
      <c r="E23" s="140">
        <v>100</v>
      </c>
      <c r="F23" s="543">
        <v>0</v>
      </c>
      <c r="G23" s="387">
        <v>100</v>
      </c>
      <c r="H23" s="535">
        <f t="shared" si="0"/>
        <v>9.8197303718073974E-4</v>
      </c>
      <c r="I23" s="387">
        <v>0.93799999999999994</v>
      </c>
      <c r="J23" s="387">
        <f t="shared" si="1"/>
        <v>0.93799999999999994</v>
      </c>
      <c r="K23" s="535">
        <f t="shared" si="2"/>
        <v>9.2109070887553385E-4</v>
      </c>
      <c r="L23" s="387">
        <v>3.6920000000000002</v>
      </c>
      <c r="M23" s="387">
        <f t="shared" si="3"/>
        <v>3.6920000000000002</v>
      </c>
      <c r="N23" s="535">
        <f t="shared" si="4"/>
        <v>3.6254444532712914E-3</v>
      </c>
      <c r="O23" s="387">
        <v>3</v>
      </c>
      <c r="P23" s="363">
        <f t="shared" si="5"/>
        <v>3</v>
      </c>
      <c r="Q23" s="535">
        <f t="shared" si="6"/>
        <v>2.945919111542219E-3</v>
      </c>
      <c r="R23" s="387">
        <v>4</v>
      </c>
      <c r="S23" s="363">
        <f t="shared" si="7"/>
        <v>4</v>
      </c>
      <c r="T23" s="535">
        <f t="shared" si="8"/>
        <v>3.927892148722959E-3</v>
      </c>
      <c r="U23" s="387">
        <v>5.89</v>
      </c>
      <c r="V23" s="363">
        <f t="shared" si="9"/>
        <v>5.89</v>
      </c>
      <c r="W23" s="535">
        <f t="shared" si="10"/>
        <v>5.7838211889945567E-3</v>
      </c>
      <c r="X23" s="387">
        <v>6</v>
      </c>
      <c r="Y23" s="363">
        <f t="shared" si="11"/>
        <v>6</v>
      </c>
      <c r="Z23" s="535">
        <f t="shared" si="12"/>
        <v>5.891838223084438E-3</v>
      </c>
      <c r="AA23" s="387">
        <v>46.652799999999999</v>
      </c>
      <c r="AB23" s="363">
        <f t="shared" si="13"/>
        <v>46.652799999999999</v>
      </c>
      <c r="AC23" s="535">
        <f t="shared" si="14"/>
        <v>4.5811791708985611E-2</v>
      </c>
      <c r="AD23" s="387">
        <v>29.827200000000001</v>
      </c>
      <c r="AE23" s="363">
        <f t="shared" si="15"/>
        <v>29.827200000000005</v>
      </c>
      <c r="AF23" s="535">
        <f t="shared" si="16"/>
        <v>2.9289506174597364E-2</v>
      </c>
      <c r="AG23" s="121">
        <f t="shared" si="17"/>
        <v>100.00000000000001</v>
      </c>
      <c r="AH23" s="533">
        <f t="shared" si="18"/>
        <v>9.7276213009198448E-2</v>
      </c>
      <c r="AI23" s="584">
        <f t="shared" si="19"/>
        <v>23</v>
      </c>
    </row>
    <row r="24" spans="1:35" s="584" customFormat="1" ht="17.25" customHeight="1">
      <c r="A24" s="128"/>
      <c r="B24" s="127">
        <v>3243101</v>
      </c>
      <c r="C24" s="118" t="str">
        <f>'9.Detil Phasing'!C25</f>
        <v>Petrol and Lubricant</v>
      </c>
      <c r="D24" s="519" t="s">
        <v>153</v>
      </c>
      <c r="E24" s="140">
        <v>200</v>
      </c>
      <c r="F24" s="543">
        <v>0</v>
      </c>
      <c r="G24" s="387">
        <v>200</v>
      </c>
      <c r="H24" s="535">
        <f t="shared" si="0"/>
        <v>1.9639460743614795E-3</v>
      </c>
      <c r="I24" s="387">
        <v>0.625</v>
      </c>
      <c r="J24" s="387">
        <f t="shared" si="1"/>
        <v>0.3125</v>
      </c>
      <c r="K24" s="535">
        <f t="shared" si="2"/>
        <v>6.1373314823796237E-4</v>
      </c>
      <c r="L24" s="387">
        <v>6.9950000000000001</v>
      </c>
      <c r="M24" s="387">
        <f t="shared" si="3"/>
        <v>3.4975000000000001</v>
      </c>
      <c r="N24" s="535">
        <f t="shared" si="4"/>
        <v>6.868901395079275E-3</v>
      </c>
      <c r="O24" s="387">
        <v>18.97</v>
      </c>
      <c r="P24" s="363">
        <f t="shared" si="5"/>
        <v>9.4849999999999994</v>
      </c>
      <c r="Q24" s="535">
        <f t="shared" si="6"/>
        <v>1.8628028515318633E-2</v>
      </c>
      <c r="R24" s="387">
        <v>18</v>
      </c>
      <c r="S24" s="363">
        <f t="shared" si="7"/>
        <v>9</v>
      </c>
      <c r="T24" s="535">
        <f t="shared" si="8"/>
        <v>1.7675514669253316E-2</v>
      </c>
      <c r="U24" s="387">
        <v>20</v>
      </c>
      <c r="V24" s="363">
        <f t="shared" si="9"/>
        <v>10</v>
      </c>
      <c r="W24" s="535">
        <f t="shared" si="10"/>
        <v>1.9639460743614796E-2</v>
      </c>
      <c r="X24" s="387">
        <v>20</v>
      </c>
      <c r="Y24" s="363">
        <f t="shared" si="11"/>
        <v>10</v>
      </c>
      <c r="Z24" s="535">
        <f t="shared" si="12"/>
        <v>1.9639460743614796E-2</v>
      </c>
      <c r="AA24" s="387">
        <v>65.783699999999996</v>
      </c>
      <c r="AB24" s="363">
        <f t="shared" si="13"/>
        <v>32.891849999999998</v>
      </c>
      <c r="AC24" s="535">
        <f t="shared" si="14"/>
        <v>6.4597819685986629E-2</v>
      </c>
      <c r="AD24" s="387">
        <v>49.626300000000001</v>
      </c>
      <c r="AE24" s="363">
        <f t="shared" si="15"/>
        <v>24.81315</v>
      </c>
      <c r="AF24" s="535">
        <f t="shared" si="16"/>
        <v>4.8731688535042547E-2</v>
      </c>
      <c r="AG24" s="121">
        <f t="shared" si="17"/>
        <v>100</v>
      </c>
      <c r="AH24" s="533">
        <f t="shared" si="18"/>
        <v>0.19578087428790997</v>
      </c>
      <c r="AI24" s="584">
        <f t="shared" si="19"/>
        <v>24</v>
      </c>
    </row>
    <row r="25" spans="1:35" s="584" customFormat="1" ht="18.75" customHeight="1">
      <c r="A25" s="128"/>
      <c r="B25" s="127">
        <v>3221108</v>
      </c>
      <c r="C25" s="118" t="str">
        <f>'9.Detil Phasing'!C26</f>
        <v>Insurance/Bank Charges (including Vehicles)</v>
      </c>
      <c r="D25" s="519" t="s">
        <v>153</v>
      </c>
      <c r="E25" s="140">
        <v>3</v>
      </c>
      <c r="F25" s="543">
        <v>0</v>
      </c>
      <c r="G25" s="387">
        <v>3</v>
      </c>
      <c r="H25" s="535">
        <f t="shared" si="0"/>
        <v>2.9459191115422194E-5</v>
      </c>
      <c r="I25" s="387">
        <v>8.1000000000000003E-2</v>
      </c>
      <c r="J25" s="387">
        <f t="shared" si="1"/>
        <v>2.7</v>
      </c>
      <c r="K25" s="535">
        <f t="shared" si="2"/>
        <v>7.9539816011639931E-5</v>
      </c>
      <c r="L25" s="387">
        <v>0.749</v>
      </c>
      <c r="M25" s="387">
        <f t="shared" si="3"/>
        <v>24.966666666666669</v>
      </c>
      <c r="N25" s="535">
        <f t="shared" si="4"/>
        <v>7.3549780484837414E-4</v>
      </c>
      <c r="O25" s="387">
        <v>0.01</v>
      </c>
      <c r="P25" s="363">
        <f t="shared" si="5"/>
        <v>0.33333333333333337</v>
      </c>
      <c r="Q25" s="535">
        <f t="shared" si="6"/>
        <v>9.8197303718073998E-6</v>
      </c>
      <c r="R25" s="387">
        <v>0.22</v>
      </c>
      <c r="S25" s="363">
        <f t="shared" si="7"/>
        <v>7.333333333333333</v>
      </c>
      <c r="T25" s="535">
        <f t="shared" si="8"/>
        <v>2.1603406817976274E-4</v>
      </c>
      <c r="U25" s="387">
        <v>0.1</v>
      </c>
      <c r="V25" s="363">
        <f t="shared" si="9"/>
        <v>3.3333333333333335</v>
      </c>
      <c r="W25" s="535">
        <f t="shared" si="10"/>
        <v>9.8197303718073988E-5</v>
      </c>
      <c r="X25" s="387">
        <v>0.15</v>
      </c>
      <c r="Y25" s="363">
        <f t="shared" si="11"/>
        <v>5</v>
      </c>
      <c r="Z25" s="535">
        <f t="shared" si="12"/>
        <v>1.4729595557711096E-4</v>
      </c>
      <c r="AA25" s="387">
        <v>0.92949999999999999</v>
      </c>
      <c r="AB25" s="363">
        <f t="shared" si="13"/>
        <v>30.983333333333334</v>
      </c>
      <c r="AC25" s="535">
        <f t="shared" si="14"/>
        <v>9.1274393805949763E-4</v>
      </c>
      <c r="AD25" s="387">
        <v>0.76049999999999995</v>
      </c>
      <c r="AE25" s="363">
        <f t="shared" si="15"/>
        <v>25.35</v>
      </c>
      <c r="AF25" s="535">
        <f t="shared" si="16"/>
        <v>7.4679049477595263E-4</v>
      </c>
      <c r="AG25" s="121">
        <f t="shared" si="17"/>
        <v>100</v>
      </c>
      <c r="AH25" s="533">
        <f t="shared" si="18"/>
        <v>2.8663792955305797E-3</v>
      </c>
      <c r="AI25" s="584">
        <f t="shared" si="19"/>
        <v>25</v>
      </c>
    </row>
    <row r="26" spans="1:35" s="584" customFormat="1" ht="17.25" customHeight="1">
      <c r="A26" s="128"/>
      <c r="B26" s="127">
        <v>3255102</v>
      </c>
      <c r="C26" s="118" t="str">
        <f>'9.Detil Phasing'!C27</f>
        <v>Printing &amp; Binding</v>
      </c>
      <c r="D26" s="519" t="s">
        <v>153</v>
      </c>
      <c r="E26" s="140">
        <v>50</v>
      </c>
      <c r="F26" s="543">
        <v>0</v>
      </c>
      <c r="G26" s="387">
        <v>50</v>
      </c>
      <c r="H26" s="535">
        <f t="shared" si="0"/>
        <v>4.9098651859036987E-4</v>
      </c>
      <c r="I26" s="387">
        <v>0.19600000000000001</v>
      </c>
      <c r="J26" s="387">
        <f t="shared" si="1"/>
        <v>0.39200000000000002</v>
      </c>
      <c r="K26" s="535">
        <f t="shared" si="2"/>
        <v>1.9246671528742499E-4</v>
      </c>
      <c r="L26" s="387">
        <v>6.9939999999999998</v>
      </c>
      <c r="M26" s="387">
        <f t="shared" si="3"/>
        <v>13.988</v>
      </c>
      <c r="N26" s="535">
        <f t="shared" si="4"/>
        <v>6.8679194220420932E-3</v>
      </c>
      <c r="O26" s="387">
        <v>16.989999999999998</v>
      </c>
      <c r="P26" s="363">
        <f t="shared" si="5"/>
        <v>33.979999999999997</v>
      </c>
      <c r="Q26" s="535">
        <f t="shared" si="6"/>
        <v>1.6683721901700768E-2</v>
      </c>
      <c r="R26" s="387">
        <v>6</v>
      </c>
      <c r="S26" s="363">
        <f t="shared" si="7"/>
        <v>12</v>
      </c>
      <c r="T26" s="535">
        <f t="shared" si="8"/>
        <v>5.891838223084438E-3</v>
      </c>
      <c r="U26" s="387">
        <v>3.98</v>
      </c>
      <c r="V26" s="363">
        <f t="shared" si="9"/>
        <v>7.9600000000000009</v>
      </c>
      <c r="W26" s="535">
        <f t="shared" si="10"/>
        <v>3.9082526879793446E-3</v>
      </c>
      <c r="X26" s="387">
        <v>0.5</v>
      </c>
      <c r="Y26" s="363">
        <f t="shared" si="11"/>
        <v>1</v>
      </c>
      <c r="Z26" s="535">
        <f t="shared" si="12"/>
        <v>4.9098651859036987E-4</v>
      </c>
      <c r="AA26" s="387">
        <v>9.3574000000000019</v>
      </c>
      <c r="AB26" s="363">
        <f t="shared" si="13"/>
        <v>18.714800000000004</v>
      </c>
      <c r="AC26" s="535">
        <f t="shared" si="14"/>
        <v>9.1887144981150568E-3</v>
      </c>
      <c r="AD26" s="387">
        <v>5.9826000000000006</v>
      </c>
      <c r="AE26" s="363">
        <f t="shared" si="15"/>
        <v>11.965200000000001</v>
      </c>
      <c r="AF26" s="535">
        <f t="shared" si="16"/>
        <v>5.8747518922374941E-3</v>
      </c>
      <c r="AG26" s="121">
        <f t="shared" si="17"/>
        <v>100</v>
      </c>
      <c r="AH26" s="533">
        <f t="shared" si="18"/>
        <v>4.8906185143749566E-2</v>
      </c>
      <c r="AI26" s="584">
        <f t="shared" si="19"/>
        <v>26</v>
      </c>
    </row>
    <row r="27" spans="1:35" s="584" customFormat="1" ht="18" customHeight="1">
      <c r="A27" s="128"/>
      <c r="B27" s="127">
        <v>3255104</v>
      </c>
      <c r="C27" s="118" t="str">
        <f>'9.Detil Phasing'!C28</f>
        <v>Stationery, Seals &amp; Stamps</v>
      </c>
      <c r="D27" s="519" t="s">
        <v>153</v>
      </c>
      <c r="E27" s="140">
        <v>120</v>
      </c>
      <c r="F27" s="543">
        <v>0</v>
      </c>
      <c r="G27" s="387">
        <v>120</v>
      </c>
      <c r="H27" s="535">
        <f t="shared" si="0"/>
        <v>1.1783676446168877E-3</v>
      </c>
      <c r="I27" s="387">
        <v>0.96799999999999997</v>
      </c>
      <c r="J27" s="387">
        <f t="shared" si="1"/>
        <v>0.80666666666666664</v>
      </c>
      <c r="K27" s="535">
        <f t="shared" si="2"/>
        <v>9.5054989999095608E-4</v>
      </c>
      <c r="L27" s="387">
        <v>6.9720000000000004</v>
      </c>
      <c r="M27" s="387">
        <f t="shared" si="3"/>
        <v>5.8100000000000005</v>
      </c>
      <c r="N27" s="535">
        <f t="shared" si="4"/>
        <v>6.8463160152241178E-3</v>
      </c>
      <c r="O27" s="387">
        <v>11.2</v>
      </c>
      <c r="P27" s="363">
        <f t="shared" si="5"/>
        <v>9.3333333333333321</v>
      </c>
      <c r="Q27" s="535">
        <f t="shared" si="6"/>
        <v>1.0998098016424283E-2</v>
      </c>
      <c r="R27" s="387">
        <v>12.79</v>
      </c>
      <c r="S27" s="363">
        <f t="shared" si="7"/>
        <v>10.658333333333331</v>
      </c>
      <c r="T27" s="535">
        <f t="shared" si="8"/>
        <v>1.2559435145541659E-2</v>
      </c>
      <c r="U27" s="387">
        <v>17.98</v>
      </c>
      <c r="V27" s="363">
        <f t="shared" si="9"/>
        <v>14.983333333333334</v>
      </c>
      <c r="W27" s="535">
        <f t="shared" si="10"/>
        <v>1.7655875208509701E-2</v>
      </c>
      <c r="X27" s="387">
        <v>20</v>
      </c>
      <c r="Y27" s="363">
        <f t="shared" si="11"/>
        <v>16.666666666666664</v>
      </c>
      <c r="Z27" s="535">
        <f t="shared" si="12"/>
        <v>1.9639460743614792E-2</v>
      </c>
      <c r="AA27" s="387">
        <v>31.556699999999999</v>
      </c>
      <c r="AB27" s="363">
        <f t="shared" si="13"/>
        <v>26.297249999999998</v>
      </c>
      <c r="AC27" s="535">
        <f t="shared" si="14"/>
        <v>3.0987828542401449E-2</v>
      </c>
      <c r="AD27" s="387">
        <v>18.533300000000001</v>
      </c>
      <c r="AE27" s="363">
        <f t="shared" si="15"/>
        <v>15.444416666666665</v>
      </c>
      <c r="AF27" s="535">
        <f t="shared" si="16"/>
        <v>1.8199200889981802E-2</v>
      </c>
      <c r="AG27" s="121">
        <f t="shared" si="17"/>
        <v>99.999999999999986</v>
      </c>
      <c r="AH27" s="533">
        <f t="shared" si="18"/>
        <v>0.11688621456169782</v>
      </c>
      <c r="AI27" s="584">
        <f t="shared" si="19"/>
        <v>27</v>
      </c>
    </row>
    <row r="28" spans="1:35" s="584" customFormat="1" ht="18" customHeight="1">
      <c r="A28" s="128"/>
      <c r="B28" s="127">
        <v>3211127</v>
      </c>
      <c r="C28" s="118" t="str">
        <f>'9.Detil Phasing'!C29</f>
        <v>Books &amp; Periodicals</v>
      </c>
      <c r="D28" s="519" t="s">
        <v>153</v>
      </c>
      <c r="E28" s="140">
        <v>2</v>
      </c>
      <c r="F28" s="543">
        <v>0</v>
      </c>
      <c r="G28" s="387">
        <v>2</v>
      </c>
      <c r="H28" s="535">
        <f t="shared" si="0"/>
        <v>1.9639460743614796E-5</v>
      </c>
      <c r="I28" s="387">
        <v>0</v>
      </c>
      <c r="J28" s="387">
        <f t="shared" si="1"/>
        <v>0</v>
      </c>
      <c r="K28" s="535">
        <f t="shared" si="2"/>
        <v>0</v>
      </c>
      <c r="L28" s="387">
        <v>0.1</v>
      </c>
      <c r="M28" s="387">
        <f t="shared" si="3"/>
        <v>5</v>
      </c>
      <c r="N28" s="535">
        <f t="shared" si="4"/>
        <v>9.8197303718073974E-5</v>
      </c>
      <c r="O28" s="387">
        <v>0.03</v>
      </c>
      <c r="P28" s="363">
        <f t="shared" si="5"/>
        <v>1.5</v>
      </c>
      <c r="Q28" s="535">
        <f t="shared" si="6"/>
        <v>2.9459191115422194E-5</v>
      </c>
      <c r="R28" s="387">
        <v>0.05</v>
      </c>
      <c r="S28" s="363">
        <f t="shared" si="7"/>
        <v>2.5</v>
      </c>
      <c r="T28" s="535">
        <f t="shared" si="8"/>
        <v>4.9098651859036987E-5</v>
      </c>
      <c r="U28" s="387">
        <v>0.1</v>
      </c>
      <c r="V28" s="363">
        <f t="shared" si="9"/>
        <v>5</v>
      </c>
      <c r="W28" s="535">
        <f t="shared" si="10"/>
        <v>9.8197303718073974E-5</v>
      </c>
      <c r="X28" s="387">
        <v>0.2</v>
      </c>
      <c r="Y28" s="363">
        <f t="shared" si="11"/>
        <v>10</v>
      </c>
      <c r="Z28" s="535">
        <f t="shared" si="12"/>
        <v>1.9639460743614795E-4</v>
      </c>
      <c r="AA28" s="387">
        <v>0.88159999999999994</v>
      </c>
      <c r="AB28" s="363">
        <f t="shared" si="13"/>
        <v>44.08</v>
      </c>
      <c r="AC28" s="535">
        <f t="shared" si="14"/>
        <v>8.6570742957854023E-4</v>
      </c>
      <c r="AD28" s="387">
        <v>0.63839999999999997</v>
      </c>
      <c r="AE28" s="363">
        <f t="shared" si="15"/>
        <v>31.919999999999998</v>
      </c>
      <c r="AF28" s="535">
        <f t="shared" si="16"/>
        <v>6.2689158693618431E-4</v>
      </c>
      <c r="AG28" s="121">
        <f t="shared" si="17"/>
        <v>100</v>
      </c>
      <c r="AH28" s="533">
        <f t="shared" si="18"/>
        <v>1.9639460743614795E-3</v>
      </c>
      <c r="AI28" s="584">
        <f t="shared" si="19"/>
        <v>28</v>
      </c>
    </row>
    <row r="29" spans="1:35" s="584" customFormat="1" ht="15" customHeight="1">
      <c r="A29" s="128"/>
      <c r="B29" s="548"/>
      <c r="C29" s="131" t="str">
        <f>'9.Detil Phasing'!C30</f>
        <v>Training Expenditure</v>
      </c>
      <c r="D29" s="519"/>
      <c r="E29" s="140"/>
      <c r="F29" s="462"/>
      <c r="G29" s="387"/>
      <c r="H29" s="535"/>
      <c r="I29" s="387"/>
      <c r="J29" s="387"/>
      <c r="K29" s="535"/>
      <c r="L29" s="387"/>
      <c r="M29" s="387"/>
      <c r="N29" s="535"/>
      <c r="O29" s="387"/>
      <c r="P29" s="363"/>
      <c r="Q29" s="535"/>
      <c r="R29" s="387"/>
      <c r="S29" s="363"/>
      <c r="T29" s="535"/>
      <c r="U29" s="387"/>
      <c r="V29" s="363"/>
      <c r="W29" s="535"/>
      <c r="X29" s="387"/>
      <c r="Y29" s="363"/>
      <c r="Z29" s="535"/>
      <c r="AA29" s="387"/>
      <c r="AB29" s="363"/>
      <c r="AC29" s="535"/>
      <c r="AD29" s="387"/>
      <c r="AE29" s="363"/>
      <c r="AF29" s="535"/>
      <c r="AG29" s="121"/>
    </row>
    <row r="30" spans="1:35" s="584" customFormat="1" ht="14.25" customHeight="1">
      <c r="A30" s="128"/>
      <c r="B30" s="549">
        <v>3231201</v>
      </c>
      <c r="C30" s="498" t="s">
        <v>46</v>
      </c>
      <c r="D30" s="519" t="s">
        <v>153</v>
      </c>
      <c r="E30" s="140">
        <v>238.54</v>
      </c>
      <c r="F30" s="543">
        <v>0</v>
      </c>
      <c r="G30" s="387">
        <v>238.54</v>
      </c>
      <c r="H30" s="535">
        <f t="shared" ref="H30:H42" si="20">G30/G$100</f>
        <v>2.3423984828909367E-3</v>
      </c>
      <c r="I30" s="387">
        <v>0</v>
      </c>
      <c r="J30" s="387">
        <f t="shared" ref="J30:J42" si="21">I30/G30*100</f>
        <v>0</v>
      </c>
      <c r="K30" s="535">
        <f t="shared" ref="K30:K42" si="22">J30*$H30</f>
        <v>0</v>
      </c>
      <c r="L30" s="387">
        <v>0</v>
      </c>
      <c r="M30" s="387">
        <f t="shared" ref="M30:M42" si="23">L30/G30*100</f>
        <v>0</v>
      </c>
      <c r="N30" s="535">
        <f t="shared" ref="N30:N42" si="24">M30*$H30</f>
        <v>0</v>
      </c>
      <c r="O30" s="387">
        <v>0</v>
      </c>
      <c r="P30" s="363">
        <f t="shared" ref="P30:P42" si="25">O30/G30*100</f>
        <v>0</v>
      </c>
      <c r="Q30" s="535">
        <f t="shared" ref="Q30:Q42" si="26">P30*$H30</f>
        <v>0</v>
      </c>
      <c r="R30" s="387">
        <v>0</v>
      </c>
      <c r="S30" s="363">
        <f t="shared" ref="S30:S42" si="27">R30/G30*100</f>
        <v>0</v>
      </c>
      <c r="T30" s="535">
        <f t="shared" ref="T30:T42" si="28">S30*$H30</f>
        <v>0</v>
      </c>
      <c r="U30" s="387">
        <v>0</v>
      </c>
      <c r="V30" s="363">
        <f t="shared" ref="V30:V42" si="29">U30/G30*100</f>
        <v>0</v>
      </c>
      <c r="W30" s="535">
        <f t="shared" ref="W30:W42" si="30">V30*$H30</f>
        <v>0</v>
      </c>
      <c r="X30" s="387">
        <v>0</v>
      </c>
      <c r="Y30" s="363">
        <f t="shared" ref="Y30:Y42" si="31">X30/G30*100</f>
        <v>0</v>
      </c>
      <c r="Z30" s="535">
        <f t="shared" ref="Z30:Z42" si="32">Y30*$H30</f>
        <v>0</v>
      </c>
      <c r="AA30" s="387">
        <v>138.35319999999999</v>
      </c>
      <c r="AB30" s="363">
        <f t="shared" ref="AB30:AB42" si="33">AA30/G30*100</f>
        <v>57.999999999999993</v>
      </c>
      <c r="AC30" s="535">
        <f t="shared" ref="AC30:AC42" si="34">AB30*$H30</f>
        <v>0.13585911200767431</v>
      </c>
      <c r="AD30" s="387">
        <v>100.18680000000001</v>
      </c>
      <c r="AE30" s="363">
        <f t="shared" ref="AE30:AE42" si="35">AD30/G30*100</f>
        <v>42.000000000000007</v>
      </c>
      <c r="AF30" s="535">
        <f t="shared" ref="AF30:AF42" si="36">AE30*$H30</f>
        <v>9.8380736281419356E-2</v>
      </c>
      <c r="AG30" s="121">
        <f t="shared" ref="AG30:AG42" si="37">SUM(AE30+AB30+Y30+V30+S30+P30+M30+J30)</f>
        <v>100</v>
      </c>
      <c r="AH30" s="533">
        <f t="shared" ref="AH30:AH42" si="38">N30+Q30+T30+W30+Z30+AC30+AF30</f>
        <v>0.23423984828909367</v>
      </c>
      <c r="AI30" s="584">
        <f t="shared" ref="AI30:AI42" si="39">ROW(AH30)</f>
        <v>30</v>
      </c>
    </row>
    <row r="31" spans="1:35" s="584" customFormat="1" ht="16.5" customHeight="1">
      <c r="A31" s="128"/>
      <c r="B31" s="549">
        <v>3231201</v>
      </c>
      <c r="C31" s="118" t="str">
        <f>'9.Detil Phasing'!C32</f>
        <v>Local Training for (a) O&amp;M manual (For BWDB Officials) and (b) Water Management Organization (WMO)</v>
      </c>
      <c r="D31" s="300"/>
      <c r="E31" s="140">
        <v>536.58000000000004</v>
      </c>
      <c r="F31" s="543">
        <v>0</v>
      </c>
      <c r="G31" s="387">
        <v>536.58000000000004</v>
      </c>
      <c r="H31" s="535">
        <f t="shared" si="20"/>
        <v>5.2690709229044142E-3</v>
      </c>
      <c r="I31" s="387">
        <v>0</v>
      </c>
      <c r="J31" s="387">
        <f t="shared" si="21"/>
        <v>0</v>
      </c>
      <c r="K31" s="535">
        <f t="shared" si="22"/>
        <v>0</v>
      </c>
      <c r="L31" s="387">
        <v>9.2200000000000006</v>
      </c>
      <c r="M31" s="387">
        <f t="shared" si="23"/>
        <v>1.7182899101718292</v>
      </c>
      <c r="N31" s="535">
        <f t="shared" si="24"/>
        <v>9.0537914028064222E-3</v>
      </c>
      <c r="O31" s="387">
        <v>29.86</v>
      </c>
      <c r="P31" s="363">
        <f t="shared" si="25"/>
        <v>5.5648738305564871</v>
      </c>
      <c r="Q31" s="535">
        <f t="shared" si="26"/>
        <v>2.9321714890216892E-2</v>
      </c>
      <c r="R31" s="387">
        <v>86.55</v>
      </c>
      <c r="S31" s="363">
        <f t="shared" si="27"/>
        <v>16.12993402661299</v>
      </c>
      <c r="T31" s="535">
        <f t="shared" si="28"/>
        <v>8.4989766367993019E-2</v>
      </c>
      <c r="U31" s="387">
        <v>175.87</v>
      </c>
      <c r="V31" s="363">
        <f t="shared" si="29"/>
        <v>32.776100488277606</v>
      </c>
      <c r="W31" s="535">
        <f t="shared" si="30"/>
        <v>0.17269959804897672</v>
      </c>
      <c r="X31" s="387">
        <v>196.17</v>
      </c>
      <c r="Y31" s="363">
        <f t="shared" si="31"/>
        <v>36.559320138655927</v>
      </c>
      <c r="Z31" s="535">
        <f t="shared" si="32"/>
        <v>0.19263365070374572</v>
      </c>
      <c r="AA31" s="387">
        <v>23.34600000000005</v>
      </c>
      <c r="AB31" s="363">
        <f t="shared" si="33"/>
        <v>4.3508889634350973</v>
      </c>
      <c r="AC31" s="535">
        <f t="shared" si="34"/>
        <v>2.2925142526021597E-2</v>
      </c>
      <c r="AD31" s="387">
        <v>15.56400000000003</v>
      </c>
      <c r="AE31" s="363">
        <f t="shared" si="35"/>
        <v>2.9005926422900647</v>
      </c>
      <c r="AF31" s="535">
        <f t="shared" si="36"/>
        <v>1.5283428350681064E-2</v>
      </c>
      <c r="AG31" s="121">
        <f t="shared" si="37"/>
        <v>100.00000000000001</v>
      </c>
      <c r="AH31" s="533">
        <f t="shared" si="38"/>
        <v>0.52690709229044141</v>
      </c>
      <c r="AI31" s="584">
        <f t="shared" si="39"/>
        <v>31</v>
      </c>
    </row>
    <row r="32" spans="1:35" s="584" customFormat="1" ht="24" customHeight="1">
      <c r="A32" s="128"/>
      <c r="B32" s="549">
        <v>3231201</v>
      </c>
      <c r="C32" s="132" t="str">
        <f>'9.Detil Phasing'!C33</f>
        <v>Agriculture Promotion Support Sub-project (APSS) : Field Programme, Farmer Training Programme, Field Staff Empowerment Programme, Farm Machinery &amp; Facility Support and Technology Development Programme etc.</v>
      </c>
      <c r="D32" s="300"/>
      <c r="E32" s="140">
        <v>3139.8</v>
      </c>
      <c r="F32" s="543">
        <v>0</v>
      </c>
      <c r="G32" s="387">
        <v>3139.8</v>
      </c>
      <c r="H32" s="535">
        <f t="shared" si="20"/>
        <v>3.083198942140087E-2</v>
      </c>
      <c r="I32" s="387">
        <v>0</v>
      </c>
      <c r="J32" s="387">
        <f t="shared" si="21"/>
        <v>0</v>
      </c>
      <c r="K32" s="535">
        <f t="shared" si="22"/>
        <v>0</v>
      </c>
      <c r="L32" s="387">
        <v>0</v>
      </c>
      <c r="M32" s="387">
        <f t="shared" si="23"/>
        <v>0</v>
      </c>
      <c r="N32" s="535">
        <f t="shared" si="24"/>
        <v>0</v>
      </c>
      <c r="O32" s="387">
        <v>199.49</v>
      </c>
      <c r="P32" s="363">
        <f t="shared" si="25"/>
        <v>6.3535894005987634</v>
      </c>
      <c r="Q32" s="535">
        <f t="shared" si="26"/>
        <v>0.19589380118718577</v>
      </c>
      <c r="R32" s="387">
        <v>524.89</v>
      </c>
      <c r="S32" s="363">
        <f t="shared" si="27"/>
        <v>16.717306834830243</v>
      </c>
      <c r="T32" s="535">
        <f t="shared" si="28"/>
        <v>0.51542782748579852</v>
      </c>
      <c r="U32" s="387">
        <v>622.25</v>
      </c>
      <c r="V32" s="363">
        <f t="shared" si="29"/>
        <v>19.818141282884259</v>
      </c>
      <c r="W32" s="535">
        <f t="shared" si="30"/>
        <v>0.61103272238571538</v>
      </c>
      <c r="X32" s="387">
        <v>677.14</v>
      </c>
      <c r="Y32" s="363">
        <f t="shared" si="31"/>
        <v>21.56634180521052</v>
      </c>
      <c r="Z32" s="535">
        <f t="shared" si="32"/>
        <v>0.66493322239656605</v>
      </c>
      <c r="AA32" s="387">
        <v>703.09890000000019</v>
      </c>
      <c r="AB32" s="363">
        <f t="shared" si="33"/>
        <v>22.393111026180016</v>
      </c>
      <c r="AC32" s="535">
        <f t="shared" si="34"/>
        <v>0.69042416227143744</v>
      </c>
      <c r="AD32" s="387">
        <v>412.93110000000007</v>
      </c>
      <c r="AE32" s="363">
        <f t="shared" si="35"/>
        <v>13.151509650296198</v>
      </c>
      <c r="AF32" s="535">
        <f t="shared" si="36"/>
        <v>0.40548720641338382</v>
      </c>
      <c r="AG32" s="121">
        <f t="shared" si="37"/>
        <v>100</v>
      </c>
      <c r="AH32" s="533">
        <f t="shared" si="38"/>
        <v>3.0831989421400867</v>
      </c>
      <c r="AI32" s="584">
        <f t="shared" si="39"/>
        <v>32</v>
      </c>
    </row>
    <row r="33" spans="1:35" s="584" customFormat="1" ht="37.5" customHeight="1">
      <c r="A33" s="128"/>
      <c r="B33" s="549">
        <v>3231201</v>
      </c>
      <c r="C33" s="132" t="str">
        <f>'9.Detil Phasing'!C34</f>
        <v>Small Scale Income Generation Sub-project (SIGS):  Floating Bed Vegetable Culture Scheme, Small-scale Vegetable Production Support Scheme, Fruit Production Support Scheme, Micro Poultry Raising Scheme and Small-scale Mushroom Culture Scheme etc.</v>
      </c>
      <c r="D33" s="300"/>
      <c r="E33" s="140">
        <v>1321.68</v>
      </c>
      <c r="F33" s="543">
        <v>0</v>
      </c>
      <c r="G33" s="387">
        <v>1321.68</v>
      </c>
      <c r="H33" s="535">
        <f t="shared" si="20"/>
        <v>1.2978541237810401E-2</v>
      </c>
      <c r="I33" s="387">
        <v>0</v>
      </c>
      <c r="J33" s="387">
        <f t="shared" si="21"/>
        <v>0</v>
      </c>
      <c r="K33" s="535">
        <f t="shared" si="22"/>
        <v>0</v>
      </c>
      <c r="L33" s="387">
        <v>0</v>
      </c>
      <c r="M33" s="387">
        <f t="shared" si="23"/>
        <v>0</v>
      </c>
      <c r="N33" s="535">
        <f t="shared" si="24"/>
        <v>0</v>
      </c>
      <c r="O33" s="387">
        <v>119.7</v>
      </c>
      <c r="P33" s="363">
        <f t="shared" si="25"/>
        <v>9.0566551661521686</v>
      </c>
      <c r="Q33" s="535">
        <f t="shared" si="26"/>
        <v>0.11754217255053453</v>
      </c>
      <c r="R33" s="387">
        <v>224.29</v>
      </c>
      <c r="S33" s="363">
        <f t="shared" si="27"/>
        <v>16.970068397796741</v>
      </c>
      <c r="T33" s="535">
        <f t="shared" si="28"/>
        <v>0.22024673250926807</v>
      </c>
      <c r="U33" s="387">
        <v>234.21</v>
      </c>
      <c r="V33" s="363">
        <f t="shared" si="29"/>
        <v>17.720628291265662</v>
      </c>
      <c r="W33" s="535">
        <f t="shared" si="30"/>
        <v>0.22998790503810107</v>
      </c>
      <c r="X33" s="387">
        <v>246.66</v>
      </c>
      <c r="Y33" s="363">
        <f t="shared" si="31"/>
        <v>18.662611222080987</v>
      </c>
      <c r="Z33" s="535">
        <f t="shared" si="32"/>
        <v>0.24221346935100124</v>
      </c>
      <c r="AA33" s="387">
        <v>273.25099999999998</v>
      </c>
      <c r="AB33" s="363">
        <f t="shared" si="33"/>
        <v>20.674520307487438</v>
      </c>
      <c r="AC33" s="535">
        <f t="shared" si="34"/>
        <v>0.26832511438267431</v>
      </c>
      <c r="AD33" s="387">
        <v>223.56899999999999</v>
      </c>
      <c r="AE33" s="363">
        <f t="shared" si="35"/>
        <v>16.915516615216994</v>
      </c>
      <c r="AF33" s="535">
        <f t="shared" si="36"/>
        <v>0.21953872994946078</v>
      </c>
      <c r="AG33" s="121">
        <f t="shared" si="37"/>
        <v>99.999999999999972</v>
      </c>
      <c r="AH33" s="533">
        <f t="shared" si="38"/>
        <v>1.2978541237810401</v>
      </c>
      <c r="AI33" s="584">
        <f t="shared" si="39"/>
        <v>33</v>
      </c>
    </row>
    <row r="34" spans="1:35" s="584" customFormat="1" ht="18" customHeight="1">
      <c r="A34" s="128"/>
      <c r="B34" s="127">
        <v>3211109</v>
      </c>
      <c r="C34" s="118" t="str">
        <f>'9.Detil Phasing'!C35</f>
        <v>Casual labour/Job worker</v>
      </c>
      <c r="D34" s="519" t="s">
        <v>53</v>
      </c>
      <c r="E34" s="140">
        <v>22</v>
      </c>
      <c r="F34" s="543">
        <v>0</v>
      </c>
      <c r="G34" s="387">
        <v>22</v>
      </c>
      <c r="H34" s="535">
        <f t="shared" si="20"/>
        <v>2.1603406817976274E-4</v>
      </c>
      <c r="I34" s="387">
        <v>0.25</v>
      </c>
      <c r="J34" s="387">
        <f t="shared" si="21"/>
        <v>1.1363636363636365</v>
      </c>
      <c r="K34" s="535">
        <f t="shared" si="22"/>
        <v>2.4549325929518494E-4</v>
      </c>
      <c r="L34" s="387">
        <v>2.11</v>
      </c>
      <c r="M34" s="387">
        <f t="shared" si="23"/>
        <v>9.5909090909090899</v>
      </c>
      <c r="N34" s="535">
        <f t="shared" si="24"/>
        <v>2.0719631084513608E-3</v>
      </c>
      <c r="O34" s="387">
        <v>2.35</v>
      </c>
      <c r="P34" s="363">
        <f t="shared" si="25"/>
        <v>10.681818181818183</v>
      </c>
      <c r="Q34" s="535">
        <f t="shared" si="26"/>
        <v>2.3076366373747386E-3</v>
      </c>
      <c r="R34" s="387">
        <v>2</v>
      </c>
      <c r="S34" s="363">
        <f t="shared" si="27"/>
        <v>9.0909090909090917</v>
      </c>
      <c r="T34" s="535">
        <f t="shared" si="28"/>
        <v>1.9639460743614795E-3</v>
      </c>
      <c r="U34" s="387">
        <v>4.25</v>
      </c>
      <c r="V34" s="363">
        <f t="shared" si="29"/>
        <v>19.318181818181817</v>
      </c>
      <c r="W34" s="535">
        <f t="shared" si="30"/>
        <v>4.1733854080181435E-3</v>
      </c>
      <c r="X34" s="387">
        <v>3.5</v>
      </c>
      <c r="Y34" s="363">
        <f t="shared" si="31"/>
        <v>15.909090909090908</v>
      </c>
      <c r="Z34" s="535">
        <f t="shared" si="32"/>
        <v>3.436905630132589E-3</v>
      </c>
      <c r="AA34" s="387">
        <v>4.6747999999999994</v>
      </c>
      <c r="AB34" s="363">
        <f t="shared" si="33"/>
        <v>21.249090909090906</v>
      </c>
      <c r="AC34" s="535">
        <f t="shared" si="34"/>
        <v>4.5905275542125219E-3</v>
      </c>
      <c r="AD34" s="387">
        <v>2.8652000000000002</v>
      </c>
      <c r="AE34" s="363">
        <f t="shared" si="35"/>
        <v>13.023636363636365</v>
      </c>
      <c r="AF34" s="535">
        <f t="shared" si="36"/>
        <v>2.8135491461302557E-3</v>
      </c>
      <c r="AG34" s="121">
        <f t="shared" si="37"/>
        <v>100.00000000000001</v>
      </c>
      <c r="AH34" s="533">
        <f t="shared" si="38"/>
        <v>2.135791355868109E-2</v>
      </c>
      <c r="AI34" s="584">
        <f t="shared" si="39"/>
        <v>34</v>
      </c>
    </row>
    <row r="35" spans="1:35" s="584" customFormat="1" ht="18.75" customHeight="1">
      <c r="A35" s="128"/>
      <c r="B35" s="127">
        <v>3256103</v>
      </c>
      <c r="C35" s="118" t="str">
        <f>'9.Detil Phasing'!C36</f>
        <v>Consumable Stores</v>
      </c>
      <c r="D35" s="519"/>
      <c r="E35" s="140">
        <v>15</v>
      </c>
      <c r="F35" s="543">
        <v>0</v>
      </c>
      <c r="G35" s="387">
        <v>15</v>
      </c>
      <c r="H35" s="535">
        <f t="shared" si="20"/>
        <v>1.4729595557711096E-4</v>
      </c>
      <c r="I35" s="387">
        <v>0</v>
      </c>
      <c r="J35" s="387">
        <f t="shared" si="21"/>
        <v>0</v>
      </c>
      <c r="K35" s="535">
        <f t="shared" si="22"/>
        <v>0</v>
      </c>
      <c r="L35" s="387">
        <v>0.99</v>
      </c>
      <c r="M35" s="387">
        <f t="shared" si="23"/>
        <v>6.6000000000000005</v>
      </c>
      <c r="N35" s="535">
        <f t="shared" si="24"/>
        <v>9.7215330680893244E-4</v>
      </c>
      <c r="O35" s="387">
        <v>0.75</v>
      </c>
      <c r="P35" s="363">
        <f t="shared" si="25"/>
        <v>5</v>
      </c>
      <c r="Q35" s="535">
        <f t="shared" si="26"/>
        <v>7.3647977788555475E-4</v>
      </c>
      <c r="R35" s="387">
        <v>1</v>
      </c>
      <c r="S35" s="363">
        <f t="shared" si="27"/>
        <v>6.666666666666667</v>
      </c>
      <c r="T35" s="535">
        <f t="shared" si="28"/>
        <v>9.8197303718073974E-4</v>
      </c>
      <c r="U35" s="387">
        <v>1</v>
      </c>
      <c r="V35" s="363">
        <f t="shared" si="29"/>
        <v>6.666666666666667</v>
      </c>
      <c r="W35" s="535">
        <f t="shared" si="30"/>
        <v>9.8197303718073974E-4</v>
      </c>
      <c r="X35" s="387">
        <v>3</v>
      </c>
      <c r="Y35" s="363">
        <f t="shared" si="31"/>
        <v>20</v>
      </c>
      <c r="Z35" s="535">
        <f t="shared" si="32"/>
        <v>2.945919111542219E-3</v>
      </c>
      <c r="AA35" s="387">
        <v>4.7907999999999999</v>
      </c>
      <c r="AB35" s="363">
        <f t="shared" si="33"/>
        <v>31.938666666666666</v>
      </c>
      <c r="AC35" s="535">
        <f t="shared" si="34"/>
        <v>4.7044364265254879E-3</v>
      </c>
      <c r="AD35" s="387">
        <v>3.4691999999999998</v>
      </c>
      <c r="AE35" s="363">
        <f t="shared" si="35"/>
        <v>23.128</v>
      </c>
      <c r="AF35" s="535">
        <f t="shared" si="36"/>
        <v>3.4066608605874222E-3</v>
      </c>
      <c r="AG35" s="121">
        <f t="shared" si="37"/>
        <v>100</v>
      </c>
      <c r="AH35" s="533">
        <f t="shared" si="38"/>
        <v>1.4729595557711098E-2</v>
      </c>
      <c r="AI35" s="584">
        <f t="shared" si="39"/>
        <v>35</v>
      </c>
    </row>
    <row r="36" spans="1:35" s="584" customFormat="1" ht="26.25" customHeight="1">
      <c r="A36" s="128"/>
      <c r="B36" s="221">
        <v>3257101</v>
      </c>
      <c r="C36" s="118" t="str">
        <f>'9.Detil Phasing'!C37</f>
        <v>Consultancy  : International - 71 M/M (Detail in Appendix-E of original approved DPP)
                      National - 324 M/M (Detail in Appendix-E of original approved DPP)</v>
      </c>
      <c r="D36" s="269" t="s">
        <v>53</v>
      </c>
      <c r="E36" s="140" t="s">
        <v>155</v>
      </c>
      <c r="F36" s="544" t="s">
        <v>156</v>
      </c>
      <c r="G36" s="387">
        <v>7901.4</v>
      </c>
      <c r="H36" s="535">
        <f t="shared" si="20"/>
        <v>7.7589617559798971E-2</v>
      </c>
      <c r="I36" s="387">
        <v>849.67499999999995</v>
      </c>
      <c r="J36" s="387">
        <f t="shared" si="21"/>
        <v>10.753474067886703</v>
      </c>
      <c r="K36" s="535">
        <f t="shared" si="22"/>
        <v>0.83435794036654498</v>
      </c>
      <c r="L36" s="387">
        <v>1819.425</v>
      </c>
      <c r="M36" s="387">
        <f t="shared" si="23"/>
        <v>23.026615536487206</v>
      </c>
      <c r="N36" s="535">
        <f t="shared" si="24"/>
        <v>1.7866262931725676</v>
      </c>
      <c r="O36" s="387">
        <v>1123.1500000000001</v>
      </c>
      <c r="P36" s="363">
        <f t="shared" si="25"/>
        <v>14.214569569949632</v>
      </c>
      <c r="Q36" s="535">
        <f t="shared" si="26"/>
        <v>1.1029030167095479</v>
      </c>
      <c r="R36" s="387">
        <v>689.33</v>
      </c>
      <c r="S36" s="363">
        <f t="shared" si="27"/>
        <v>8.7241501506062225</v>
      </c>
      <c r="T36" s="535">
        <f t="shared" si="28"/>
        <v>0.67690347371979942</v>
      </c>
      <c r="U36" s="387">
        <v>686.43</v>
      </c>
      <c r="V36" s="363">
        <f t="shared" si="29"/>
        <v>8.6874477940618124</v>
      </c>
      <c r="W36" s="535">
        <f t="shared" si="30"/>
        <v>0.6740557519119752</v>
      </c>
      <c r="X36" s="387">
        <v>500</v>
      </c>
      <c r="Y36" s="363">
        <f t="shared" si="31"/>
        <v>6.3279925076568713</v>
      </c>
      <c r="Z36" s="535">
        <f t="shared" si="32"/>
        <v>0.4909865185903699</v>
      </c>
      <c r="AA36" s="387">
        <v>1362.3679</v>
      </c>
      <c r="AB36" s="363">
        <f t="shared" si="33"/>
        <v>17.24210772774445</v>
      </c>
      <c r="AC36" s="535">
        <f t="shared" si="34"/>
        <v>1.3378085445205463</v>
      </c>
      <c r="AD36" s="387">
        <v>871.0220999999998</v>
      </c>
      <c r="AE36" s="363">
        <f t="shared" si="35"/>
        <v>11.023642645607106</v>
      </c>
      <c r="AF36" s="535">
        <f t="shared" si="36"/>
        <v>0.85532021698854588</v>
      </c>
      <c r="AG36" s="121">
        <f t="shared" si="37"/>
        <v>100.00000000000001</v>
      </c>
      <c r="AH36" s="533">
        <f t="shared" si="38"/>
        <v>6.9246038156133531</v>
      </c>
      <c r="AI36" s="584">
        <f t="shared" si="39"/>
        <v>36</v>
      </c>
    </row>
    <row r="37" spans="1:35" s="584" customFormat="1" ht="17.25" customHeight="1">
      <c r="A37" s="128"/>
      <c r="B37" s="222">
        <v>3111332</v>
      </c>
      <c r="C37" s="118" t="str">
        <f>'9.Detil Phasing'!C38</f>
        <v>a) Honorarium/Fees/Remuneration (for different Committee)</v>
      </c>
      <c r="D37" s="519" t="s">
        <v>157</v>
      </c>
      <c r="E37" s="140">
        <v>30</v>
      </c>
      <c r="F37" s="543">
        <v>0</v>
      </c>
      <c r="G37" s="387">
        <v>30</v>
      </c>
      <c r="H37" s="535">
        <f t="shared" si="20"/>
        <v>2.9459191115422192E-4</v>
      </c>
      <c r="I37" s="387">
        <v>0.4</v>
      </c>
      <c r="J37" s="387">
        <f t="shared" si="21"/>
        <v>1.3333333333333335</v>
      </c>
      <c r="K37" s="535">
        <f t="shared" si="22"/>
        <v>3.9278921487229595E-4</v>
      </c>
      <c r="L37" s="387">
        <v>1.33</v>
      </c>
      <c r="M37" s="387">
        <f t="shared" si="23"/>
        <v>4.4333333333333336</v>
      </c>
      <c r="N37" s="535">
        <f t="shared" si="24"/>
        <v>1.306024139450384E-3</v>
      </c>
      <c r="O37" s="387">
        <v>1.5</v>
      </c>
      <c r="P37" s="363">
        <f t="shared" si="25"/>
        <v>5</v>
      </c>
      <c r="Q37" s="535">
        <f t="shared" si="26"/>
        <v>1.4729595557711095E-3</v>
      </c>
      <c r="R37" s="387">
        <v>4.5</v>
      </c>
      <c r="S37" s="363">
        <f t="shared" si="27"/>
        <v>15</v>
      </c>
      <c r="T37" s="535">
        <f t="shared" si="28"/>
        <v>4.4188786673133289E-3</v>
      </c>
      <c r="U37" s="387">
        <v>5</v>
      </c>
      <c r="V37" s="363">
        <f t="shared" si="29"/>
        <v>16.666666666666664</v>
      </c>
      <c r="W37" s="535">
        <f t="shared" si="30"/>
        <v>4.9098651859036981E-3</v>
      </c>
      <c r="X37" s="387">
        <v>5</v>
      </c>
      <c r="Y37" s="363">
        <f t="shared" si="31"/>
        <v>16.666666666666664</v>
      </c>
      <c r="Z37" s="535">
        <f t="shared" si="32"/>
        <v>4.9098651859036981E-3</v>
      </c>
      <c r="AA37" s="387">
        <v>7.1165999999999991</v>
      </c>
      <c r="AB37" s="363">
        <f t="shared" si="33"/>
        <v>23.721999999999994</v>
      </c>
      <c r="AC37" s="535">
        <f t="shared" si="34"/>
        <v>6.9883093164004508E-3</v>
      </c>
      <c r="AD37" s="387">
        <v>5.1534000000000004</v>
      </c>
      <c r="AE37" s="363">
        <f t="shared" si="35"/>
        <v>17.178000000000001</v>
      </c>
      <c r="AF37" s="535">
        <f t="shared" si="36"/>
        <v>5.0604998498072241E-3</v>
      </c>
      <c r="AG37" s="121">
        <f t="shared" si="37"/>
        <v>99.999999999999986</v>
      </c>
      <c r="AH37" s="533">
        <f t="shared" si="38"/>
        <v>2.9066401900549894E-2</v>
      </c>
      <c r="AI37" s="584">
        <f t="shared" si="39"/>
        <v>37</v>
      </c>
    </row>
    <row r="38" spans="1:35" s="584" customFormat="1" ht="15.75" customHeight="1">
      <c r="A38" s="128"/>
      <c r="B38" s="550">
        <v>3111332</v>
      </c>
      <c r="C38" s="118" t="str">
        <f>'9.Detil Phasing'!C39</f>
        <v>b) Interim Evaluation</v>
      </c>
      <c r="D38" s="519" t="s">
        <v>157</v>
      </c>
      <c r="E38" s="140">
        <v>10</v>
      </c>
      <c r="F38" s="543">
        <v>0</v>
      </c>
      <c r="G38" s="387">
        <v>10</v>
      </c>
      <c r="H38" s="535">
        <f t="shared" si="20"/>
        <v>9.8197303718073974E-5</v>
      </c>
      <c r="I38" s="387">
        <v>0</v>
      </c>
      <c r="J38" s="387">
        <f t="shared" si="21"/>
        <v>0</v>
      </c>
      <c r="K38" s="535">
        <f t="shared" si="22"/>
        <v>0</v>
      </c>
      <c r="L38" s="387">
        <v>0</v>
      </c>
      <c r="M38" s="387">
        <f t="shared" si="23"/>
        <v>0</v>
      </c>
      <c r="N38" s="535">
        <f t="shared" si="24"/>
        <v>0</v>
      </c>
      <c r="O38" s="387">
        <v>0.27</v>
      </c>
      <c r="P38" s="363">
        <f t="shared" si="25"/>
        <v>2.7</v>
      </c>
      <c r="Q38" s="535">
        <f t="shared" si="26"/>
        <v>2.6513272003879975E-4</v>
      </c>
      <c r="R38" s="387">
        <v>0.25</v>
      </c>
      <c r="S38" s="363">
        <f t="shared" si="27"/>
        <v>2.5</v>
      </c>
      <c r="T38" s="535">
        <f t="shared" si="28"/>
        <v>2.4549325929518494E-4</v>
      </c>
      <c r="U38" s="387">
        <v>0.77</v>
      </c>
      <c r="V38" s="363">
        <f t="shared" si="29"/>
        <v>7.7</v>
      </c>
      <c r="W38" s="535">
        <f t="shared" si="30"/>
        <v>7.5611923862916957E-4</v>
      </c>
      <c r="X38" s="387">
        <v>1</v>
      </c>
      <c r="Y38" s="363">
        <f t="shared" si="31"/>
        <v>10</v>
      </c>
      <c r="Z38" s="535">
        <f t="shared" si="32"/>
        <v>9.8197303718073974E-4</v>
      </c>
      <c r="AA38" s="387">
        <v>4.3176000000000014</v>
      </c>
      <c r="AB38" s="363">
        <f t="shared" si="33"/>
        <v>43.176000000000016</v>
      </c>
      <c r="AC38" s="535">
        <f t="shared" si="34"/>
        <v>4.2397667853315635E-3</v>
      </c>
      <c r="AD38" s="387">
        <v>3.3923999999999999</v>
      </c>
      <c r="AE38" s="363">
        <f t="shared" si="35"/>
        <v>33.923999999999999</v>
      </c>
      <c r="AF38" s="535">
        <f t="shared" si="36"/>
        <v>3.3312453313319415E-3</v>
      </c>
      <c r="AG38" s="121">
        <f t="shared" si="37"/>
        <v>100.00000000000003</v>
      </c>
      <c r="AH38" s="533">
        <f t="shared" si="38"/>
        <v>9.8197303718073996E-3</v>
      </c>
      <c r="AI38" s="584">
        <f t="shared" si="39"/>
        <v>38</v>
      </c>
    </row>
    <row r="39" spans="1:35" s="584" customFormat="1" ht="13.5" customHeight="1">
      <c r="A39" s="128"/>
      <c r="B39" s="550">
        <v>3111332</v>
      </c>
      <c r="C39" s="118" t="str">
        <f>'9.Detil Phasing'!C40</f>
        <v>c) Progress Monitoring</v>
      </c>
      <c r="D39" s="519" t="s">
        <v>157</v>
      </c>
      <c r="E39" s="140">
        <v>10</v>
      </c>
      <c r="F39" s="543">
        <v>0</v>
      </c>
      <c r="G39" s="387">
        <v>10</v>
      </c>
      <c r="H39" s="535">
        <f t="shared" si="20"/>
        <v>9.8197303718073974E-5</v>
      </c>
      <c r="I39" s="387">
        <v>0</v>
      </c>
      <c r="J39" s="387">
        <f t="shared" si="21"/>
        <v>0</v>
      </c>
      <c r="K39" s="535">
        <f t="shared" si="22"/>
        <v>0</v>
      </c>
      <c r="L39" s="387">
        <v>0</v>
      </c>
      <c r="M39" s="387">
        <f t="shared" si="23"/>
        <v>0</v>
      </c>
      <c r="N39" s="535">
        <f t="shared" si="24"/>
        <v>0</v>
      </c>
      <c r="O39" s="387">
        <v>0.3</v>
      </c>
      <c r="P39" s="363">
        <f t="shared" si="25"/>
        <v>3</v>
      </c>
      <c r="Q39" s="535">
        <f t="shared" si="26"/>
        <v>2.9459191115422192E-4</v>
      </c>
      <c r="R39" s="387">
        <v>0.25</v>
      </c>
      <c r="S39" s="363">
        <f t="shared" si="27"/>
        <v>2.5</v>
      </c>
      <c r="T39" s="535">
        <f t="shared" si="28"/>
        <v>2.4549325929518494E-4</v>
      </c>
      <c r="U39" s="387">
        <v>0.75</v>
      </c>
      <c r="V39" s="363">
        <f t="shared" si="29"/>
        <v>7.5</v>
      </c>
      <c r="W39" s="535">
        <f t="shared" si="30"/>
        <v>7.3647977788555475E-4</v>
      </c>
      <c r="X39" s="387">
        <v>1</v>
      </c>
      <c r="Y39" s="363">
        <f t="shared" si="31"/>
        <v>10</v>
      </c>
      <c r="Z39" s="535">
        <f t="shared" si="32"/>
        <v>9.8197303718073974E-4</v>
      </c>
      <c r="AA39" s="387">
        <v>4.774</v>
      </c>
      <c r="AB39" s="363">
        <f t="shared" si="33"/>
        <v>47.74</v>
      </c>
      <c r="AC39" s="535">
        <f t="shared" si="34"/>
        <v>4.6879392795008516E-3</v>
      </c>
      <c r="AD39" s="387">
        <v>2.9260000000000002</v>
      </c>
      <c r="AE39" s="363">
        <f t="shared" si="35"/>
        <v>29.26</v>
      </c>
      <c r="AF39" s="535">
        <f t="shared" si="36"/>
        <v>2.8732531067908445E-3</v>
      </c>
      <c r="AG39" s="121">
        <f t="shared" si="37"/>
        <v>100</v>
      </c>
      <c r="AH39" s="533">
        <f t="shared" si="38"/>
        <v>9.8197303718073978E-3</v>
      </c>
      <c r="AI39" s="584">
        <f t="shared" si="39"/>
        <v>39</v>
      </c>
    </row>
    <row r="40" spans="1:35" s="584" customFormat="1" ht="18" customHeight="1">
      <c r="A40" s="128"/>
      <c r="B40" s="221">
        <v>3257104</v>
      </c>
      <c r="C40" s="118" t="str">
        <f>'9.Detil Phasing'!C41</f>
        <v>Survey</v>
      </c>
      <c r="D40" s="519" t="s">
        <v>157</v>
      </c>
      <c r="E40" s="140">
        <v>200</v>
      </c>
      <c r="F40" s="543">
        <v>0</v>
      </c>
      <c r="G40" s="387">
        <v>200</v>
      </c>
      <c r="H40" s="535">
        <f t="shared" si="20"/>
        <v>1.9639460743614795E-3</v>
      </c>
      <c r="I40" s="387">
        <v>0</v>
      </c>
      <c r="J40" s="387">
        <f t="shared" si="21"/>
        <v>0</v>
      </c>
      <c r="K40" s="535">
        <f t="shared" si="22"/>
        <v>0</v>
      </c>
      <c r="L40" s="387">
        <v>7.62</v>
      </c>
      <c r="M40" s="387">
        <f t="shared" si="23"/>
        <v>3.81</v>
      </c>
      <c r="N40" s="535">
        <f t="shared" si="24"/>
        <v>7.4826345433172368E-3</v>
      </c>
      <c r="O40" s="387">
        <v>17.47</v>
      </c>
      <c r="P40" s="363">
        <f t="shared" si="25"/>
        <v>8.7349999999999994</v>
      </c>
      <c r="Q40" s="535">
        <f t="shared" si="26"/>
        <v>1.7155068959547524E-2</v>
      </c>
      <c r="R40" s="387">
        <v>30</v>
      </c>
      <c r="S40" s="363">
        <f t="shared" si="27"/>
        <v>15</v>
      </c>
      <c r="T40" s="535">
        <f t="shared" si="28"/>
        <v>2.9459191115422192E-2</v>
      </c>
      <c r="U40" s="387">
        <v>29.93</v>
      </c>
      <c r="V40" s="363">
        <f t="shared" si="29"/>
        <v>14.965</v>
      </c>
      <c r="W40" s="535">
        <f t="shared" si="30"/>
        <v>2.939045300281954E-2</v>
      </c>
      <c r="X40" s="387">
        <v>50</v>
      </c>
      <c r="Y40" s="363">
        <f t="shared" si="31"/>
        <v>25</v>
      </c>
      <c r="Z40" s="535">
        <f t="shared" si="32"/>
        <v>4.9098651859036987E-2</v>
      </c>
      <c r="AA40" s="387">
        <v>37.038599999999988</v>
      </c>
      <c r="AB40" s="363">
        <f t="shared" si="33"/>
        <v>18.519299999999994</v>
      </c>
      <c r="AC40" s="535">
        <f t="shared" si="34"/>
        <v>3.6370906534922538E-2</v>
      </c>
      <c r="AD40" s="387">
        <v>27.941399999999991</v>
      </c>
      <c r="AE40" s="363">
        <f t="shared" si="35"/>
        <v>13.970699999999994</v>
      </c>
      <c r="AF40" s="535">
        <f t="shared" si="36"/>
        <v>2.7437701421081907E-2</v>
      </c>
      <c r="AG40" s="121">
        <f t="shared" si="37"/>
        <v>99.999999999999986</v>
      </c>
      <c r="AH40" s="533">
        <f t="shared" si="38"/>
        <v>0.19639460743614792</v>
      </c>
      <c r="AI40" s="584">
        <f t="shared" si="39"/>
        <v>40</v>
      </c>
    </row>
    <row r="41" spans="1:35" s="584" customFormat="1" ht="20.25" customHeight="1">
      <c r="A41" s="128"/>
      <c r="B41" s="221">
        <v>3255101</v>
      </c>
      <c r="C41" s="118" t="str">
        <f>'9.Detil Phasing'!C42</f>
        <v>Computer Consumables</v>
      </c>
      <c r="D41" s="519" t="s">
        <v>157</v>
      </c>
      <c r="E41" s="140">
        <v>60</v>
      </c>
      <c r="F41" s="543">
        <v>0</v>
      </c>
      <c r="G41" s="387">
        <v>60</v>
      </c>
      <c r="H41" s="535">
        <f t="shared" si="20"/>
        <v>5.8918382230844384E-4</v>
      </c>
      <c r="I41" s="387">
        <v>0.49099999999999999</v>
      </c>
      <c r="J41" s="387">
        <f t="shared" si="21"/>
        <v>0.81833333333333325</v>
      </c>
      <c r="K41" s="535">
        <f t="shared" si="22"/>
        <v>4.8214876125574318E-4</v>
      </c>
      <c r="L41" s="387">
        <v>1.4990000000000001</v>
      </c>
      <c r="M41" s="387">
        <f t="shared" si="23"/>
        <v>2.4983333333333335</v>
      </c>
      <c r="N41" s="535">
        <f t="shared" si="24"/>
        <v>1.471977582733929E-3</v>
      </c>
      <c r="O41" s="387">
        <v>4.5</v>
      </c>
      <c r="P41" s="363">
        <f t="shared" si="25"/>
        <v>7.5</v>
      </c>
      <c r="Q41" s="535">
        <f t="shared" si="26"/>
        <v>4.4188786673133289E-3</v>
      </c>
      <c r="R41" s="387">
        <v>6.48</v>
      </c>
      <c r="S41" s="363">
        <f t="shared" si="27"/>
        <v>10.8</v>
      </c>
      <c r="T41" s="535">
        <f t="shared" si="28"/>
        <v>6.3631852809311936E-3</v>
      </c>
      <c r="U41" s="387">
        <v>7.5</v>
      </c>
      <c r="V41" s="363">
        <f t="shared" si="29"/>
        <v>12.5</v>
      </c>
      <c r="W41" s="535">
        <f t="shared" si="30"/>
        <v>7.3647977788555479E-3</v>
      </c>
      <c r="X41" s="387">
        <v>10</v>
      </c>
      <c r="Y41" s="363">
        <f t="shared" si="31"/>
        <v>16.666666666666664</v>
      </c>
      <c r="Z41" s="535">
        <f t="shared" si="32"/>
        <v>9.8197303718073961E-3</v>
      </c>
      <c r="AA41" s="387">
        <v>16.241499999999998</v>
      </c>
      <c r="AB41" s="363">
        <f t="shared" si="33"/>
        <v>27.069166666666668</v>
      </c>
      <c r="AC41" s="535">
        <f t="shared" si="34"/>
        <v>1.5948715083370986E-2</v>
      </c>
      <c r="AD41" s="387">
        <v>13.288500000000001</v>
      </c>
      <c r="AE41" s="363">
        <f t="shared" si="35"/>
        <v>22.147500000000001</v>
      </c>
      <c r="AF41" s="535">
        <f t="shared" si="36"/>
        <v>1.3048948704576261E-2</v>
      </c>
      <c r="AG41" s="121">
        <f t="shared" si="37"/>
        <v>99.999999999999986</v>
      </c>
      <c r="AH41" s="533">
        <f t="shared" si="38"/>
        <v>5.843623346958865E-2</v>
      </c>
      <c r="AI41" s="584">
        <f t="shared" si="39"/>
        <v>41</v>
      </c>
    </row>
    <row r="42" spans="1:35" s="584" customFormat="1" ht="17.25" customHeight="1">
      <c r="A42" s="128"/>
      <c r="B42" s="221">
        <v>3256101</v>
      </c>
      <c r="C42" s="118" t="str">
        <f>'9.Detil Phasing'!C43</f>
        <v>Other Expenses: Salary of Manpower through Outsourcing</v>
      </c>
      <c r="D42" s="519" t="s">
        <v>157</v>
      </c>
      <c r="E42" s="140">
        <v>1800</v>
      </c>
      <c r="F42" s="543">
        <v>0</v>
      </c>
      <c r="G42" s="387">
        <v>1800</v>
      </c>
      <c r="H42" s="535">
        <f t="shared" si="20"/>
        <v>1.7675514669253316E-2</v>
      </c>
      <c r="I42" s="387">
        <v>0</v>
      </c>
      <c r="J42" s="387">
        <f t="shared" si="21"/>
        <v>0</v>
      </c>
      <c r="K42" s="535">
        <f t="shared" si="22"/>
        <v>0</v>
      </c>
      <c r="L42" s="387">
        <v>84.32</v>
      </c>
      <c r="M42" s="387">
        <f t="shared" si="23"/>
        <v>4.684444444444444</v>
      </c>
      <c r="N42" s="535">
        <f t="shared" si="24"/>
        <v>8.2799966495079966E-2</v>
      </c>
      <c r="O42" s="387">
        <v>227.97</v>
      </c>
      <c r="P42" s="363">
        <f t="shared" si="25"/>
        <v>12.665000000000001</v>
      </c>
      <c r="Q42" s="535">
        <f t="shared" si="26"/>
        <v>0.22386039328609325</v>
      </c>
      <c r="R42" s="387">
        <v>263.24</v>
      </c>
      <c r="S42" s="363">
        <f t="shared" si="27"/>
        <v>14.624444444444446</v>
      </c>
      <c r="T42" s="535">
        <f t="shared" si="28"/>
        <v>0.25849458230745798</v>
      </c>
      <c r="U42" s="387">
        <v>299.93</v>
      </c>
      <c r="V42" s="363">
        <f t="shared" si="29"/>
        <v>16.66277777777778</v>
      </c>
      <c r="W42" s="535">
        <f t="shared" si="30"/>
        <v>0.29452317304161935</v>
      </c>
      <c r="X42" s="387">
        <v>300</v>
      </c>
      <c r="Y42" s="363">
        <f t="shared" si="31"/>
        <v>16.666666666666664</v>
      </c>
      <c r="Z42" s="535">
        <f t="shared" si="32"/>
        <v>0.2945919111542219</v>
      </c>
      <c r="AA42" s="387">
        <v>355.98779999999988</v>
      </c>
      <c r="AB42" s="363">
        <f t="shared" si="33"/>
        <v>19.77709999999999</v>
      </c>
      <c r="AC42" s="535">
        <f t="shared" si="34"/>
        <v>0.34957042116528958</v>
      </c>
      <c r="AD42" s="387">
        <v>268.55220000000003</v>
      </c>
      <c r="AE42" s="363">
        <f t="shared" si="35"/>
        <v>14.919566666666666</v>
      </c>
      <c r="AF42" s="535">
        <f t="shared" si="36"/>
        <v>0.26371101947556946</v>
      </c>
      <c r="AG42" s="121">
        <f t="shared" si="37"/>
        <v>100</v>
      </c>
      <c r="AH42" s="533">
        <f t="shared" si="38"/>
        <v>1.7675514669253314</v>
      </c>
      <c r="AI42" s="584">
        <f t="shared" si="39"/>
        <v>42</v>
      </c>
    </row>
    <row r="43" spans="1:35" s="584" customFormat="1" ht="15.75" customHeight="1">
      <c r="A43" s="128"/>
      <c r="B43" s="220"/>
      <c r="C43" s="129" t="str">
        <f>'9.Detil Phasing'!C44</f>
        <v xml:space="preserve">Repair, Maintenance &amp; Rehabilitation: </v>
      </c>
      <c r="D43" s="300"/>
      <c r="E43" s="139"/>
      <c r="F43" s="542"/>
      <c r="G43" s="387"/>
      <c r="H43" s="535"/>
      <c r="I43" s="387"/>
      <c r="J43" s="387"/>
      <c r="K43" s="535"/>
      <c r="L43" s="387"/>
      <c r="M43" s="387"/>
      <c r="N43" s="535"/>
      <c r="O43" s="387"/>
      <c r="P43" s="363"/>
      <c r="Q43" s="535"/>
      <c r="R43" s="387"/>
      <c r="S43" s="363"/>
      <c r="T43" s="535"/>
      <c r="U43" s="387"/>
      <c r="V43" s="363"/>
      <c r="W43" s="535"/>
      <c r="X43" s="387"/>
      <c r="Y43" s="363"/>
      <c r="Z43" s="535"/>
      <c r="AA43" s="387"/>
      <c r="AB43" s="363"/>
      <c r="AC43" s="535"/>
      <c r="AD43" s="387"/>
      <c r="AE43" s="363"/>
      <c r="AF43" s="535"/>
      <c r="AG43" s="121"/>
    </row>
    <row r="44" spans="1:35" s="584" customFormat="1" ht="15.75" customHeight="1">
      <c r="A44" s="128"/>
      <c r="B44" s="127">
        <v>3258101</v>
      </c>
      <c r="C44" s="118" t="str">
        <f>'9.Detil Phasing'!C45</f>
        <v xml:space="preserve"> Motor Vehicles</v>
      </c>
      <c r="D44" s="300"/>
      <c r="E44" s="140" t="s">
        <v>155</v>
      </c>
      <c r="F44" s="518">
        <v>0</v>
      </c>
      <c r="G44" s="387">
        <v>125</v>
      </c>
      <c r="H44" s="535">
        <f t="shared" ref="H44:H50" si="40">G44/G$100</f>
        <v>1.2274662964759247E-3</v>
      </c>
      <c r="I44" s="387">
        <v>0.98299999999999998</v>
      </c>
      <c r="J44" s="387">
        <f t="shared" ref="J44:J50" si="41">I44/G44*100</f>
        <v>0.78639999999999999</v>
      </c>
      <c r="K44" s="535">
        <f t="shared" ref="K44:K50" si="42">J44*$H44</f>
        <v>9.6527949554866719E-4</v>
      </c>
      <c r="L44" s="387">
        <v>5.9669999999999996</v>
      </c>
      <c r="M44" s="387">
        <f t="shared" ref="M44:M50" si="43">L44/G44*100</f>
        <v>4.7735999999999992</v>
      </c>
      <c r="N44" s="535">
        <f t="shared" ref="N44:N50" si="44">M44*$H44</f>
        <v>5.8594331128574732E-3</v>
      </c>
      <c r="O44" s="387">
        <v>12</v>
      </c>
      <c r="P44" s="363">
        <f t="shared" ref="P44:P50" si="45">O44/G44*100</f>
        <v>9.6</v>
      </c>
      <c r="Q44" s="535">
        <f t="shared" ref="Q44:Q50" si="46">P44*$H44</f>
        <v>1.1783676446168878E-2</v>
      </c>
      <c r="R44" s="387">
        <v>21.99</v>
      </c>
      <c r="S44" s="363">
        <f t="shared" ref="S44:S50" si="47">R44/G44*100</f>
        <v>17.591999999999999</v>
      </c>
      <c r="T44" s="535">
        <f t="shared" ref="T44:T50" si="48">S44*$H44</f>
        <v>2.1593587087604466E-2</v>
      </c>
      <c r="U44" s="387">
        <v>20.46</v>
      </c>
      <c r="V44" s="363">
        <f t="shared" ref="V44:V50" si="49">U44/G44*100</f>
        <v>16.368000000000002</v>
      </c>
      <c r="W44" s="535">
        <f t="shared" ref="W44:W50" si="50">V44*$H44</f>
        <v>2.009116834071794E-2</v>
      </c>
      <c r="X44" s="387">
        <v>15</v>
      </c>
      <c r="Y44" s="363">
        <f t="shared" ref="Y44:Y50" si="51">X44/G44*100</f>
        <v>12</v>
      </c>
      <c r="Z44" s="535">
        <f t="shared" ref="Z44:Z50" si="52">Y44*$H44</f>
        <v>1.4729595557711098E-2</v>
      </c>
      <c r="AA44" s="387">
        <v>26.73</v>
      </c>
      <c r="AB44" s="363">
        <f t="shared" ref="AB44:AB50" si="53">AA44/G44*100</f>
        <v>21.384</v>
      </c>
      <c r="AC44" s="535">
        <f t="shared" ref="AC44:AC50" si="54">AB44*$H44</f>
        <v>2.6248139283841176E-2</v>
      </c>
      <c r="AD44" s="387">
        <v>21.87</v>
      </c>
      <c r="AE44" s="363">
        <f t="shared" ref="AE44:AE50" si="55">AD44/G44*100</f>
        <v>17.496000000000002</v>
      </c>
      <c r="AF44" s="535">
        <f t="shared" ref="AF44:AF50" si="56">AE44*$H44</f>
        <v>2.1475750323142782E-2</v>
      </c>
      <c r="AG44" s="121">
        <f t="shared" ref="AG44:AG50" si="57">SUM(AE44+AB44+Y44+V44+S44+P44+M44+J44)</f>
        <v>100</v>
      </c>
      <c r="AH44" s="533">
        <f t="shared" ref="AH44:AH50" si="58">N44+Q44+T44+W44+Z44+AC44+AF44</f>
        <v>0.1217813501520438</v>
      </c>
      <c r="AI44" s="584">
        <f t="shared" ref="AI44:AI55" si="59">ROW(AH44)</f>
        <v>44</v>
      </c>
    </row>
    <row r="45" spans="1:35" s="584" customFormat="1" ht="15.75" customHeight="1">
      <c r="A45" s="128"/>
      <c r="B45" s="127">
        <v>3258102</v>
      </c>
      <c r="C45" s="118" t="str">
        <f>'9.Detil Phasing'!C46</f>
        <v>Furnitures &amp; Fixtures</v>
      </c>
      <c r="D45" s="300"/>
      <c r="E45" s="140" t="s">
        <v>155</v>
      </c>
      <c r="F45" s="518">
        <v>0</v>
      </c>
      <c r="G45" s="387">
        <v>10</v>
      </c>
      <c r="H45" s="535">
        <f t="shared" si="40"/>
        <v>9.8197303718073974E-5</v>
      </c>
      <c r="I45" s="387">
        <v>0</v>
      </c>
      <c r="J45" s="387">
        <f t="shared" si="41"/>
        <v>0</v>
      </c>
      <c r="K45" s="535">
        <f t="shared" si="42"/>
        <v>0</v>
      </c>
      <c r="L45" s="387">
        <v>0.49</v>
      </c>
      <c r="M45" s="387">
        <f t="shared" si="43"/>
        <v>4.9000000000000004</v>
      </c>
      <c r="N45" s="535">
        <f t="shared" si="44"/>
        <v>4.8116678821856252E-4</v>
      </c>
      <c r="O45" s="387">
        <v>0.74</v>
      </c>
      <c r="P45" s="363">
        <f t="shared" si="45"/>
        <v>7.3999999999999995</v>
      </c>
      <c r="Q45" s="535">
        <f t="shared" si="46"/>
        <v>7.2666004751374734E-4</v>
      </c>
      <c r="R45" s="387">
        <v>0.98</v>
      </c>
      <c r="S45" s="363">
        <f t="shared" si="47"/>
        <v>9.8000000000000007</v>
      </c>
      <c r="T45" s="535">
        <f t="shared" si="48"/>
        <v>9.6233357643712503E-4</v>
      </c>
      <c r="U45" s="387">
        <v>0.99</v>
      </c>
      <c r="V45" s="363">
        <f t="shared" si="49"/>
        <v>9.9</v>
      </c>
      <c r="W45" s="535">
        <f t="shared" si="50"/>
        <v>9.7215330680893233E-4</v>
      </c>
      <c r="X45" s="387">
        <v>2</v>
      </c>
      <c r="Y45" s="363">
        <f t="shared" si="51"/>
        <v>20</v>
      </c>
      <c r="Z45" s="535">
        <f t="shared" si="52"/>
        <v>1.9639460743614795E-3</v>
      </c>
      <c r="AA45" s="387">
        <v>2.88</v>
      </c>
      <c r="AB45" s="363">
        <f t="shared" si="53"/>
        <v>28.799999999999997</v>
      </c>
      <c r="AC45" s="535">
        <f t="shared" si="54"/>
        <v>2.8280823470805301E-3</v>
      </c>
      <c r="AD45" s="387">
        <v>1.92</v>
      </c>
      <c r="AE45" s="363">
        <f t="shared" si="55"/>
        <v>19.2</v>
      </c>
      <c r="AF45" s="535">
        <f t="shared" si="56"/>
        <v>1.8853882313870202E-3</v>
      </c>
      <c r="AG45" s="121">
        <f t="shared" si="57"/>
        <v>100.00000000000001</v>
      </c>
      <c r="AH45" s="533">
        <f t="shared" si="58"/>
        <v>9.8197303718073978E-3</v>
      </c>
      <c r="AI45" s="584">
        <f t="shared" si="59"/>
        <v>45</v>
      </c>
    </row>
    <row r="46" spans="1:35" s="584" customFormat="1" ht="15.75" customHeight="1">
      <c r="A46" s="128"/>
      <c r="B46" s="127">
        <v>3258103</v>
      </c>
      <c r="C46" s="118" t="str">
        <f>'9.Detil Phasing'!C47</f>
        <v>Computers &amp; office equipments</v>
      </c>
      <c r="D46" s="300"/>
      <c r="E46" s="140" t="s">
        <v>155</v>
      </c>
      <c r="F46" s="518">
        <v>0</v>
      </c>
      <c r="G46" s="387">
        <v>15</v>
      </c>
      <c r="H46" s="535">
        <f t="shared" si="40"/>
        <v>1.4729595557711096E-4</v>
      </c>
      <c r="I46" s="387">
        <v>0</v>
      </c>
      <c r="J46" s="387">
        <f t="shared" si="41"/>
        <v>0</v>
      </c>
      <c r="K46" s="535">
        <f t="shared" si="42"/>
        <v>0</v>
      </c>
      <c r="L46" s="387">
        <v>0.5</v>
      </c>
      <c r="M46" s="387">
        <f t="shared" si="43"/>
        <v>3.3333333333333335</v>
      </c>
      <c r="N46" s="535">
        <f t="shared" si="44"/>
        <v>4.9098651859036987E-4</v>
      </c>
      <c r="O46" s="387">
        <v>0.85</v>
      </c>
      <c r="P46" s="363">
        <f t="shared" si="45"/>
        <v>5.6666666666666661</v>
      </c>
      <c r="Q46" s="535">
        <f t="shared" si="46"/>
        <v>8.3467708160362873E-4</v>
      </c>
      <c r="R46" s="387">
        <v>2</v>
      </c>
      <c r="S46" s="363">
        <f t="shared" si="47"/>
        <v>13.333333333333334</v>
      </c>
      <c r="T46" s="535">
        <f t="shared" si="48"/>
        <v>1.9639460743614795E-3</v>
      </c>
      <c r="U46" s="387">
        <v>1.99</v>
      </c>
      <c r="V46" s="363">
        <f t="shared" si="49"/>
        <v>13.266666666666666</v>
      </c>
      <c r="W46" s="535">
        <f t="shared" si="50"/>
        <v>1.9541263439896719E-3</v>
      </c>
      <c r="X46" s="387">
        <v>3</v>
      </c>
      <c r="Y46" s="363">
        <f t="shared" si="51"/>
        <v>20</v>
      </c>
      <c r="Z46" s="535">
        <f t="shared" si="52"/>
        <v>2.945919111542219E-3</v>
      </c>
      <c r="AA46" s="387">
        <v>3.9293999999999998</v>
      </c>
      <c r="AB46" s="363">
        <f t="shared" si="53"/>
        <v>26.195999999999998</v>
      </c>
      <c r="AC46" s="535">
        <f t="shared" si="54"/>
        <v>3.8585648522979983E-3</v>
      </c>
      <c r="AD46" s="387">
        <v>2.7305999999999999</v>
      </c>
      <c r="AE46" s="363">
        <f t="shared" si="55"/>
        <v>18.204000000000001</v>
      </c>
      <c r="AF46" s="535">
        <f t="shared" si="56"/>
        <v>2.6813755753257282E-3</v>
      </c>
      <c r="AG46" s="121">
        <f t="shared" si="57"/>
        <v>100</v>
      </c>
      <c r="AH46" s="533">
        <f t="shared" si="58"/>
        <v>1.4729595557711094E-2</v>
      </c>
      <c r="AI46" s="584">
        <f t="shared" si="59"/>
        <v>46</v>
      </c>
    </row>
    <row r="47" spans="1:35" s="584" customFormat="1" ht="15.75" customHeight="1">
      <c r="A47" s="128"/>
      <c r="B47" s="127">
        <v>3258105</v>
      </c>
      <c r="C47" s="118" t="str">
        <f>'9.Detil Phasing'!C48</f>
        <v>Machineries &amp; Equipments</v>
      </c>
      <c r="D47" s="300"/>
      <c r="E47" s="140" t="s">
        <v>155</v>
      </c>
      <c r="F47" s="518">
        <v>0</v>
      </c>
      <c r="G47" s="387">
        <v>10</v>
      </c>
      <c r="H47" s="535">
        <f t="shared" si="40"/>
        <v>9.8197303718073974E-5</v>
      </c>
      <c r="I47" s="387">
        <v>0</v>
      </c>
      <c r="J47" s="387">
        <f t="shared" si="41"/>
        <v>0</v>
      </c>
      <c r="K47" s="535">
        <f t="shared" si="42"/>
        <v>0</v>
      </c>
      <c r="L47" s="387">
        <v>0.21</v>
      </c>
      <c r="M47" s="387">
        <f t="shared" si="43"/>
        <v>2.0999999999999996</v>
      </c>
      <c r="N47" s="535">
        <f t="shared" si="44"/>
        <v>2.062143378079553E-4</v>
      </c>
      <c r="O47" s="387">
        <v>0.01</v>
      </c>
      <c r="P47" s="363">
        <f t="shared" si="45"/>
        <v>0.1</v>
      </c>
      <c r="Q47" s="535">
        <f t="shared" si="46"/>
        <v>9.8197303718073981E-6</v>
      </c>
      <c r="R47" s="387">
        <v>0.5</v>
      </c>
      <c r="S47" s="363">
        <f t="shared" si="47"/>
        <v>5</v>
      </c>
      <c r="T47" s="535">
        <f t="shared" si="48"/>
        <v>4.9098651859036987E-4</v>
      </c>
      <c r="U47" s="387">
        <v>0.5</v>
      </c>
      <c r="V47" s="363">
        <f t="shared" si="49"/>
        <v>5</v>
      </c>
      <c r="W47" s="535">
        <f t="shared" si="50"/>
        <v>4.9098651859036987E-4</v>
      </c>
      <c r="X47" s="387">
        <v>2</v>
      </c>
      <c r="Y47" s="363">
        <f t="shared" si="51"/>
        <v>20</v>
      </c>
      <c r="Z47" s="535">
        <f t="shared" si="52"/>
        <v>1.9639460743614795E-3</v>
      </c>
      <c r="AA47" s="387">
        <v>4.1357999999999997</v>
      </c>
      <c r="AB47" s="363">
        <f t="shared" si="53"/>
        <v>41.357999999999997</v>
      </c>
      <c r="AC47" s="535">
        <f t="shared" si="54"/>
        <v>4.0612440871721032E-3</v>
      </c>
      <c r="AD47" s="387">
        <v>2.6442000000000001</v>
      </c>
      <c r="AE47" s="363">
        <f t="shared" si="55"/>
        <v>26.442</v>
      </c>
      <c r="AF47" s="535">
        <f t="shared" si="56"/>
        <v>2.5965331049133122E-3</v>
      </c>
      <c r="AG47" s="121">
        <f t="shared" si="57"/>
        <v>99.999999999999986</v>
      </c>
      <c r="AH47" s="533">
        <f t="shared" si="58"/>
        <v>9.8197303718073978E-3</v>
      </c>
      <c r="AI47" s="584">
        <f t="shared" si="59"/>
        <v>47</v>
      </c>
    </row>
    <row r="48" spans="1:35" s="584" customFormat="1" ht="15.75" customHeight="1">
      <c r="A48" s="128"/>
      <c r="B48" s="223">
        <v>3258107</v>
      </c>
      <c r="C48" s="215" t="s">
        <v>65</v>
      </c>
      <c r="D48" s="300"/>
      <c r="E48" s="140">
        <v>25</v>
      </c>
      <c r="F48" s="518">
        <v>0</v>
      </c>
      <c r="G48" s="387">
        <v>25</v>
      </c>
      <c r="H48" s="535">
        <f t="shared" si="40"/>
        <v>2.4549325929518494E-4</v>
      </c>
      <c r="I48" s="387">
        <v>0</v>
      </c>
      <c r="J48" s="387">
        <f t="shared" si="41"/>
        <v>0</v>
      </c>
      <c r="K48" s="535">
        <f t="shared" si="42"/>
        <v>0</v>
      </c>
      <c r="L48" s="387">
        <v>0</v>
      </c>
      <c r="M48" s="387">
        <f t="shared" si="43"/>
        <v>0</v>
      </c>
      <c r="N48" s="535">
        <f t="shared" si="44"/>
        <v>0</v>
      </c>
      <c r="O48" s="387">
        <v>0</v>
      </c>
      <c r="P48" s="363">
        <f t="shared" si="45"/>
        <v>0</v>
      </c>
      <c r="Q48" s="535">
        <f t="shared" si="46"/>
        <v>0</v>
      </c>
      <c r="R48" s="387">
        <v>9.98</v>
      </c>
      <c r="S48" s="363">
        <f t="shared" si="47"/>
        <v>39.92</v>
      </c>
      <c r="T48" s="535">
        <f t="shared" si="48"/>
        <v>9.8000909110637826E-3</v>
      </c>
      <c r="U48" s="387">
        <v>10</v>
      </c>
      <c r="V48" s="363">
        <f t="shared" si="49"/>
        <v>40</v>
      </c>
      <c r="W48" s="535">
        <f t="shared" si="50"/>
        <v>9.8197303718073978E-3</v>
      </c>
      <c r="X48" s="387">
        <v>0</v>
      </c>
      <c r="Y48" s="363">
        <f t="shared" si="51"/>
        <v>0</v>
      </c>
      <c r="Z48" s="535">
        <f t="shared" si="52"/>
        <v>0</v>
      </c>
      <c r="AA48" s="387">
        <v>2.9618000000000002</v>
      </c>
      <c r="AB48" s="363">
        <f t="shared" si="53"/>
        <v>11.847200000000001</v>
      </c>
      <c r="AC48" s="535">
        <f t="shared" si="54"/>
        <v>2.9084077415219151E-3</v>
      </c>
      <c r="AD48" s="387">
        <v>2.0581999999999998</v>
      </c>
      <c r="AE48" s="363">
        <f t="shared" si="55"/>
        <v>8.2327999999999992</v>
      </c>
      <c r="AF48" s="535">
        <f t="shared" si="56"/>
        <v>2.0210969051253982E-3</v>
      </c>
      <c r="AG48" s="121">
        <f t="shared" si="57"/>
        <v>100</v>
      </c>
      <c r="AH48" s="533">
        <f t="shared" si="58"/>
        <v>2.4549325929518494E-2</v>
      </c>
      <c r="AI48" s="584">
        <f t="shared" si="59"/>
        <v>48</v>
      </c>
    </row>
    <row r="49" spans="1:35" s="584" customFormat="1" ht="15.75" customHeight="1">
      <c r="A49" s="128"/>
      <c r="B49" s="223">
        <v>3258106</v>
      </c>
      <c r="C49" s="215" t="s">
        <v>66</v>
      </c>
      <c r="D49" s="300"/>
      <c r="E49" s="140" t="s">
        <v>155</v>
      </c>
      <c r="F49" s="518">
        <v>0</v>
      </c>
      <c r="G49" s="387">
        <v>40</v>
      </c>
      <c r="H49" s="535">
        <f t="shared" si="40"/>
        <v>3.927892148722959E-4</v>
      </c>
      <c r="I49" s="387">
        <v>0</v>
      </c>
      <c r="J49" s="387">
        <f t="shared" si="41"/>
        <v>0</v>
      </c>
      <c r="K49" s="535">
        <f t="shared" si="42"/>
        <v>0</v>
      </c>
      <c r="L49" s="387">
        <v>0</v>
      </c>
      <c r="M49" s="387">
        <f t="shared" si="43"/>
        <v>0</v>
      </c>
      <c r="N49" s="535">
        <f t="shared" si="44"/>
        <v>0</v>
      </c>
      <c r="O49" s="387">
        <v>0</v>
      </c>
      <c r="P49" s="363">
        <f t="shared" si="45"/>
        <v>0</v>
      </c>
      <c r="Q49" s="535">
        <f t="shared" si="46"/>
        <v>0</v>
      </c>
      <c r="R49" s="387">
        <v>8.9499999999999993</v>
      </c>
      <c r="S49" s="363">
        <f t="shared" si="47"/>
        <v>22.374999999999996</v>
      </c>
      <c r="T49" s="535">
        <f t="shared" si="48"/>
        <v>8.7886586827676198E-3</v>
      </c>
      <c r="U49" s="387">
        <v>5.58</v>
      </c>
      <c r="V49" s="363">
        <f t="shared" si="49"/>
        <v>13.950000000000001</v>
      </c>
      <c r="W49" s="535">
        <f t="shared" si="50"/>
        <v>5.4794095474685282E-3</v>
      </c>
      <c r="X49" s="387">
        <v>5</v>
      </c>
      <c r="Y49" s="363">
        <f t="shared" si="51"/>
        <v>12.5</v>
      </c>
      <c r="Z49" s="535">
        <f t="shared" si="52"/>
        <v>4.9098651859036989E-3</v>
      </c>
      <c r="AA49" s="387">
        <v>11.8726</v>
      </c>
      <c r="AB49" s="363">
        <f t="shared" si="53"/>
        <v>29.6815</v>
      </c>
      <c r="AC49" s="535">
        <f t="shared" si="54"/>
        <v>1.1658573081232051E-2</v>
      </c>
      <c r="AD49" s="387">
        <v>8.5973999999999986</v>
      </c>
      <c r="AE49" s="363">
        <f t="shared" si="55"/>
        <v>21.493499999999997</v>
      </c>
      <c r="AF49" s="535">
        <f t="shared" si="56"/>
        <v>8.4424149898576911E-3</v>
      </c>
      <c r="AG49" s="121">
        <f t="shared" si="57"/>
        <v>100</v>
      </c>
      <c r="AH49" s="533">
        <f t="shared" si="58"/>
        <v>3.9278921487229584E-2</v>
      </c>
      <c r="AI49" s="584">
        <f t="shared" si="59"/>
        <v>49</v>
      </c>
    </row>
    <row r="50" spans="1:35" s="584" customFormat="1" ht="15.75" customHeight="1">
      <c r="A50" s="128"/>
      <c r="B50" s="127">
        <v>3258105</v>
      </c>
      <c r="C50" s="118" t="str">
        <f>'9.Detil Phasing'!C51</f>
        <v>Engineering Equipments</v>
      </c>
      <c r="D50" s="300"/>
      <c r="E50" s="140" t="s">
        <v>155</v>
      </c>
      <c r="F50" s="518">
        <v>0</v>
      </c>
      <c r="G50" s="387">
        <v>20</v>
      </c>
      <c r="H50" s="535">
        <f t="shared" si="40"/>
        <v>1.9639460743614795E-4</v>
      </c>
      <c r="I50" s="387">
        <v>0</v>
      </c>
      <c r="J50" s="387">
        <f t="shared" si="41"/>
        <v>0</v>
      </c>
      <c r="K50" s="535">
        <f t="shared" si="42"/>
        <v>0</v>
      </c>
      <c r="L50" s="387">
        <v>0.09</v>
      </c>
      <c r="M50" s="387">
        <f t="shared" si="43"/>
        <v>0.44999999999999996</v>
      </c>
      <c r="N50" s="535">
        <f t="shared" si="44"/>
        <v>8.8377573346266566E-5</v>
      </c>
      <c r="O50" s="387">
        <v>0.3</v>
      </c>
      <c r="P50" s="363">
        <f t="shared" si="45"/>
        <v>1.5</v>
      </c>
      <c r="Q50" s="535">
        <f t="shared" si="46"/>
        <v>2.9459191115422192E-4</v>
      </c>
      <c r="R50" s="387">
        <v>0.5</v>
      </c>
      <c r="S50" s="363">
        <f t="shared" si="47"/>
        <v>2.5</v>
      </c>
      <c r="T50" s="535">
        <f t="shared" si="48"/>
        <v>4.9098651859036987E-4</v>
      </c>
      <c r="U50" s="387">
        <v>0.5</v>
      </c>
      <c r="V50" s="363">
        <f t="shared" si="49"/>
        <v>2.5</v>
      </c>
      <c r="W50" s="535">
        <f t="shared" si="50"/>
        <v>4.9098651859036987E-4</v>
      </c>
      <c r="X50" s="387">
        <v>2</v>
      </c>
      <c r="Y50" s="363">
        <f t="shared" si="51"/>
        <v>10</v>
      </c>
      <c r="Z50" s="535">
        <f t="shared" si="52"/>
        <v>1.9639460743614795E-3</v>
      </c>
      <c r="AA50" s="387">
        <v>9.1355000000000004</v>
      </c>
      <c r="AB50" s="363">
        <f t="shared" si="53"/>
        <v>45.677500000000002</v>
      </c>
      <c r="AC50" s="535">
        <f t="shared" si="54"/>
        <v>8.9708146811646478E-3</v>
      </c>
      <c r="AD50" s="387">
        <v>7.4744999999999999</v>
      </c>
      <c r="AE50" s="363">
        <f t="shared" si="55"/>
        <v>37.372499999999995</v>
      </c>
      <c r="AF50" s="535">
        <f t="shared" si="56"/>
        <v>7.3397574664074384E-3</v>
      </c>
      <c r="AG50" s="121">
        <f t="shared" si="57"/>
        <v>100</v>
      </c>
      <c r="AH50" s="533">
        <f t="shared" si="58"/>
        <v>1.9639460743614796E-2</v>
      </c>
      <c r="AI50" s="584">
        <f t="shared" si="59"/>
        <v>50</v>
      </c>
    </row>
    <row r="51" spans="1:35" s="584" customFormat="1" ht="15.75" customHeight="1">
      <c r="A51" s="128"/>
      <c r="B51" s="353"/>
      <c r="C51" s="106" t="s">
        <v>68</v>
      </c>
      <c r="D51" s="300"/>
      <c r="E51" s="140"/>
      <c r="F51" s="518"/>
      <c r="G51" s="387"/>
      <c r="H51" s="535"/>
      <c r="I51" s="387"/>
      <c r="J51" s="387"/>
      <c r="K51" s="535"/>
      <c r="L51" s="387"/>
      <c r="M51" s="387"/>
      <c r="N51" s="535"/>
      <c r="O51" s="387"/>
      <c r="P51" s="363"/>
      <c r="Q51" s="535"/>
      <c r="R51" s="387"/>
      <c r="S51" s="363"/>
      <c r="T51" s="535"/>
      <c r="U51" s="387"/>
      <c r="V51" s="363"/>
      <c r="W51" s="535"/>
      <c r="X51" s="387"/>
      <c r="Y51" s="363"/>
      <c r="Z51" s="535"/>
      <c r="AA51" s="387"/>
      <c r="AB51" s="363"/>
      <c r="AC51" s="535"/>
      <c r="AD51" s="387"/>
      <c r="AE51" s="363"/>
      <c r="AF51" s="535"/>
      <c r="AG51" s="121"/>
      <c r="AH51" s="533"/>
      <c r="AI51" s="584">
        <f t="shared" si="59"/>
        <v>51</v>
      </c>
    </row>
    <row r="52" spans="1:35" s="584" customFormat="1" ht="15.75" customHeight="1">
      <c r="A52" s="128"/>
      <c r="B52" s="127">
        <v>3258114</v>
      </c>
      <c r="C52" s="118" t="str">
        <f>'9.Detil Phasing'!C53</f>
        <v xml:space="preserve"> Repair/Replacement of Regulator Gates and other related works(Rehabilitation Haors)</v>
      </c>
      <c r="D52" s="519" t="s">
        <v>70</v>
      </c>
      <c r="E52" s="140" t="s">
        <v>155</v>
      </c>
      <c r="F52" s="462">
        <v>0</v>
      </c>
      <c r="G52" s="387">
        <v>362.5</v>
      </c>
      <c r="H52" s="535">
        <f>G52/G$100</f>
        <v>3.5596522597801817E-3</v>
      </c>
      <c r="I52" s="387">
        <v>0</v>
      </c>
      <c r="J52" s="387">
        <f>I52/G52*100</f>
        <v>0</v>
      </c>
      <c r="K52" s="535">
        <f>J52*$H52</f>
        <v>0</v>
      </c>
      <c r="L52" s="387">
        <v>0</v>
      </c>
      <c r="M52" s="387">
        <f>L52/G52*100</f>
        <v>0</v>
      </c>
      <c r="N52" s="535">
        <f>M52*$H52</f>
        <v>0</v>
      </c>
      <c r="O52" s="387">
        <v>59.7</v>
      </c>
      <c r="P52" s="363">
        <f>O52/G52*100</f>
        <v>16.468965517241379</v>
      </c>
      <c r="Q52" s="535">
        <f>P52*$H52</f>
        <v>5.8623790319690165E-2</v>
      </c>
      <c r="R52" s="387">
        <v>24.34</v>
      </c>
      <c r="S52" s="363">
        <f>R52/G52*100</f>
        <v>6.7144827586206892</v>
      </c>
      <c r="T52" s="535">
        <f>S52*$H52</f>
        <v>2.3901223724979204E-2</v>
      </c>
      <c r="U52" s="387">
        <v>10.99</v>
      </c>
      <c r="V52" s="363">
        <f>U52/G52*100</f>
        <v>3.0317241379310347</v>
      </c>
      <c r="W52" s="535">
        <f>V52*$H52</f>
        <v>1.079188367861633E-2</v>
      </c>
      <c r="X52" s="387">
        <v>58.25</v>
      </c>
      <c r="Y52" s="363">
        <f>X52/G52*100</f>
        <v>16.068965517241381</v>
      </c>
      <c r="Z52" s="535">
        <f>Y52*$H52</f>
        <v>5.7199929415778096E-2</v>
      </c>
      <c r="AA52" s="387">
        <v>131.80860000000001</v>
      </c>
      <c r="AB52" s="363">
        <f>AA52/G52*100</f>
        <v>36.36099310344828</v>
      </c>
      <c r="AC52" s="535">
        <f>AB52*$H52</f>
        <v>0.12943249126854128</v>
      </c>
      <c r="AD52" s="387">
        <v>77.4114</v>
      </c>
      <c r="AE52" s="363">
        <f>AD52/G52*100</f>
        <v>21.354868965517241</v>
      </c>
      <c r="AF52" s="535">
        <f>AE52*$H52</f>
        <v>7.6015907570413113E-2</v>
      </c>
      <c r="AG52" s="121">
        <f>SUM(AE52+AB52+Y52+V52+S52+P52+M52+J52)</f>
        <v>100</v>
      </c>
      <c r="AH52" s="533">
        <f>N52+Q52+T52+W52+Z52+AC52+AF52</f>
        <v>0.35596522597801816</v>
      </c>
      <c r="AI52" s="584">
        <f t="shared" si="59"/>
        <v>52</v>
      </c>
    </row>
    <row r="53" spans="1:35" s="584" customFormat="1" ht="15.75" customHeight="1">
      <c r="A53" s="128"/>
      <c r="B53" s="127">
        <v>3258128</v>
      </c>
      <c r="C53" s="118" t="str">
        <f>'9.Detil Phasing'!C54</f>
        <v>Water Transport : Repair of Speedboat(s)</v>
      </c>
      <c r="D53" s="519" t="s">
        <v>70</v>
      </c>
      <c r="E53" s="140" t="s">
        <v>155</v>
      </c>
      <c r="F53" s="462">
        <v>0</v>
      </c>
      <c r="G53" s="387">
        <v>5</v>
      </c>
      <c r="H53" s="535">
        <f>G53/G$100</f>
        <v>4.9098651859036987E-5</v>
      </c>
      <c r="I53" s="387">
        <v>0</v>
      </c>
      <c r="J53" s="387">
        <f>I53/G53*100</f>
        <v>0</v>
      </c>
      <c r="K53" s="535">
        <f>J53*$H53</f>
        <v>0</v>
      </c>
      <c r="L53" s="387">
        <v>0.9</v>
      </c>
      <c r="M53" s="387">
        <f>L53/G53*100</f>
        <v>18</v>
      </c>
      <c r="N53" s="535">
        <f>M53*$H53</f>
        <v>8.8377573346266577E-4</v>
      </c>
      <c r="O53" s="387">
        <v>0</v>
      </c>
      <c r="P53" s="363">
        <f>O53/G53*100</f>
        <v>0</v>
      </c>
      <c r="Q53" s="535">
        <f>P53*$H53</f>
        <v>0</v>
      </c>
      <c r="R53" s="387">
        <v>0.75</v>
      </c>
      <c r="S53" s="363">
        <f>R53/G53*100</f>
        <v>15</v>
      </c>
      <c r="T53" s="535">
        <f>S53*$H53</f>
        <v>7.3647977788555475E-4</v>
      </c>
      <c r="U53" s="387">
        <v>0.74</v>
      </c>
      <c r="V53" s="363">
        <f>U53/G53*100</f>
        <v>14.799999999999999</v>
      </c>
      <c r="W53" s="535">
        <f>V53*$H53</f>
        <v>7.2666004751374734E-4</v>
      </c>
      <c r="X53" s="387">
        <v>0.75</v>
      </c>
      <c r="Y53" s="363">
        <f>X53/G53*100</f>
        <v>15</v>
      </c>
      <c r="Z53" s="535">
        <f>Y53*$H53</f>
        <v>7.3647977788555475E-4</v>
      </c>
      <c r="AA53" s="387">
        <v>1.1346000000000001</v>
      </c>
      <c r="AB53" s="363">
        <f>AA53/G53*100</f>
        <v>22.692</v>
      </c>
      <c r="AC53" s="535">
        <f>AB53*$H53</f>
        <v>1.1141466079852673E-3</v>
      </c>
      <c r="AD53" s="387">
        <v>0.72540000000000016</v>
      </c>
      <c r="AE53" s="363">
        <f>AD53/G53*100</f>
        <v>14.508000000000004</v>
      </c>
      <c r="AF53" s="535">
        <f>AE53*$H53</f>
        <v>7.1232324117090882E-4</v>
      </c>
      <c r="AG53" s="121">
        <f>SUM(AE53+AB53+Y53+V53+S53+P53+M53+J53)</f>
        <v>100</v>
      </c>
      <c r="AH53" s="533">
        <f>N53+Q53+T53+W53+Z53+AC53+AF53</f>
        <v>4.9098651859036981E-3</v>
      </c>
      <c r="AI53" s="584">
        <f t="shared" si="59"/>
        <v>53</v>
      </c>
    </row>
    <row r="54" spans="1:35" s="584" customFormat="1" ht="15.75" customHeight="1">
      <c r="A54" s="128"/>
      <c r="B54" s="127">
        <v>3258107</v>
      </c>
      <c r="C54" s="118" t="str">
        <f>'9.Detil Phasing'!C55</f>
        <v>Others : Repair &amp; Maintenance</v>
      </c>
      <c r="D54" s="300"/>
      <c r="E54" s="140" t="s">
        <v>155</v>
      </c>
      <c r="F54" s="518">
        <v>0</v>
      </c>
      <c r="G54" s="387">
        <v>40</v>
      </c>
      <c r="H54" s="535">
        <f>G54/G$100</f>
        <v>3.927892148722959E-4</v>
      </c>
      <c r="I54" s="387">
        <v>0</v>
      </c>
      <c r="J54" s="387">
        <f>I54/G54*100</f>
        <v>0</v>
      </c>
      <c r="K54" s="535">
        <f>J54*$H54</f>
        <v>0</v>
      </c>
      <c r="L54" s="387">
        <v>0</v>
      </c>
      <c r="M54" s="387">
        <f>L54/G54*100</f>
        <v>0</v>
      </c>
      <c r="N54" s="535">
        <f>M54*$H54</f>
        <v>0</v>
      </c>
      <c r="O54" s="387">
        <v>0</v>
      </c>
      <c r="P54" s="363">
        <f>O54/G54*100</f>
        <v>0</v>
      </c>
      <c r="Q54" s="535">
        <f>P54*$H54</f>
        <v>0</v>
      </c>
      <c r="R54" s="387">
        <v>2.5</v>
      </c>
      <c r="S54" s="363">
        <f>R54/G54*100</f>
        <v>6.25</v>
      </c>
      <c r="T54" s="535">
        <f>S54*$H54</f>
        <v>2.4549325929518495E-3</v>
      </c>
      <c r="U54" s="387">
        <v>4.9800000000000004</v>
      </c>
      <c r="V54" s="363">
        <f>U54/G54*100</f>
        <v>12.450000000000001</v>
      </c>
      <c r="W54" s="535">
        <f>V54*$H54</f>
        <v>4.8902257251600845E-3</v>
      </c>
      <c r="X54" s="387">
        <v>3</v>
      </c>
      <c r="Y54" s="363">
        <f>X54/G54*100</f>
        <v>7.5</v>
      </c>
      <c r="Z54" s="535">
        <f>Y54*$H54</f>
        <v>2.945919111542219E-3</v>
      </c>
      <c r="AA54" s="387">
        <v>16.531199999999998</v>
      </c>
      <c r="AB54" s="363">
        <f>AA54/G54*100</f>
        <v>41.327999999999996</v>
      </c>
      <c r="AC54" s="535">
        <f>AB54*$H54</f>
        <v>1.6233192672242241E-2</v>
      </c>
      <c r="AD54" s="387">
        <v>12.988799999999999</v>
      </c>
      <c r="AE54" s="363">
        <f>AD54/G54*100</f>
        <v>32.472000000000001</v>
      </c>
      <c r="AF54" s="535">
        <f>AE54*$H54</f>
        <v>1.2754651385333193E-2</v>
      </c>
      <c r="AG54" s="121">
        <f>SUM(AE54+AB54+Y54+V54+S54+P54+M54+J54)</f>
        <v>100</v>
      </c>
      <c r="AH54" s="533">
        <f>N54+Q54+T54+W54+Z54+AC54+AF54</f>
        <v>3.9278921487229584E-2</v>
      </c>
      <c r="AI54" s="584">
        <f t="shared" si="59"/>
        <v>54</v>
      </c>
    </row>
    <row r="55" spans="1:35" s="133" customFormat="1" ht="18" customHeight="1">
      <c r="A55" s="472" t="s">
        <v>158</v>
      </c>
      <c r="B55" s="472"/>
      <c r="C55" s="541"/>
      <c r="D55" s="650"/>
      <c r="E55" s="618"/>
      <c r="F55" s="545"/>
      <c r="G55" s="387">
        <f>I55+L55+O55+R55+U55+X55+AA55+AD55</f>
        <v>19588.77</v>
      </c>
      <c r="H55" s="535">
        <f>SUM(H10:H54)</f>
        <v>0.19235643971534958</v>
      </c>
      <c r="I55" s="387">
        <f>SUM(I10:I54)</f>
        <v>1081.0899999999999</v>
      </c>
      <c r="J55" s="535"/>
      <c r="K55" s="535">
        <f>SUM(K10:K54)</f>
        <v>1.0616012307657259</v>
      </c>
      <c r="L55" s="387">
        <f>SUM(L10:L54)</f>
        <v>2463.7400000000002</v>
      </c>
      <c r="M55" s="535"/>
      <c r="N55" s="535">
        <f>SUM(N10:N54)</f>
        <v>2.4193262506236763</v>
      </c>
      <c r="O55" s="387">
        <f>SUM(O10:O54)</f>
        <v>2227.87</v>
      </c>
      <c r="P55" s="363"/>
      <c r="Q55" s="535">
        <f>SUM(Q10:Q54)</f>
        <v>2.1877082703438546</v>
      </c>
      <c r="R55" s="387">
        <f>SUM(R10:R54)</f>
        <v>2364.8599999999997</v>
      </c>
      <c r="S55" s="363"/>
      <c r="T55" s="535">
        <f>SUM(T10:T54)</f>
        <v>2.3222287567072448</v>
      </c>
      <c r="U55" s="387">
        <f>SUM(U10:U54)</f>
        <v>2487.2899999999986</v>
      </c>
      <c r="V55" s="363"/>
      <c r="W55" s="535">
        <f>SUM(W10:W54)</f>
        <v>2.4424517156492831</v>
      </c>
      <c r="X55" s="387">
        <f>SUM(X10:X54)</f>
        <v>2560</v>
      </c>
      <c r="Y55" s="363"/>
      <c r="Z55" s="535">
        <f>SUM(Z10:Z54)</f>
        <v>2.5138509751826947</v>
      </c>
      <c r="AA55" s="387">
        <f>SUM(AA10:AA54)</f>
        <v>3836.2267999999995</v>
      </c>
      <c r="AB55" s="363"/>
      <c r="AC55" s="535">
        <f>SUM(AC10:AC54)</f>
        <v>3.7670712821101504</v>
      </c>
      <c r="AD55" s="387">
        <f>SUM(AD10:AD54)</f>
        <v>2567.6932000000002</v>
      </c>
      <c r="AE55" s="363"/>
      <c r="AF55" s="535">
        <f>SUM(AF10:AF54)</f>
        <v>2.5214054901523326</v>
      </c>
      <c r="AG55" s="121"/>
      <c r="AI55" s="584">
        <f t="shared" si="59"/>
        <v>55</v>
      </c>
    </row>
    <row r="56" spans="1:35" s="584" customFormat="1" ht="18" customHeight="1">
      <c r="A56" s="124" t="s">
        <v>74</v>
      </c>
      <c r="B56" s="125"/>
      <c r="C56" s="134"/>
      <c r="D56" s="135"/>
      <c r="E56" s="135"/>
      <c r="F56" s="542"/>
      <c r="G56" s="135"/>
      <c r="H56" s="135"/>
      <c r="I56" s="135"/>
      <c r="J56" s="135"/>
      <c r="K56" s="136"/>
      <c r="L56" s="135"/>
      <c r="M56" s="135"/>
      <c r="N56" s="136"/>
      <c r="O56" s="137"/>
      <c r="P56" s="135"/>
      <c r="Q56" s="136"/>
      <c r="R56" s="137"/>
      <c r="S56" s="135"/>
      <c r="T56" s="136"/>
      <c r="U56" s="137"/>
      <c r="V56" s="135"/>
      <c r="W56" s="136"/>
      <c r="X56" s="137"/>
      <c r="Y56" s="135"/>
      <c r="Z56" s="136"/>
      <c r="AA56" s="137"/>
      <c r="AB56" s="363"/>
      <c r="AC56" s="136"/>
      <c r="AD56" s="137"/>
      <c r="AE56" s="135"/>
      <c r="AF56" s="136"/>
      <c r="AG56" s="121"/>
    </row>
    <row r="57" spans="1:35" s="584" customFormat="1" ht="18" customHeight="1">
      <c r="A57" s="551"/>
      <c r="B57" s="220"/>
      <c r="C57" s="554" t="str">
        <f>'9.Detil Phasing'!C58</f>
        <v>Acquisition of Assets:</v>
      </c>
      <c r="D57" s="141"/>
      <c r="E57" s="300"/>
      <c r="F57" s="223"/>
      <c r="G57" s="387"/>
      <c r="H57" s="535"/>
      <c r="I57" s="387"/>
      <c r="J57" s="387"/>
      <c r="K57" s="535"/>
      <c r="L57" s="387"/>
      <c r="M57" s="387"/>
      <c r="N57" s="535"/>
      <c r="O57" s="387"/>
      <c r="P57" s="363"/>
      <c r="Q57" s="535"/>
      <c r="R57" s="387"/>
      <c r="S57" s="363"/>
      <c r="T57" s="535"/>
      <c r="U57" s="387"/>
      <c r="V57" s="363"/>
      <c r="W57" s="535"/>
      <c r="X57" s="387"/>
      <c r="Y57" s="363"/>
      <c r="Z57" s="535"/>
      <c r="AA57" s="387"/>
      <c r="AB57" s="363"/>
      <c r="AC57" s="535"/>
      <c r="AD57" s="387"/>
      <c r="AE57" s="363"/>
      <c r="AF57" s="535"/>
      <c r="AG57" s="121"/>
    </row>
    <row r="58" spans="1:35" s="584" customFormat="1" ht="15.75" customHeight="1">
      <c r="A58" s="552"/>
      <c r="B58" s="563"/>
      <c r="C58" s="554" t="str">
        <f>'9.Detil Phasing'!C59</f>
        <v xml:space="preserve"> Motor Vehicle :</v>
      </c>
      <c r="D58" s="141"/>
      <c r="E58" s="300"/>
      <c r="F58" s="223"/>
      <c r="G58" s="387"/>
      <c r="H58" s="535"/>
      <c r="I58" s="387"/>
      <c r="J58" s="387"/>
      <c r="K58" s="535"/>
      <c r="L58" s="387"/>
      <c r="M58" s="387"/>
      <c r="N58" s="535"/>
      <c r="O58" s="387"/>
      <c r="P58" s="363"/>
      <c r="Q58" s="535"/>
      <c r="R58" s="387"/>
      <c r="S58" s="363"/>
      <c r="T58" s="535"/>
      <c r="U58" s="387"/>
      <c r="V58" s="363"/>
      <c r="W58" s="535"/>
      <c r="X58" s="387"/>
      <c r="Y58" s="363"/>
      <c r="Z58" s="535"/>
      <c r="AA58" s="387"/>
      <c r="AB58" s="363"/>
      <c r="AC58" s="535"/>
      <c r="AD58" s="387"/>
      <c r="AE58" s="363"/>
      <c r="AF58" s="535"/>
      <c r="AG58" s="121"/>
    </row>
    <row r="59" spans="1:35" s="584" customFormat="1" ht="50.25" customHeight="1">
      <c r="A59" s="552"/>
      <c r="B59" s="563">
        <v>4112101</v>
      </c>
      <c r="C59" s="555" t="str">
        <f>'9.Detil Phasing'!C60</f>
        <v>Jeep (above 2500 c.c. made by Pragati) -1 No.for Project Director, PMO, 
Jeep (2200 c.c. to 2500 c.c. made by Pragati) (4 Wheel Drive) -8 Nos. and Double Cabin Pickup-1 No. 
(1 for DPD, PMO, 1 for 4 EE, PMO, Kishoreganj 1 No., Netrokona 1 No., Sunamganj 1 No., Habiganj 1 No., Brahmanbaria 1 No., 1 for Planning Commission &amp; 1 Pickup for Deputy Chief  Extension Officer, PMO)= Total 10 Nos.</v>
      </c>
      <c r="D59" s="519" t="s">
        <v>70</v>
      </c>
      <c r="E59" s="387">
        <v>70.25</v>
      </c>
      <c r="F59" s="462">
        <v>10</v>
      </c>
      <c r="G59" s="387">
        <v>702.5</v>
      </c>
      <c r="H59" s="535">
        <f>G59/G$100</f>
        <v>6.898360586194697E-3</v>
      </c>
      <c r="I59" s="387">
        <v>346.3</v>
      </c>
      <c r="J59" s="387">
        <f>I59/G59*100</f>
        <v>49.295373665480433</v>
      </c>
      <c r="K59" s="535">
        <f>J59*$H59</f>
        <v>0.34005726277569021</v>
      </c>
      <c r="L59" s="387">
        <v>138.6</v>
      </c>
      <c r="M59" s="387">
        <f>L59/G59*100</f>
        <v>19.72953736654804</v>
      </c>
      <c r="N59" s="535">
        <f>M59*$H59</f>
        <v>0.13610146295325051</v>
      </c>
      <c r="O59" s="387">
        <v>0</v>
      </c>
      <c r="P59" s="363">
        <f>O59/G59*100</f>
        <v>0</v>
      </c>
      <c r="Q59" s="535">
        <f>P59*$H59</f>
        <v>0</v>
      </c>
      <c r="R59" s="387">
        <v>122</v>
      </c>
      <c r="S59" s="363">
        <f>R59/G59*100</f>
        <v>17.366548042704625</v>
      </c>
      <c r="T59" s="535">
        <f>S59*$H59</f>
        <v>0.11980071053605025</v>
      </c>
      <c r="U59" s="387">
        <v>0</v>
      </c>
      <c r="V59" s="363">
        <f>U59/G59*100</f>
        <v>0</v>
      </c>
      <c r="W59" s="535">
        <f>V59*$H59</f>
        <v>0</v>
      </c>
      <c r="X59" s="387">
        <v>95.6</v>
      </c>
      <c r="Y59" s="363">
        <f>X59/G59*100</f>
        <v>13.608540925266905</v>
      </c>
      <c r="Z59" s="535">
        <f>Y59*$H59</f>
        <v>9.3876622354478731E-2</v>
      </c>
      <c r="AA59" s="387">
        <v>0</v>
      </c>
      <c r="AB59" s="363">
        <f>AA59/G59*100</f>
        <v>0</v>
      </c>
      <c r="AC59" s="535">
        <f>AB59*$H59</f>
        <v>0</v>
      </c>
      <c r="AD59" s="387">
        <v>0</v>
      </c>
      <c r="AE59" s="363">
        <f>AD59/G59*100</f>
        <v>0</v>
      </c>
      <c r="AF59" s="535">
        <f>AE59*$H59</f>
        <v>0</v>
      </c>
      <c r="AG59" s="121">
        <f>SUM(AE59+AB59+Y59+V59+S59+P59+M59+J59)</f>
        <v>100</v>
      </c>
      <c r="AH59" s="533">
        <f>N59+Q59+T59+W59+Z59+AC59+AF59</f>
        <v>0.34977879584377952</v>
      </c>
      <c r="AI59" s="584">
        <f>ROW(AH59)</f>
        <v>59</v>
      </c>
    </row>
    <row r="60" spans="1:35" s="584" customFormat="1" ht="26.25" customHeight="1">
      <c r="A60" s="552"/>
      <c r="B60" s="563">
        <v>4112101</v>
      </c>
      <c r="C60" s="555" t="str">
        <f>'9.Detil Phasing'!C61</f>
        <v>Motorcycle - 45 Nos. (PMO 2 Nos.,Kishoreganj 11 Nos., Netrokona 6 Nos., Sunamganj 6 Nos., Habiganj 6 Nos.&amp; Brahmanbaria 4 Nos).</v>
      </c>
      <c r="D60" s="519" t="s">
        <v>70</v>
      </c>
      <c r="E60" s="387">
        <v>1.36</v>
      </c>
      <c r="F60" s="462">
        <v>50</v>
      </c>
      <c r="G60" s="387">
        <v>68.25</v>
      </c>
      <c r="H60" s="535">
        <f>G60/G$100</f>
        <v>6.7019659787585491E-4</v>
      </c>
      <c r="I60" s="387">
        <v>5.8250000000000002</v>
      </c>
      <c r="J60" s="387">
        <f>I60/G60*100</f>
        <v>8.5347985347985347</v>
      </c>
      <c r="K60" s="535">
        <f>J60*$H60</f>
        <v>5.7199929415778089E-3</v>
      </c>
      <c r="L60" s="387">
        <v>26.315000000000001</v>
      </c>
      <c r="M60" s="387">
        <f>L60/G60*100</f>
        <v>38.556776556776555</v>
      </c>
      <c r="N60" s="535">
        <f>M60*$H60</f>
        <v>2.5840620473411166E-2</v>
      </c>
      <c r="O60" s="387">
        <v>10.08</v>
      </c>
      <c r="P60" s="363">
        <f>O60/G60*100</f>
        <v>14.76923076923077</v>
      </c>
      <c r="Q60" s="535">
        <f>P60*$H60</f>
        <v>9.8982882147818571E-3</v>
      </c>
      <c r="R60" s="387">
        <v>8</v>
      </c>
      <c r="S60" s="363">
        <f>R60/G60*100</f>
        <v>11.721611721611721</v>
      </c>
      <c r="T60" s="535">
        <f>S60*$H60</f>
        <v>7.8557842974459179E-3</v>
      </c>
      <c r="U60" s="387">
        <v>0</v>
      </c>
      <c r="V60" s="363">
        <f>U60/G60*100</f>
        <v>0</v>
      </c>
      <c r="W60" s="535">
        <f>V60*$H60</f>
        <v>0</v>
      </c>
      <c r="X60" s="387">
        <v>0</v>
      </c>
      <c r="Y60" s="363">
        <f>X60/G60*100</f>
        <v>0</v>
      </c>
      <c r="Z60" s="535">
        <f>Y60*$H60</f>
        <v>0</v>
      </c>
      <c r="AA60" s="387">
        <v>10.0968</v>
      </c>
      <c r="AB60" s="363">
        <f>AA60/G60*100</f>
        <v>14.793846153846154</v>
      </c>
      <c r="AC60" s="535">
        <f>AB60*$H60</f>
        <v>9.9147853618064934E-3</v>
      </c>
      <c r="AD60" s="387">
        <v>7.9332000000000003</v>
      </c>
      <c r="AE60" s="363">
        <f>AD60/G60*100</f>
        <v>11.623736263736264</v>
      </c>
      <c r="AF60" s="535">
        <f>AE60*$H60</f>
        <v>7.7901884985622453E-3</v>
      </c>
      <c r="AG60" s="121">
        <f>SUM(AE60+AB60+Y60+V60+S60+P60+M60+J60)</f>
        <v>100</v>
      </c>
      <c r="AH60" s="533">
        <f>N60+Q60+T60+W60+Z60+AC60+AF60</f>
        <v>6.1299666846007676E-2</v>
      </c>
      <c r="AI60" s="584">
        <f>ROW(AH60)</f>
        <v>60</v>
      </c>
    </row>
    <row r="61" spans="1:35" s="584" customFormat="1" ht="15" customHeight="1">
      <c r="A61" s="552"/>
      <c r="B61" s="561"/>
      <c r="C61" s="556" t="str">
        <f>'9.Detil Phasing'!C62</f>
        <v>Water Transport :</v>
      </c>
      <c r="D61" s="519"/>
      <c r="E61" s="387"/>
      <c r="F61" s="462"/>
      <c r="G61" s="387"/>
      <c r="H61" s="535"/>
      <c r="I61" s="387"/>
      <c r="J61" s="387"/>
      <c r="K61" s="535"/>
      <c r="L61" s="387"/>
      <c r="M61" s="387"/>
      <c r="N61" s="535"/>
      <c r="O61" s="387"/>
      <c r="P61" s="363"/>
      <c r="Q61" s="535"/>
      <c r="R61" s="387"/>
      <c r="S61" s="363"/>
      <c r="T61" s="535"/>
      <c r="U61" s="387"/>
      <c r="V61" s="363"/>
      <c r="W61" s="535"/>
      <c r="X61" s="387"/>
      <c r="Y61" s="363"/>
      <c r="Z61" s="535"/>
      <c r="AA61" s="387"/>
      <c r="AB61" s="363"/>
      <c r="AC61" s="535"/>
      <c r="AD61" s="387"/>
      <c r="AE61" s="363"/>
      <c r="AF61" s="535"/>
      <c r="AG61" s="121"/>
    </row>
    <row r="62" spans="1:35" s="584" customFormat="1" ht="17.25" customHeight="1">
      <c r="A62" s="552"/>
      <c r="B62" s="562">
        <v>4112102</v>
      </c>
      <c r="C62" s="557" t="str">
        <f>'9.Detil Phasing'!C63</f>
        <v>Speed Boat with Engine and all accessories (75 hp &amp; 6 Nos.)</v>
      </c>
      <c r="D62" s="519" t="s">
        <v>70</v>
      </c>
      <c r="E62" s="387">
        <v>16.670000000000002</v>
      </c>
      <c r="F62" s="462">
        <v>6</v>
      </c>
      <c r="G62" s="387">
        <v>100</v>
      </c>
      <c r="H62" s="535">
        <f>G62/G$100</f>
        <v>9.8197303718073974E-4</v>
      </c>
      <c r="I62" s="387">
        <v>0</v>
      </c>
      <c r="J62" s="387">
        <f>I62/G62*100</f>
        <v>0</v>
      </c>
      <c r="K62" s="535">
        <f>J62*$H62</f>
        <v>0</v>
      </c>
      <c r="L62" s="387">
        <v>0</v>
      </c>
      <c r="M62" s="387">
        <f>L62/G62*100</f>
        <v>0</v>
      </c>
      <c r="N62" s="535">
        <f>M62*$H62</f>
        <v>0</v>
      </c>
      <c r="O62" s="387">
        <v>40.29</v>
      </c>
      <c r="P62" s="363">
        <f>O62/G62*100</f>
        <v>40.29</v>
      </c>
      <c r="Q62" s="535">
        <f>P62*$H62</f>
        <v>3.9563693668012004E-2</v>
      </c>
      <c r="R62" s="387">
        <v>21</v>
      </c>
      <c r="S62" s="363">
        <f>R62/G62*100</f>
        <v>21</v>
      </c>
      <c r="T62" s="535">
        <f>S62*$H62</f>
        <v>2.0621433780795534E-2</v>
      </c>
      <c r="U62" s="387">
        <v>0</v>
      </c>
      <c r="V62" s="363">
        <f>U62/G62*100</f>
        <v>0</v>
      </c>
      <c r="W62" s="535">
        <f>V62*$H62</f>
        <v>0</v>
      </c>
      <c r="X62" s="387">
        <v>0</v>
      </c>
      <c r="Y62" s="363">
        <f>X62/G62*100</f>
        <v>0</v>
      </c>
      <c r="Z62" s="535">
        <f>Y62*$H62</f>
        <v>0</v>
      </c>
      <c r="AA62" s="387">
        <v>22.838899999999999</v>
      </c>
      <c r="AB62" s="363">
        <f>AA62/G62*100</f>
        <v>22.838899999999999</v>
      </c>
      <c r="AC62" s="535">
        <f>AB62*$H62</f>
        <v>2.2427183998867197E-2</v>
      </c>
      <c r="AD62" s="387">
        <v>15.8711</v>
      </c>
      <c r="AE62" s="363">
        <f>AD62/G62*100</f>
        <v>15.871099999999998</v>
      </c>
      <c r="AF62" s="535">
        <f>AE62*$H62</f>
        <v>1.5584992270399237E-2</v>
      </c>
      <c r="AG62" s="121">
        <f>SUM(AE62+AB62+Y62+V62+S62+P62+M62+J62)</f>
        <v>100</v>
      </c>
      <c r="AH62" s="533">
        <f>N62+Q62+T62+W62+Z62+AC62+AF62</f>
        <v>9.8197303718073975E-2</v>
      </c>
      <c r="AI62" s="584">
        <f t="shared" ref="AI62:AI69" si="60">ROW(AH62)</f>
        <v>62</v>
      </c>
    </row>
    <row r="63" spans="1:35" s="584" customFormat="1" ht="15.75" customHeight="1">
      <c r="A63" s="552"/>
      <c r="B63" s="561"/>
      <c r="C63" s="558" t="str">
        <f>'9.Detil Phasing'!C64</f>
        <v>Mechinary &amp; Other Equipment</v>
      </c>
      <c r="D63" s="519"/>
      <c r="E63" s="387"/>
      <c r="F63" s="462"/>
      <c r="G63" s="387"/>
      <c r="H63" s="535"/>
      <c r="I63" s="387"/>
      <c r="J63" s="387"/>
      <c r="K63" s="535"/>
      <c r="L63" s="387"/>
      <c r="M63" s="387"/>
      <c r="N63" s="535"/>
      <c r="O63" s="387"/>
      <c r="P63" s="363"/>
      <c r="Q63" s="535"/>
      <c r="R63" s="387"/>
      <c r="S63" s="363"/>
      <c r="T63" s="535"/>
      <c r="U63" s="387"/>
      <c r="V63" s="363"/>
      <c r="W63" s="535"/>
      <c r="X63" s="387"/>
      <c r="Y63" s="363"/>
      <c r="Z63" s="535"/>
      <c r="AA63" s="387"/>
      <c r="AB63" s="363"/>
      <c r="AC63" s="535"/>
      <c r="AD63" s="387"/>
      <c r="AE63" s="363"/>
      <c r="AF63" s="535"/>
      <c r="AG63" s="121"/>
      <c r="AH63" s="533">
        <f>N63+Q63+T63+W63+Z63+AC63+AF63</f>
        <v>0</v>
      </c>
      <c r="AI63" s="584">
        <f t="shared" si="60"/>
        <v>63</v>
      </c>
    </row>
    <row r="64" spans="1:35" s="584" customFormat="1" ht="15.75" customHeight="1">
      <c r="A64" s="552"/>
      <c r="B64" s="562">
        <v>4112316</v>
      </c>
      <c r="C64" s="557" t="str">
        <f>'9.Detil Phasing'!C65</f>
        <v>Photocopier -7 nos (PMO 2 Nos.,Kishoreganj 1 No., Netrokona 1 No., Sunamganj 1 No., Habiganj 1No.&amp; Brahmanbaria 1 No).</v>
      </c>
      <c r="D64" s="519" t="s">
        <v>70</v>
      </c>
      <c r="E64" s="387">
        <v>1.28</v>
      </c>
      <c r="F64" s="462">
        <v>7</v>
      </c>
      <c r="G64" s="387">
        <v>8.9700000000000006</v>
      </c>
      <c r="H64" s="535">
        <f>G64/G$100</f>
        <v>8.8082981435112366E-5</v>
      </c>
      <c r="I64" s="387">
        <v>3.726</v>
      </c>
      <c r="J64" s="387">
        <f>I64/G64*100</f>
        <v>41.538461538461533</v>
      </c>
      <c r="K64" s="535">
        <f>J64*$H64</f>
        <v>3.6588315365354363E-3</v>
      </c>
      <c r="L64" s="387">
        <v>2.7440000000000002</v>
      </c>
      <c r="M64" s="387">
        <f>L64/G64*100</f>
        <v>30.59085841694537</v>
      </c>
      <c r="N64" s="535">
        <f>M64*$H64</f>
        <v>2.6945340140239497E-3</v>
      </c>
      <c r="O64" s="387">
        <v>2.48</v>
      </c>
      <c r="P64" s="363">
        <f>O64/G64*100</f>
        <v>27.647714604236342</v>
      </c>
      <c r="Q64" s="535">
        <f>P64*$H64</f>
        <v>2.4352931322082346E-3</v>
      </c>
      <c r="R64" s="387">
        <v>0</v>
      </c>
      <c r="S64" s="363">
        <f>R64/G64*100</f>
        <v>0</v>
      </c>
      <c r="T64" s="535">
        <f>S64*$H64</f>
        <v>0</v>
      </c>
      <c r="U64" s="387">
        <v>0</v>
      </c>
      <c r="V64" s="363">
        <f>U64/G64*100</f>
        <v>0</v>
      </c>
      <c r="W64" s="535">
        <f>V64*$H64</f>
        <v>0</v>
      </c>
      <c r="X64" s="387">
        <v>0</v>
      </c>
      <c r="Y64" s="363">
        <f>X64/G64*100</f>
        <v>0</v>
      </c>
      <c r="Z64" s="535">
        <f>Y64*$H64</f>
        <v>0</v>
      </c>
      <c r="AA64" s="387">
        <v>1.1399999999999759E-2</v>
      </c>
      <c r="AB64" s="363">
        <f>AA64/G64*100</f>
        <v>0.12709030100334179</v>
      </c>
      <c r="AC64" s="535">
        <f>AB64*$H64</f>
        <v>1.1194492623860197E-5</v>
      </c>
      <c r="AD64" s="387">
        <v>8.5999999999998161E-3</v>
      </c>
      <c r="AE64" s="363">
        <f>AD64/G64*100</f>
        <v>9.587513935339817E-2</v>
      </c>
      <c r="AF64" s="535">
        <f>AE64*$H64</f>
        <v>8.4449681197541826E-6</v>
      </c>
      <c r="AG64" s="121">
        <f>SUM(AE64+AB64+Y64+V64+S64+P64+M64+J64)</f>
        <v>99.999999999999986</v>
      </c>
      <c r="AH64" s="533">
        <f>N64+Q64+T64+W64+Z64+AC64+AF64</f>
        <v>5.1494666069757987E-3</v>
      </c>
      <c r="AI64" s="584">
        <f t="shared" si="60"/>
        <v>64</v>
      </c>
    </row>
    <row r="65" spans="1:35" s="584" customFormat="1" ht="14.25" customHeight="1">
      <c r="A65" s="552"/>
      <c r="B65" s="563">
        <v>4112316</v>
      </c>
      <c r="C65" s="557" t="str">
        <f>'9.Detil Phasing'!C66</f>
        <v>Fax -7 nos (PMO 2 Nos.,Kishoreganj 1 No., Netrokona 1 No., Sunamganj 1 No., Habiganj 1No.&amp; Brahmanbaria 1 No).</v>
      </c>
      <c r="D65" s="519" t="s">
        <v>70</v>
      </c>
      <c r="E65" s="387">
        <v>0.71</v>
      </c>
      <c r="F65" s="462">
        <v>7</v>
      </c>
      <c r="G65" s="387">
        <v>5</v>
      </c>
      <c r="H65" s="535">
        <f>G65/G$100</f>
        <v>4.9098651859036987E-5</v>
      </c>
      <c r="I65" s="387">
        <v>0.79600000000000004</v>
      </c>
      <c r="J65" s="387">
        <f>I65/G65*100</f>
        <v>15.920000000000002</v>
      </c>
      <c r="K65" s="535">
        <f>J65*$H65</f>
        <v>7.8165053759586892E-4</v>
      </c>
      <c r="L65" s="387">
        <v>0</v>
      </c>
      <c r="M65" s="387">
        <f>L65/G65*100</f>
        <v>0</v>
      </c>
      <c r="N65" s="535">
        <f>M65*$H65</f>
        <v>0</v>
      </c>
      <c r="O65" s="387">
        <v>0</v>
      </c>
      <c r="P65" s="363">
        <f>O65/G65*100</f>
        <v>0</v>
      </c>
      <c r="Q65" s="535">
        <f>P65*$H65</f>
        <v>0</v>
      </c>
      <c r="R65" s="387">
        <v>0</v>
      </c>
      <c r="S65" s="363">
        <f>R65/G65*100</f>
        <v>0</v>
      </c>
      <c r="T65" s="535">
        <f>S65*$H65</f>
        <v>0</v>
      </c>
      <c r="U65" s="387">
        <v>-6.0000000000000001E-3</v>
      </c>
      <c r="V65" s="363">
        <f>U65/G65*100</f>
        <v>-0.12000000000000001</v>
      </c>
      <c r="W65" s="535">
        <f>V65*$H65</f>
        <v>-5.8918382230844385E-6</v>
      </c>
      <c r="X65" s="387">
        <v>0</v>
      </c>
      <c r="Y65" s="363">
        <f>X65/G65*100</f>
        <v>0</v>
      </c>
      <c r="Z65" s="535">
        <f>Y65*$H65</f>
        <v>0</v>
      </c>
      <c r="AA65" s="387">
        <v>2.4418000000000002</v>
      </c>
      <c r="AB65" s="363">
        <f>AA65/G65*100</f>
        <v>48.835999999999999</v>
      </c>
      <c r="AC65" s="535">
        <f>AB65*$H65</f>
        <v>2.3977817621879303E-3</v>
      </c>
      <c r="AD65" s="387">
        <v>1.7682</v>
      </c>
      <c r="AE65" s="363">
        <f>AD65/G65*100</f>
        <v>35.364000000000004</v>
      </c>
      <c r="AF65" s="535">
        <f>AE65*$H65</f>
        <v>1.7363247243429843E-3</v>
      </c>
      <c r="AG65" s="121">
        <f>SUM(AE65+AB65+Y65+V65+S65+P65+M65+J65)</f>
        <v>100</v>
      </c>
      <c r="AH65" s="533">
        <f>N65+Q65+T65+W65+Z65+AC65+AF65</f>
        <v>4.12821464830783E-3</v>
      </c>
      <c r="AI65" s="584">
        <f t="shared" si="60"/>
        <v>65</v>
      </c>
    </row>
    <row r="66" spans="1:35" s="584" customFormat="1" ht="15.75" customHeight="1">
      <c r="A66" s="552"/>
      <c r="B66" s="563"/>
      <c r="C66" s="556" t="str">
        <f>'9.Detil Phasing'!C67</f>
        <v>Engineering Equipments</v>
      </c>
      <c r="D66" s="519"/>
      <c r="E66" s="387"/>
      <c r="F66" s="462"/>
      <c r="G66" s="387"/>
      <c r="H66" s="535"/>
      <c r="I66" s="387"/>
      <c r="J66" s="387"/>
      <c r="K66" s="535"/>
      <c r="L66" s="387"/>
      <c r="M66" s="387"/>
      <c r="N66" s="535"/>
      <c r="O66" s="387"/>
      <c r="P66" s="363"/>
      <c r="Q66" s="535"/>
      <c r="R66" s="387"/>
      <c r="S66" s="363"/>
      <c r="T66" s="535"/>
      <c r="U66" s="387"/>
      <c r="V66" s="363"/>
      <c r="W66" s="535"/>
      <c r="X66" s="387"/>
      <c r="Y66" s="363"/>
      <c r="Z66" s="535"/>
      <c r="AA66" s="387"/>
      <c r="AB66" s="363"/>
      <c r="AC66" s="535"/>
      <c r="AD66" s="387"/>
      <c r="AE66" s="363"/>
      <c r="AF66" s="535"/>
      <c r="AG66" s="121"/>
      <c r="AI66" s="584">
        <f t="shared" si="60"/>
        <v>66</v>
      </c>
    </row>
    <row r="67" spans="1:35" s="584" customFormat="1" ht="16.5" customHeight="1">
      <c r="A67" s="552"/>
      <c r="B67" s="563">
        <v>4112304</v>
      </c>
      <c r="C67" s="555" t="str">
        <f>'9.Detil Phasing'!C68</f>
        <v>Survey Equipments (Digital leveling Instrument 5 nos., Total Station 2 nos. &amp; Hand Held GPS 10 Nos)</v>
      </c>
      <c r="D67" s="519" t="s">
        <v>159</v>
      </c>
      <c r="E67" s="387">
        <v>1.21</v>
      </c>
      <c r="F67" s="462">
        <v>17</v>
      </c>
      <c r="G67" s="387">
        <v>20.5</v>
      </c>
      <c r="H67" s="535">
        <f>G67/G$100</f>
        <v>2.0130447262205165E-4</v>
      </c>
      <c r="I67" s="387">
        <v>0</v>
      </c>
      <c r="J67" s="387">
        <f>I67/G67*100</f>
        <v>0</v>
      </c>
      <c r="K67" s="536">
        <f>J67*$H67</f>
        <v>0</v>
      </c>
      <c r="L67" s="387">
        <v>5.55</v>
      </c>
      <c r="M67" s="387">
        <f>L67/G67*100</f>
        <v>27.073170731707318</v>
      </c>
      <c r="N67" s="536">
        <f>M67*$H67</f>
        <v>5.4499503563531062E-3</v>
      </c>
      <c r="O67" s="387">
        <v>11.15</v>
      </c>
      <c r="P67" s="363">
        <f>O67/G67*100</f>
        <v>54.390243902439025</v>
      </c>
      <c r="Q67" s="535">
        <f>P67*$H67</f>
        <v>1.0948999364565249E-2</v>
      </c>
      <c r="R67" s="387">
        <v>3.48</v>
      </c>
      <c r="S67" s="363">
        <f>R67/G67*100</f>
        <v>16.975609756097562</v>
      </c>
      <c r="T67" s="535">
        <f>S67*$H67</f>
        <v>3.4172661693889746E-3</v>
      </c>
      <c r="U67" s="387">
        <v>0</v>
      </c>
      <c r="V67" s="363">
        <f>U67/G67*100</f>
        <v>0</v>
      </c>
      <c r="W67" s="535">
        <f>V67*$H67</f>
        <v>0</v>
      </c>
      <c r="X67" s="387">
        <v>0</v>
      </c>
      <c r="Y67" s="363">
        <f>X67/G67*100</f>
        <v>0</v>
      </c>
      <c r="Z67" s="535">
        <f>Y67*$H67</f>
        <v>0</v>
      </c>
      <c r="AA67" s="387">
        <v>0.18240000000000009</v>
      </c>
      <c r="AB67" s="363">
        <f>AA67/G67*100</f>
        <v>0.88975609756097607</v>
      </c>
      <c r="AC67" s="535">
        <f>AB67*$H67</f>
        <v>1.7911188198176703E-4</v>
      </c>
      <c r="AD67" s="387">
        <v>0.13760000000000011</v>
      </c>
      <c r="AE67" s="363">
        <f>AD67/G67*100</f>
        <v>0.67121951219512255</v>
      </c>
      <c r="AF67" s="535">
        <f>AE67*$H67</f>
        <v>1.351194899160699E-4</v>
      </c>
      <c r="AG67" s="121">
        <f>SUM(AE67+AB67+Y67+V67+S67+P67+M67+J67)</f>
        <v>100.00000000000001</v>
      </c>
      <c r="AH67" s="533">
        <f>N67+Q67+T67+W67+Z67+AC67+AF67</f>
        <v>2.0130447262205167E-2</v>
      </c>
      <c r="AI67" s="584">
        <f t="shared" si="60"/>
        <v>67</v>
      </c>
    </row>
    <row r="68" spans="1:35" s="584" customFormat="1" ht="22.5" customHeight="1">
      <c r="A68" s="552"/>
      <c r="B68" s="561">
        <v>4112304</v>
      </c>
      <c r="C68" s="555" t="str">
        <f>'9.Detil Phasing'!C69</f>
        <v>Networking Equipment- 6 nos (PMO 1 No., Kishoreganj 1 No., Netrokona 1 No., Sunamganj 1 No., Habiganj 1No.&amp; Brahmanbaria 1 No)</v>
      </c>
      <c r="D68" s="519" t="s">
        <v>70</v>
      </c>
      <c r="E68" s="387">
        <v>1</v>
      </c>
      <c r="F68" s="462">
        <v>6</v>
      </c>
      <c r="G68" s="387">
        <v>6</v>
      </c>
      <c r="H68" s="535">
        <f>G68/G$100</f>
        <v>5.8918382230844389E-5</v>
      </c>
      <c r="I68" s="387">
        <v>0</v>
      </c>
      <c r="J68" s="387">
        <f>I68/G68*100</f>
        <v>0</v>
      </c>
      <c r="K68" s="536">
        <f>J68*$H68</f>
        <v>0</v>
      </c>
      <c r="L68" s="387">
        <v>0</v>
      </c>
      <c r="M68" s="387">
        <f>L68/G68*100</f>
        <v>0</v>
      </c>
      <c r="N68" s="536">
        <f>M68*$H68</f>
        <v>0</v>
      </c>
      <c r="O68" s="387">
        <v>0</v>
      </c>
      <c r="P68" s="363">
        <f>O68/G68*100</f>
        <v>0</v>
      </c>
      <c r="Q68" s="535">
        <f>P68*$H68</f>
        <v>0</v>
      </c>
      <c r="R68" s="387">
        <v>2.13</v>
      </c>
      <c r="S68" s="363">
        <f>R68/G68*100</f>
        <v>35.5</v>
      </c>
      <c r="T68" s="535">
        <f>S68*$H68</f>
        <v>2.091602569194976E-3</v>
      </c>
      <c r="U68" s="387">
        <v>0</v>
      </c>
      <c r="V68" s="363">
        <f>U68/G68*100</f>
        <v>0</v>
      </c>
      <c r="W68" s="535">
        <f>V68*$H68</f>
        <v>0</v>
      </c>
      <c r="X68" s="387">
        <v>0</v>
      </c>
      <c r="Y68" s="363">
        <f>X68/G68*100</f>
        <v>0</v>
      </c>
      <c r="Z68" s="535">
        <f>Y68*$H68</f>
        <v>0</v>
      </c>
      <c r="AA68" s="387">
        <v>2.4380999999999999</v>
      </c>
      <c r="AB68" s="363">
        <f>AA68/G68*100</f>
        <v>40.634999999999998</v>
      </c>
      <c r="AC68" s="535">
        <f>AB68*$H68</f>
        <v>2.3941484619503617E-3</v>
      </c>
      <c r="AD68" s="387">
        <v>1.4319</v>
      </c>
      <c r="AE68" s="363">
        <f>AD68/G68*100</f>
        <v>23.864999999999998</v>
      </c>
      <c r="AF68" s="535">
        <f>AE68*$H68</f>
        <v>1.4060871919391012E-3</v>
      </c>
      <c r="AG68" s="121">
        <f>SUM(AE68+AB68+Y68+V68+S68+P68+M68+J68)</f>
        <v>100</v>
      </c>
      <c r="AH68" s="533">
        <f>N68+Q68+T68+W68+Z68+AC68+AF68</f>
        <v>5.8918382230844389E-3</v>
      </c>
      <c r="AI68" s="584">
        <f t="shared" si="60"/>
        <v>68</v>
      </c>
    </row>
    <row r="69" spans="1:35" s="584" customFormat="1" ht="23.25" customHeight="1">
      <c r="A69" s="552"/>
      <c r="B69" s="561">
        <v>4112304</v>
      </c>
      <c r="C69" s="555" t="str">
        <f>'9.Detil Phasing'!C70</f>
        <v>Engineering Laboratory Equipments for Kishoregonj WD Division</v>
      </c>
      <c r="D69" s="519" t="s">
        <v>70</v>
      </c>
      <c r="E69" s="387">
        <v>50</v>
      </c>
      <c r="F69" s="462" t="s">
        <v>160</v>
      </c>
      <c r="G69" s="387">
        <v>50</v>
      </c>
      <c r="H69" s="535">
        <f>G69/G$100</f>
        <v>4.9098651859036987E-4</v>
      </c>
      <c r="I69" s="387">
        <v>0</v>
      </c>
      <c r="J69" s="387">
        <f>I69/G69*100</f>
        <v>0</v>
      </c>
      <c r="K69" s="536">
        <f>J69*$H69</f>
        <v>0</v>
      </c>
      <c r="L69" s="387">
        <v>0</v>
      </c>
      <c r="M69" s="387">
        <f>L69/G69*100</f>
        <v>0</v>
      </c>
      <c r="N69" s="536">
        <f>M69*$H69</f>
        <v>0</v>
      </c>
      <c r="O69" s="387">
        <v>0</v>
      </c>
      <c r="P69" s="363">
        <f>O69/G69*100</f>
        <v>0</v>
      </c>
      <c r="Q69" s="535">
        <f>P69*$H69</f>
        <v>0</v>
      </c>
      <c r="R69" s="387">
        <v>7.89</v>
      </c>
      <c r="S69" s="363">
        <f>R69/G69*100</f>
        <v>15.78</v>
      </c>
      <c r="T69" s="535">
        <f>S69*$H69</f>
        <v>7.7477672633560367E-3</v>
      </c>
      <c r="U69" s="387">
        <v>1.6</v>
      </c>
      <c r="V69" s="363">
        <f>U69/G69*100</f>
        <v>3.2</v>
      </c>
      <c r="W69" s="535">
        <f>V69*$H69</f>
        <v>1.5711568594891836E-3</v>
      </c>
      <c r="X69" s="387">
        <v>5</v>
      </c>
      <c r="Y69" s="363">
        <f>X69/G69*100</f>
        <v>10</v>
      </c>
      <c r="Z69" s="535">
        <f>Y69*$H69</f>
        <v>4.9098651859036989E-3</v>
      </c>
      <c r="AA69" s="387">
        <v>19.5305</v>
      </c>
      <c r="AB69" s="363">
        <f>AA69/G69*100</f>
        <v>39.061</v>
      </c>
      <c r="AC69" s="535">
        <f>AB69*$H69</f>
        <v>1.9178424402658437E-2</v>
      </c>
      <c r="AD69" s="387">
        <v>15.9795</v>
      </c>
      <c r="AE69" s="363">
        <f>AD69/G69*100</f>
        <v>31.959</v>
      </c>
      <c r="AF69" s="535">
        <f>AE69*$H69</f>
        <v>1.5691438147629629E-2</v>
      </c>
      <c r="AG69" s="121">
        <f>SUM(AE69+AB69+Y69+V69+S69+P69+M69+J69)</f>
        <v>100</v>
      </c>
      <c r="AH69" s="533">
        <f>N69+Q69+T69+W69+Z69+AC69+AF69</f>
        <v>4.9098651859036987E-2</v>
      </c>
      <c r="AI69" s="584">
        <f t="shared" si="60"/>
        <v>69</v>
      </c>
    </row>
    <row r="70" spans="1:35" s="584" customFormat="1" ht="16.5" customHeight="1">
      <c r="A70" s="552"/>
      <c r="B70" s="563"/>
      <c r="C70" s="559" t="str">
        <f>'9.Detil Phasing'!C71</f>
        <v>Computers &amp; Accessories</v>
      </c>
      <c r="D70" s="519"/>
      <c r="E70" s="387"/>
      <c r="F70" s="462"/>
      <c r="G70" s="387"/>
      <c r="H70" s="535"/>
      <c r="I70" s="387"/>
      <c r="J70" s="387"/>
      <c r="K70" s="536"/>
      <c r="L70" s="387"/>
      <c r="M70" s="387"/>
      <c r="N70" s="536"/>
      <c r="O70" s="387"/>
      <c r="P70" s="363"/>
      <c r="Q70" s="535"/>
      <c r="R70" s="387"/>
      <c r="S70" s="363"/>
      <c r="T70" s="535"/>
      <c r="U70" s="387"/>
      <c r="V70" s="363"/>
      <c r="W70" s="535"/>
      <c r="X70" s="387"/>
      <c r="Y70" s="363"/>
      <c r="Z70" s="535"/>
      <c r="AA70" s="387"/>
      <c r="AB70" s="363"/>
      <c r="AC70" s="535"/>
      <c r="AD70" s="387"/>
      <c r="AE70" s="363"/>
      <c r="AF70" s="535"/>
      <c r="AG70" s="121"/>
    </row>
    <row r="71" spans="1:35" s="584" customFormat="1" ht="24.75" customHeight="1">
      <c r="A71" s="552"/>
      <c r="B71" s="563">
        <v>4112202</v>
      </c>
      <c r="C71" s="555" t="str">
        <f>'9.Detil Phasing'!C72</f>
        <v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v>
      </c>
      <c r="D71" s="519" t="s">
        <v>70</v>
      </c>
      <c r="E71" s="387">
        <v>0.65</v>
      </c>
      <c r="F71" s="462">
        <v>30</v>
      </c>
      <c r="G71" s="387">
        <v>19.5</v>
      </c>
      <c r="H71" s="535">
        <f t="shared" ref="H71:H76" si="61">G71/G$100</f>
        <v>1.9148474225024424E-4</v>
      </c>
      <c r="I71" s="387">
        <v>3.879</v>
      </c>
      <c r="J71" s="387">
        <f t="shared" ref="J71:J76" si="62">I71/G71*100</f>
        <v>19.892307692307693</v>
      </c>
      <c r="K71" s="536">
        <f t="shared" ref="K71:K76" si="63">J71*$H71</f>
        <v>3.8090734112240896E-3</v>
      </c>
      <c r="L71" s="387">
        <v>7.141</v>
      </c>
      <c r="M71" s="387">
        <f t="shared" ref="M71:M76" si="64">L71/G71*100</f>
        <v>36.620512820512815</v>
      </c>
      <c r="N71" s="536">
        <f t="shared" ref="N71:N76" si="65">M71*$H71</f>
        <v>7.0122694585076613E-3</v>
      </c>
      <c r="O71" s="387">
        <v>6.18</v>
      </c>
      <c r="P71" s="363">
        <f t="shared" ref="P71:P76" si="66">O71/G71*100</f>
        <v>31.692307692307693</v>
      </c>
      <c r="Q71" s="535">
        <f t="shared" ref="Q71:Q76" si="67">P71*$H71</f>
        <v>6.0685933697769718E-3</v>
      </c>
      <c r="R71" s="387">
        <v>2.27</v>
      </c>
      <c r="S71" s="363">
        <f t="shared" ref="S71:S76" si="68">R71/G71*100</f>
        <v>11.641025641025642</v>
      </c>
      <c r="T71" s="535">
        <f t="shared" ref="T71:T76" si="69">S71*$H71</f>
        <v>2.2290787944002793E-3</v>
      </c>
      <c r="U71" s="387">
        <v>0</v>
      </c>
      <c r="V71" s="363">
        <f t="shared" ref="V71:V76" si="70">U71/G71*100</f>
        <v>0</v>
      </c>
      <c r="W71" s="535">
        <f t="shared" ref="W71:W76" si="71">V71*$H71</f>
        <v>0</v>
      </c>
      <c r="X71" s="387">
        <v>0</v>
      </c>
      <c r="Y71" s="363">
        <f t="shared" ref="Y71:Y76" si="72">X71/G71*100</f>
        <v>0</v>
      </c>
      <c r="Z71" s="535">
        <f t="shared" ref="Z71:Z76" si="73">Y71*$H71</f>
        <v>0</v>
      </c>
      <c r="AA71" s="387">
        <v>1.8000000000000679E-2</v>
      </c>
      <c r="AB71" s="363">
        <f t="shared" ref="AB71:AB76" si="74">AA71/G71*100</f>
        <v>9.2307692307695782E-2</v>
      </c>
      <c r="AC71" s="535">
        <f t="shared" ref="AC71:AC76" si="75">AB71*$H71</f>
        <v>1.7675514669253981E-5</v>
      </c>
      <c r="AD71" s="387">
        <v>1.200000000000045E-2</v>
      </c>
      <c r="AE71" s="363">
        <f t="shared" ref="AE71:AE76" si="76">AD71/G71*100</f>
        <v>6.1538461538463839E-2</v>
      </c>
      <c r="AF71" s="535">
        <f t="shared" ref="AF71:AF76" si="77">AE71*$H71</f>
        <v>1.1783676446169317E-5</v>
      </c>
      <c r="AG71" s="121">
        <f t="shared" ref="AG71:AG76" si="78">SUM(AE71+AB71+Y71+V71+S71+P71+M71+J71)</f>
        <v>100</v>
      </c>
      <c r="AH71" s="533">
        <f t="shared" ref="AH71:AH76" si="79">N71+Q71+T71+W71+Z71+AC71+AF71</f>
        <v>1.5339400813800336E-2</v>
      </c>
      <c r="AI71" s="584">
        <f t="shared" ref="AI71:AI76" si="80">ROW(AH71)</f>
        <v>71</v>
      </c>
    </row>
    <row r="72" spans="1:35" s="584" customFormat="1" ht="16.5" customHeight="1">
      <c r="A72" s="552"/>
      <c r="B72" s="563">
        <v>4112202</v>
      </c>
      <c r="C72" s="555" t="str">
        <f>'9.Detil Phasing'!C73</f>
        <v>Laptop Computer -11 nos (PMO 6 Nos.,Kishoreganj 1 No., Netrokona 1 No., Sunamganj 1 No., Habiganj 1No.&amp; Brahmanbaria 1 No)</v>
      </c>
      <c r="D72" s="519" t="s">
        <v>70</v>
      </c>
      <c r="E72" s="387">
        <v>1.25</v>
      </c>
      <c r="F72" s="462">
        <v>11</v>
      </c>
      <c r="G72" s="387">
        <v>13.75</v>
      </c>
      <c r="H72" s="535">
        <f t="shared" si="61"/>
        <v>1.3502129261235173E-4</v>
      </c>
      <c r="I72" s="387">
        <v>3.7440000000000002</v>
      </c>
      <c r="J72" s="387">
        <f t="shared" si="62"/>
        <v>27.229090909090907</v>
      </c>
      <c r="K72" s="536">
        <f t="shared" si="63"/>
        <v>3.6765070512046897E-3</v>
      </c>
      <c r="L72" s="387">
        <v>0</v>
      </c>
      <c r="M72" s="387">
        <f t="shared" si="64"/>
        <v>0</v>
      </c>
      <c r="N72" s="536">
        <f t="shared" si="65"/>
        <v>0</v>
      </c>
      <c r="O72" s="387">
        <v>2.9860000000000002</v>
      </c>
      <c r="P72" s="363">
        <f t="shared" si="66"/>
        <v>21.716363636363639</v>
      </c>
      <c r="Q72" s="535">
        <f t="shared" si="67"/>
        <v>2.9321714890216894E-3</v>
      </c>
      <c r="R72" s="387">
        <v>3.15</v>
      </c>
      <c r="S72" s="363">
        <f t="shared" si="68"/>
        <v>22.90909090909091</v>
      </c>
      <c r="T72" s="535">
        <f t="shared" si="69"/>
        <v>3.0932150671193308E-3</v>
      </c>
      <c r="U72" s="387">
        <v>0</v>
      </c>
      <c r="V72" s="363">
        <f t="shared" si="70"/>
        <v>0</v>
      </c>
      <c r="W72" s="535">
        <f t="shared" si="71"/>
        <v>0</v>
      </c>
      <c r="X72" s="387">
        <v>0</v>
      </c>
      <c r="Y72" s="363">
        <f t="shared" si="72"/>
        <v>0</v>
      </c>
      <c r="Z72" s="535">
        <f t="shared" si="73"/>
        <v>0</v>
      </c>
      <c r="AA72" s="387">
        <v>2.3994</v>
      </c>
      <c r="AB72" s="363">
        <f t="shared" si="74"/>
        <v>17.450181818181818</v>
      </c>
      <c r="AC72" s="535">
        <f t="shared" si="75"/>
        <v>2.3561461054114673E-3</v>
      </c>
      <c r="AD72" s="387">
        <v>1.4705999999999999</v>
      </c>
      <c r="AE72" s="363">
        <f t="shared" si="76"/>
        <v>10.695272727272727</v>
      </c>
      <c r="AF72" s="535">
        <f t="shared" si="77"/>
        <v>1.4440895484779958E-3</v>
      </c>
      <c r="AG72" s="121">
        <f t="shared" si="78"/>
        <v>100</v>
      </c>
      <c r="AH72" s="533">
        <f t="shared" si="79"/>
        <v>9.8256222100304835E-3</v>
      </c>
      <c r="AI72" s="584">
        <f t="shared" si="80"/>
        <v>72</v>
      </c>
    </row>
    <row r="73" spans="1:35" s="584" customFormat="1" ht="15" customHeight="1">
      <c r="A73" s="552"/>
      <c r="B73" s="563">
        <v>4112202</v>
      </c>
      <c r="C73" s="557" t="str">
        <f>'9.Detil Phasing'!C74</f>
        <v xml:space="preserve">A3 Combo Printer 2 nos ( PMO) </v>
      </c>
      <c r="D73" s="519" t="s">
        <v>102</v>
      </c>
      <c r="E73" s="387">
        <v>0.75</v>
      </c>
      <c r="F73" s="462">
        <v>2</v>
      </c>
      <c r="G73" s="387">
        <v>1.5</v>
      </c>
      <c r="H73" s="535">
        <f t="shared" si="61"/>
        <v>1.4729595557711097E-5</v>
      </c>
      <c r="I73" s="387">
        <v>0</v>
      </c>
      <c r="J73" s="387">
        <f t="shared" si="62"/>
        <v>0</v>
      </c>
      <c r="K73" s="536">
        <f t="shared" si="63"/>
        <v>0</v>
      </c>
      <c r="L73" s="387">
        <v>0.2</v>
      </c>
      <c r="M73" s="387">
        <f t="shared" si="64"/>
        <v>13.333333333333334</v>
      </c>
      <c r="N73" s="536">
        <f t="shared" si="65"/>
        <v>1.9639460743614798E-4</v>
      </c>
      <c r="O73" s="387">
        <v>0</v>
      </c>
      <c r="P73" s="363">
        <f t="shared" si="66"/>
        <v>0</v>
      </c>
      <c r="Q73" s="535">
        <f t="shared" si="67"/>
        <v>0</v>
      </c>
      <c r="R73" s="387">
        <v>0</v>
      </c>
      <c r="S73" s="363">
        <f t="shared" si="68"/>
        <v>0</v>
      </c>
      <c r="T73" s="535">
        <f t="shared" si="69"/>
        <v>0</v>
      </c>
      <c r="U73" s="387">
        <v>0</v>
      </c>
      <c r="V73" s="363">
        <f t="shared" si="70"/>
        <v>0</v>
      </c>
      <c r="W73" s="535">
        <f t="shared" si="71"/>
        <v>0</v>
      </c>
      <c r="X73" s="387">
        <v>0</v>
      </c>
      <c r="Y73" s="363">
        <f t="shared" si="72"/>
        <v>0</v>
      </c>
      <c r="Z73" s="535">
        <f t="shared" si="73"/>
        <v>0</v>
      </c>
      <c r="AA73" s="387">
        <v>0.71500000000000008</v>
      </c>
      <c r="AB73" s="363">
        <f t="shared" si="74"/>
        <v>47.666666666666671</v>
      </c>
      <c r="AC73" s="535">
        <f t="shared" si="75"/>
        <v>7.0211072158422904E-4</v>
      </c>
      <c r="AD73" s="387">
        <v>0.58500000000000008</v>
      </c>
      <c r="AE73" s="363">
        <f t="shared" si="76"/>
        <v>39.000000000000007</v>
      </c>
      <c r="AF73" s="535">
        <f t="shared" si="77"/>
        <v>5.7445422675073284E-4</v>
      </c>
      <c r="AG73" s="121">
        <f t="shared" si="78"/>
        <v>100.00000000000001</v>
      </c>
      <c r="AH73" s="533">
        <f t="shared" si="79"/>
        <v>1.4729595557711099E-3</v>
      </c>
      <c r="AI73" s="584">
        <f t="shared" si="80"/>
        <v>73</v>
      </c>
    </row>
    <row r="74" spans="1:35" s="584" customFormat="1" ht="15.75" customHeight="1">
      <c r="A74" s="552"/>
      <c r="B74" s="563">
        <v>4112202</v>
      </c>
      <c r="C74" s="557" t="str">
        <f>'9.Detil Phasing'!C75</f>
        <v>Laser Printer- 11 nos. (PMO 6 Nos.,Kishoreganj 1 No., Netrokona 1 No., Sunamganj 1 No., Habiganj 1No.&amp; Brahmanbaria 1 No.)</v>
      </c>
      <c r="D74" s="519" t="s">
        <v>70</v>
      </c>
      <c r="E74" s="387">
        <v>0.48</v>
      </c>
      <c r="F74" s="462">
        <v>11</v>
      </c>
      <c r="G74" s="387">
        <v>5.25</v>
      </c>
      <c r="H74" s="535">
        <f t="shared" si="61"/>
        <v>5.1553584451988839E-5</v>
      </c>
      <c r="I74" s="387">
        <v>2.97</v>
      </c>
      <c r="J74" s="387">
        <f t="shared" si="62"/>
        <v>56.571428571428569</v>
      </c>
      <c r="K74" s="536">
        <f t="shared" si="63"/>
        <v>2.916459920426797E-3</v>
      </c>
      <c r="L74" s="387">
        <v>0.2</v>
      </c>
      <c r="M74" s="387">
        <f t="shared" si="64"/>
        <v>3.8095238095238098</v>
      </c>
      <c r="N74" s="536">
        <f t="shared" si="65"/>
        <v>1.9639460743614798E-4</v>
      </c>
      <c r="O74" s="387">
        <v>0</v>
      </c>
      <c r="P74" s="363">
        <f t="shared" si="66"/>
        <v>0</v>
      </c>
      <c r="Q74" s="535">
        <f t="shared" si="67"/>
        <v>0</v>
      </c>
      <c r="R74" s="387">
        <v>0.91</v>
      </c>
      <c r="S74" s="363">
        <f t="shared" si="68"/>
        <v>17.333333333333336</v>
      </c>
      <c r="T74" s="535">
        <f t="shared" si="69"/>
        <v>8.9359546383447328E-4</v>
      </c>
      <c r="U74" s="387">
        <v>0</v>
      </c>
      <c r="V74" s="363">
        <f t="shared" si="70"/>
        <v>0</v>
      </c>
      <c r="W74" s="535">
        <f t="shared" si="71"/>
        <v>0</v>
      </c>
      <c r="X74" s="387">
        <v>0</v>
      </c>
      <c r="Y74" s="363">
        <f t="shared" si="72"/>
        <v>0</v>
      </c>
      <c r="Z74" s="535">
        <f t="shared" si="73"/>
        <v>0</v>
      </c>
      <c r="AA74" s="387">
        <v>0.6552</v>
      </c>
      <c r="AB74" s="363">
        <f t="shared" si="74"/>
        <v>12.479999999999999</v>
      </c>
      <c r="AC74" s="535">
        <f t="shared" si="75"/>
        <v>6.4338873396082067E-4</v>
      </c>
      <c r="AD74" s="387">
        <v>0.51479999999999992</v>
      </c>
      <c r="AE74" s="363">
        <f t="shared" si="76"/>
        <v>9.8057142857142843</v>
      </c>
      <c r="AF74" s="535">
        <f t="shared" si="77"/>
        <v>5.055197195406448E-4</v>
      </c>
      <c r="AG74" s="121">
        <f t="shared" si="78"/>
        <v>100</v>
      </c>
      <c r="AH74" s="533">
        <f t="shared" si="79"/>
        <v>2.2388985247720865E-3</v>
      </c>
      <c r="AI74" s="584">
        <f t="shared" si="80"/>
        <v>74</v>
      </c>
    </row>
    <row r="75" spans="1:35" s="584" customFormat="1" ht="15.75" customHeight="1">
      <c r="A75" s="552"/>
      <c r="B75" s="127">
        <v>4112314</v>
      </c>
      <c r="C75" s="557" t="str">
        <f>'9.Detil Phasing'!C76</f>
        <v>Furnitures &amp; Fixtures</v>
      </c>
      <c r="D75" s="519" t="s">
        <v>157</v>
      </c>
      <c r="E75" s="140">
        <v>50</v>
      </c>
      <c r="F75" s="543" t="s">
        <v>161</v>
      </c>
      <c r="G75" s="387">
        <v>50</v>
      </c>
      <c r="H75" s="535">
        <f t="shared" si="61"/>
        <v>4.9098651859036987E-4</v>
      </c>
      <c r="I75" s="387">
        <v>7.96</v>
      </c>
      <c r="J75" s="387">
        <f t="shared" si="62"/>
        <v>15.920000000000002</v>
      </c>
      <c r="K75" s="536">
        <f t="shared" si="63"/>
        <v>7.8165053759586892E-3</v>
      </c>
      <c r="L75" s="387">
        <v>8.44</v>
      </c>
      <c r="M75" s="387">
        <f t="shared" si="64"/>
        <v>16.88</v>
      </c>
      <c r="N75" s="536">
        <f t="shared" si="65"/>
        <v>8.287852433805443E-3</v>
      </c>
      <c r="O75" s="387">
        <v>8.99</v>
      </c>
      <c r="P75" s="363">
        <f t="shared" si="66"/>
        <v>17.98</v>
      </c>
      <c r="Q75" s="535">
        <f t="shared" si="67"/>
        <v>8.8279376042548503E-3</v>
      </c>
      <c r="R75" s="387">
        <v>9.9600000000000009</v>
      </c>
      <c r="S75" s="363">
        <f t="shared" si="68"/>
        <v>19.920000000000002</v>
      </c>
      <c r="T75" s="535">
        <f t="shared" si="69"/>
        <v>9.7804514503201691E-3</v>
      </c>
      <c r="U75" s="387">
        <v>9.9700000000000006</v>
      </c>
      <c r="V75" s="363">
        <f t="shared" si="70"/>
        <v>19.940000000000001</v>
      </c>
      <c r="W75" s="535">
        <f t="shared" si="71"/>
        <v>9.7902711806919767E-3</v>
      </c>
      <c r="X75" s="387">
        <v>0</v>
      </c>
      <c r="Y75" s="363">
        <f t="shared" si="72"/>
        <v>0</v>
      </c>
      <c r="Z75" s="535">
        <f t="shared" si="73"/>
        <v>0</v>
      </c>
      <c r="AA75" s="387">
        <v>2.9016000000000002</v>
      </c>
      <c r="AB75" s="363">
        <f t="shared" si="74"/>
        <v>5.8032000000000004</v>
      </c>
      <c r="AC75" s="535">
        <f t="shared" si="75"/>
        <v>2.8492929646836344E-3</v>
      </c>
      <c r="AD75" s="387">
        <v>1.7784</v>
      </c>
      <c r="AE75" s="363">
        <f t="shared" si="76"/>
        <v>3.5568000000000004</v>
      </c>
      <c r="AF75" s="535">
        <f t="shared" si="77"/>
        <v>1.7463408493222277E-3</v>
      </c>
      <c r="AG75" s="121">
        <f t="shared" si="78"/>
        <v>100</v>
      </c>
      <c r="AH75" s="533">
        <f t="shared" si="79"/>
        <v>4.1282146483078305E-2</v>
      </c>
      <c r="AI75" s="584">
        <f t="shared" si="80"/>
        <v>75</v>
      </c>
    </row>
    <row r="76" spans="1:35" s="584" customFormat="1" ht="16.5" customHeight="1">
      <c r="A76" s="552"/>
      <c r="B76" s="127">
        <v>4112303</v>
      </c>
      <c r="C76" s="557" t="str">
        <f>'9.Detil Phasing'!C77</f>
        <v>Aircooler</v>
      </c>
      <c r="D76" s="519" t="s">
        <v>70</v>
      </c>
      <c r="E76" s="387">
        <v>1</v>
      </c>
      <c r="F76" s="543">
        <v>15</v>
      </c>
      <c r="G76" s="387">
        <v>15</v>
      </c>
      <c r="H76" s="535">
        <f t="shared" si="61"/>
        <v>1.4729595557711096E-4</v>
      </c>
      <c r="I76" s="387">
        <v>0</v>
      </c>
      <c r="J76" s="387">
        <f t="shared" si="62"/>
        <v>0</v>
      </c>
      <c r="K76" s="536">
        <f t="shared" si="63"/>
        <v>0</v>
      </c>
      <c r="L76" s="387">
        <v>0</v>
      </c>
      <c r="M76" s="387">
        <f t="shared" si="64"/>
        <v>0</v>
      </c>
      <c r="N76" s="536">
        <f t="shared" si="65"/>
        <v>0</v>
      </c>
      <c r="O76" s="387">
        <v>3.77</v>
      </c>
      <c r="P76" s="363">
        <f t="shared" si="66"/>
        <v>25.133333333333336</v>
      </c>
      <c r="Q76" s="535">
        <f t="shared" si="67"/>
        <v>3.7020383501713892E-3</v>
      </c>
      <c r="R76" s="387">
        <v>2</v>
      </c>
      <c r="S76" s="363">
        <f t="shared" si="68"/>
        <v>13.333333333333334</v>
      </c>
      <c r="T76" s="535">
        <f t="shared" si="69"/>
        <v>1.9639460743614795E-3</v>
      </c>
      <c r="U76" s="387">
        <v>3.96</v>
      </c>
      <c r="V76" s="363">
        <f t="shared" si="70"/>
        <v>26.400000000000002</v>
      </c>
      <c r="W76" s="535">
        <f t="shared" si="71"/>
        <v>3.8886132272357298E-3</v>
      </c>
      <c r="X76" s="387">
        <v>4</v>
      </c>
      <c r="Y76" s="363">
        <f t="shared" si="72"/>
        <v>26.666666666666668</v>
      </c>
      <c r="Z76" s="535">
        <f t="shared" si="73"/>
        <v>3.927892148722959E-3</v>
      </c>
      <c r="AA76" s="387">
        <v>0.77469999999999972</v>
      </c>
      <c r="AB76" s="363">
        <f t="shared" si="74"/>
        <v>5.1646666666666645</v>
      </c>
      <c r="AC76" s="535">
        <f t="shared" si="75"/>
        <v>7.6073451190391877E-4</v>
      </c>
      <c r="AD76" s="387">
        <v>0.49529999999999991</v>
      </c>
      <c r="AE76" s="363">
        <f t="shared" si="76"/>
        <v>3.3019999999999996</v>
      </c>
      <c r="AF76" s="535">
        <f t="shared" si="77"/>
        <v>4.8637124531562034E-4</v>
      </c>
      <c r="AG76" s="121">
        <f t="shared" si="78"/>
        <v>100</v>
      </c>
      <c r="AH76" s="533">
        <f t="shared" si="79"/>
        <v>1.4729595557711098E-2</v>
      </c>
      <c r="AI76" s="584">
        <f t="shared" si="80"/>
        <v>76</v>
      </c>
    </row>
    <row r="77" spans="1:35" s="584" customFormat="1" ht="18.75" customHeight="1">
      <c r="A77" s="552"/>
      <c r="B77" s="220"/>
      <c r="C77" s="556" t="str">
        <f>'9.Detil Phasing'!C78</f>
        <v xml:space="preserve">Acquisition/Purchase of lands and  landed properties of Assets: </v>
      </c>
      <c r="D77" s="519"/>
      <c r="E77" s="387"/>
      <c r="F77" s="542"/>
      <c r="G77" s="387"/>
      <c r="H77" s="535"/>
      <c r="I77" s="387"/>
      <c r="J77" s="387"/>
      <c r="K77" s="536"/>
      <c r="L77" s="387"/>
      <c r="M77" s="387"/>
      <c r="N77" s="536"/>
      <c r="O77" s="387"/>
      <c r="P77" s="363"/>
      <c r="Q77" s="535"/>
      <c r="R77" s="387"/>
      <c r="S77" s="363"/>
      <c r="T77" s="535"/>
      <c r="U77" s="387"/>
      <c r="V77" s="363"/>
      <c r="W77" s="535"/>
      <c r="X77" s="387"/>
      <c r="Y77" s="363"/>
      <c r="Z77" s="535"/>
      <c r="AA77" s="387"/>
      <c r="AB77" s="363"/>
      <c r="AC77" s="535"/>
      <c r="AD77" s="387"/>
      <c r="AE77" s="363"/>
      <c r="AF77" s="535"/>
      <c r="AG77" s="121"/>
    </row>
    <row r="78" spans="1:35" s="584" customFormat="1" ht="16.5" customHeight="1">
      <c r="A78" s="552"/>
      <c r="B78" s="127">
        <v>4141101</v>
      </c>
      <c r="C78" s="557" t="str">
        <f>'9.Detil Phasing'!C79</f>
        <v>Land Acquisition ( 470 hectare)</v>
      </c>
      <c r="D78" s="519" t="s">
        <v>162</v>
      </c>
      <c r="E78" s="387">
        <v>51.06</v>
      </c>
      <c r="F78" s="462">
        <v>470</v>
      </c>
      <c r="G78" s="387">
        <v>24000</v>
      </c>
      <c r="H78" s="535">
        <f>G78/G$100</f>
        <v>0.23567352892337753</v>
      </c>
      <c r="I78" s="387">
        <v>0</v>
      </c>
      <c r="J78" s="387">
        <f>I78/G78*100</f>
        <v>0</v>
      </c>
      <c r="K78" s="536">
        <f>J78*$H78</f>
        <v>0</v>
      </c>
      <c r="L78" s="387">
        <v>0</v>
      </c>
      <c r="M78" s="387">
        <f>L78/G78*100</f>
        <v>0</v>
      </c>
      <c r="N78" s="536">
        <f>M78*$H78</f>
        <v>0</v>
      </c>
      <c r="O78" s="387">
        <v>4649.6499999999996</v>
      </c>
      <c r="P78" s="363">
        <f>O78/G78*100</f>
        <v>19.373541666666664</v>
      </c>
      <c r="Q78" s="535">
        <f>P78*$H78</f>
        <v>4.565830932327426</v>
      </c>
      <c r="R78" s="387">
        <v>5794.05</v>
      </c>
      <c r="S78" s="363">
        <f>R78/G78*100</f>
        <v>24.141875000000002</v>
      </c>
      <c r="T78" s="535">
        <f>S78*$H78</f>
        <v>5.6896008760770655</v>
      </c>
      <c r="U78" s="387">
        <v>3879.9</v>
      </c>
      <c r="V78" s="363">
        <f>U78/G78*100</f>
        <v>16.166250000000002</v>
      </c>
      <c r="W78" s="535">
        <f>V78*$H78</f>
        <v>3.8099571869575524</v>
      </c>
      <c r="X78" s="387">
        <v>2049.42</v>
      </c>
      <c r="Y78" s="363">
        <f>X78/G78*100</f>
        <v>8.5392499999999991</v>
      </c>
      <c r="Z78" s="535">
        <f>Y78*$H78</f>
        <v>2.0124751818589512</v>
      </c>
      <c r="AA78" s="387">
        <v>4499.9181999999992</v>
      </c>
      <c r="AB78" s="363">
        <f>AA78/G78*100</f>
        <v>18.749659166666664</v>
      </c>
      <c r="AC78" s="535">
        <f>AB78*$H78</f>
        <v>4.4187983419188868</v>
      </c>
      <c r="AD78" s="387">
        <v>3127.061799999999</v>
      </c>
      <c r="AE78" s="363">
        <f>AD78/G78*100</f>
        <v>13.029424166666661</v>
      </c>
      <c r="AF78" s="535">
        <f>AE78*$H78</f>
        <v>3.0706903731978699</v>
      </c>
      <c r="AG78" s="121">
        <f>SUM(AE78+AB78+Y78+V78+S78+P78+M78+J78)</f>
        <v>100</v>
      </c>
      <c r="AH78" s="533">
        <f>N78+Q78+T78+W78+Z78+AC78+AF78</f>
        <v>23.567352892337752</v>
      </c>
      <c r="AI78" s="584">
        <f>ROW(AH78)</f>
        <v>78</v>
      </c>
    </row>
    <row r="79" spans="1:35" s="584" customFormat="1" ht="15.75" customHeight="1">
      <c r="A79" s="552"/>
      <c r="B79" s="220"/>
      <c r="C79" s="556" t="str">
        <f>'9.Detil Phasing'!C80</f>
        <v>Construction and Works:</v>
      </c>
      <c r="D79" s="300"/>
      <c r="E79" s="387"/>
      <c r="F79" s="462"/>
      <c r="G79" s="387"/>
      <c r="H79" s="535"/>
      <c r="I79" s="387"/>
      <c r="J79" s="387"/>
      <c r="K79" s="535"/>
      <c r="L79" s="387"/>
      <c r="M79" s="387"/>
      <c r="N79" s="535"/>
      <c r="O79" s="387"/>
      <c r="P79" s="387"/>
      <c r="Q79" s="535"/>
      <c r="R79" s="387"/>
      <c r="S79" s="387"/>
      <c r="T79" s="535"/>
      <c r="U79" s="387"/>
      <c r="V79" s="387"/>
      <c r="W79" s="535"/>
      <c r="X79" s="387"/>
      <c r="Y79" s="387"/>
      <c r="Z79" s="535"/>
      <c r="AA79" s="387"/>
      <c r="AB79" s="387"/>
      <c r="AC79" s="535"/>
      <c r="AD79" s="387"/>
      <c r="AE79" s="363"/>
      <c r="AF79" s="535"/>
      <c r="AG79" s="121"/>
    </row>
    <row r="80" spans="1:35" s="584" customFormat="1" ht="15.75" customHeight="1">
      <c r="A80" s="552"/>
      <c r="B80" s="563">
        <f>'9.Detil Phasing'!B81</f>
        <v>7036</v>
      </c>
      <c r="C80" s="554" t="str">
        <f>'9.Detil Phasing'!C81</f>
        <v>Irrigation Infrastructurs :</v>
      </c>
      <c r="D80" s="300"/>
      <c r="E80" s="387"/>
      <c r="F80" s="462"/>
      <c r="G80" s="387"/>
      <c r="H80" s="535"/>
      <c r="I80" s="387"/>
      <c r="J80" s="387"/>
      <c r="K80" s="535"/>
      <c r="L80" s="387"/>
      <c r="M80" s="387"/>
      <c r="N80" s="535"/>
      <c r="O80" s="387"/>
      <c r="P80" s="363"/>
      <c r="Q80" s="535"/>
      <c r="R80" s="387"/>
      <c r="S80" s="363"/>
      <c r="T80" s="535"/>
      <c r="U80" s="387"/>
      <c r="V80" s="363"/>
      <c r="W80" s="535"/>
      <c r="X80" s="387"/>
      <c r="Y80" s="363"/>
      <c r="Z80" s="535"/>
      <c r="AA80" s="387"/>
      <c r="AB80" s="363"/>
      <c r="AC80" s="535"/>
      <c r="AD80" s="387"/>
      <c r="AE80" s="363"/>
      <c r="AF80" s="535"/>
      <c r="AG80" s="121"/>
    </row>
    <row r="81" spans="1:35" s="584" customFormat="1" ht="15.75" customHeight="1">
      <c r="A81" s="552"/>
      <c r="B81" s="563">
        <v>4111306</v>
      </c>
      <c r="C81" s="560" t="str">
        <f>'9.Detil Phasing'!C82</f>
        <v>Construction of Irrigation Inlet (New Haors)</v>
      </c>
      <c r="D81" s="519" t="s">
        <v>70</v>
      </c>
      <c r="E81" s="387">
        <v>9.5657692307692308</v>
      </c>
      <c r="F81" s="574">
        <v>130</v>
      </c>
      <c r="G81" s="387">
        <v>1243.55</v>
      </c>
      <c r="H81" s="535">
        <f>G81/G$100</f>
        <v>1.221132570386109E-2</v>
      </c>
      <c r="I81" s="387">
        <v>0</v>
      </c>
      <c r="J81" s="387">
        <f>I81/G81*100</f>
        <v>0</v>
      </c>
      <c r="K81" s="535">
        <f>J81*$H81</f>
        <v>0</v>
      </c>
      <c r="L81" s="387">
        <v>0</v>
      </c>
      <c r="M81" s="387">
        <f>L81/G81*100</f>
        <v>0</v>
      </c>
      <c r="N81" s="535">
        <f>M81*$H81</f>
        <v>0</v>
      </c>
      <c r="O81" s="387">
        <v>0</v>
      </c>
      <c r="P81" s="363">
        <f>O81/G81*100</f>
        <v>0</v>
      </c>
      <c r="Q81" s="535">
        <f>P81*$H81</f>
        <v>0</v>
      </c>
      <c r="R81" s="387">
        <v>0</v>
      </c>
      <c r="S81" s="363"/>
      <c r="T81" s="535"/>
      <c r="U81" s="387">
        <v>116.72</v>
      </c>
      <c r="V81" s="363">
        <f>U81/G81*100</f>
        <v>9.3860319247316149</v>
      </c>
      <c r="W81" s="535">
        <f>V81*$H81</f>
        <v>0.11461589289973595</v>
      </c>
      <c r="X81" s="387">
        <v>490.33</v>
      </c>
      <c r="Y81" s="363">
        <f>X81/G81*100</f>
        <v>39.429858067628963</v>
      </c>
      <c r="Z81" s="535">
        <f>Y81*$H81</f>
        <v>0.48149083932083209</v>
      </c>
      <c r="AA81" s="387">
        <v>350.07499999999999</v>
      </c>
      <c r="AB81" s="363">
        <f>AA81/G81*100</f>
        <v>28.15126050420168</v>
      </c>
      <c r="AC81" s="535">
        <f>AB81*$H81</f>
        <v>0.34376421099104748</v>
      </c>
      <c r="AD81" s="387">
        <v>286.42500000000001</v>
      </c>
      <c r="AE81" s="363">
        <f>AD81/G81*100</f>
        <v>23.032849503437742</v>
      </c>
      <c r="AF81" s="535">
        <f>AE81*$H81</f>
        <v>0.28126162717449343</v>
      </c>
      <c r="AG81" s="121">
        <f>SUM(AE81+AB81+Y81+V81+S81+P81+M81+J81)</f>
        <v>100</v>
      </c>
      <c r="AH81" s="533">
        <f>N81+Q81+T81+W81+Z81+AC81+AF81</f>
        <v>1.2211325703861089</v>
      </c>
      <c r="AI81" s="584">
        <f>ROW(AH81)</f>
        <v>81</v>
      </c>
    </row>
    <row r="82" spans="1:35" s="584" customFormat="1" ht="15.75" customHeight="1">
      <c r="A82" s="552"/>
      <c r="B82" s="563"/>
      <c r="C82" s="554" t="str">
        <f>'9.Detil Phasing'!C83</f>
        <v>Drainage Structures :</v>
      </c>
      <c r="D82" s="300"/>
      <c r="E82" s="387"/>
      <c r="F82" s="462"/>
      <c r="G82" s="387"/>
      <c r="H82" s="535"/>
      <c r="I82" s="387"/>
      <c r="J82" s="387"/>
      <c r="K82" s="535"/>
      <c r="L82" s="387"/>
      <c r="M82" s="387"/>
      <c r="N82" s="535"/>
      <c r="O82" s="387"/>
      <c r="P82" s="363"/>
      <c r="Q82" s="535"/>
      <c r="R82" s="387"/>
      <c r="S82" s="363"/>
      <c r="T82" s="535"/>
      <c r="U82" s="387"/>
      <c r="V82" s="363"/>
      <c r="W82" s="535"/>
      <c r="X82" s="387"/>
      <c r="Y82" s="363"/>
      <c r="Z82" s="535"/>
      <c r="AA82" s="387"/>
      <c r="AB82" s="363"/>
      <c r="AC82" s="535"/>
      <c r="AD82" s="387"/>
      <c r="AE82" s="363"/>
      <c r="AF82" s="535"/>
      <c r="AG82" s="121"/>
    </row>
    <row r="83" spans="1:35" s="584" customFormat="1" ht="15.75" customHeight="1">
      <c r="A83" s="552"/>
      <c r="B83" s="563">
        <v>4111307</v>
      </c>
      <c r="C83" s="560" t="str">
        <f>'9.Detil Phasing'!C84</f>
        <v xml:space="preserve"> Re-installation/Construction of Regulator/Causeway (Rehabilitation Sub-Projects)</v>
      </c>
      <c r="D83" s="519" t="s">
        <v>70</v>
      </c>
      <c r="E83" s="387">
        <v>153.87333333333331</v>
      </c>
      <c r="F83" s="574">
        <v>3</v>
      </c>
      <c r="G83" s="387">
        <v>461.62</v>
      </c>
      <c r="H83" s="535">
        <f>G83/G$100</f>
        <v>4.5329839342337312E-3</v>
      </c>
      <c r="I83" s="387">
        <v>0</v>
      </c>
      <c r="J83" s="387">
        <f>I83/G83*100</f>
        <v>0</v>
      </c>
      <c r="K83" s="535">
        <f>J83*$H83</f>
        <v>0</v>
      </c>
      <c r="L83" s="387">
        <v>0</v>
      </c>
      <c r="M83" s="387">
        <f>L83/G83*100</f>
        <v>0</v>
      </c>
      <c r="N83" s="535">
        <f>M83*$H83</f>
        <v>0</v>
      </c>
      <c r="O83" s="387">
        <v>0</v>
      </c>
      <c r="P83" s="363">
        <f>O83/G83*100</f>
        <v>0</v>
      </c>
      <c r="Q83" s="535">
        <f>P83*$H83</f>
        <v>0</v>
      </c>
      <c r="R83" s="387">
        <v>0</v>
      </c>
      <c r="S83" s="363">
        <f>R83/G83*100</f>
        <v>0</v>
      </c>
      <c r="T83" s="535">
        <f>S83*$H83</f>
        <v>0</v>
      </c>
      <c r="U83" s="387">
        <v>0</v>
      </c>
      <c r="V83" s="363">
        <f>U83/G83*100</f>
        <v>0</v>
      </c>
      <c r="W83" s="535">
        <f>V83*$H83</f>
        <v>0</v>
      </c>
      <c r="X83" s="387">
        <v>0</v>
      </c>
      <c r="Y83" s="363">
        <f>X83/G83*100</f>
        <v>0</v>
      </c>
      <c r="Z83" s="535">
        <f>Y83*$H83</f>
        <v>0</v>
      </c>
      <c r="AA83" s="387">
        <v>281.58819999999997</v>
      </c>
      <c r="AB83" s="363">
        <f>AA83/G83*100</f>
        <v>61</v>
      </c>
      <c r="AC83" s="535">
        <f>AB83*$H83</f>
        <v>0.27651201998825758</v>
      </c>
      <c r="AD83" s="387">
        <v>180.0318</v>
      </c>
      <c r="AE83" s="363">
        <f>AD83/G83*100</f>
        <v>39</v>
      </c>
      <c r="AF83" s="535">
        <f>AE83*$H83</f>
        <v>0.17678637343511552</v>
      </c>
      <c r="AG83" s="121">
        <f>SUM(AE83+AB83+Y83+V83+S83+P83+M83+J83)</f>
        <v>100</v>
      </c>
      <c r="AH83" s="533">
        <f>N83+Q83+T83+W83+Z83+AC83+AF83</f>
        <v>0.45329839342337308</v>
      </c>
      <c r="AI83" s="584">
        <f>ROW(AH83)</f>
        <v>83</v>
      </c>
    </row>
    <row r="84" spans="1:35" s="584" customFormat="1" ht="15.75" customHeight="1">
      <c r="A84" s="552"/>
      <c r="B84" s="563">
        <v>4111307</v>
      </c>
      <c r="C84" s="560" t="str">
        <f>'9.Detil Phasing'!C85</f>
        <v xml:space="preserve"> Installation/Construction of New Regulators/Causeway/Bridge/Box Drainage Outlet) (New Haors)</v>
      </c>
      <c r="D84" s="519" t="s">
        <v>70</v>
      </c>
      <c r="E84" s="387">
        <v>159.03291666666669</v>
      </c>
      <c r="F84" s="574">
        <v>120</v>
      </c>
      <c r="G84" s="387">
        <v>19083.95</v>
      </c>
      <c r="H84" s="535">
        <f>G84/G$100</f>
        <v>0.18739924342905379</v>
      </c>
      <c r="I84" s="387">
        <v>0</v>
      </c>
      <c r="J84" s="387">
        <f>I84/G84*100</f>
        <v>0</v>
      </c>
      <c r="K84" s="535">
        <f>J84*$H84</f>
        <v>0</v>
      </c>
      <c r="L84" s="387">
        <v>0</v>
      </c>
      <c r="M84" s="387">
        <f>L84/G84*100</f>
        <v>0</v>
      </c>
      <c r="N84" s="535">
        <f>M84*$H84</f>
        <v>0</v>
      </c>
      <c r="O84" s="387">
        <v>293.14999999999998</v>
      </c>
      <c r="P84" s="363">
        <f>O84/G84*100</f>
        <v>1.5361075668297179</v>
      </c>
      <c r="Q84" s="535">
        <f>P84*$H84</f>
        <v>0.2878653958495338</v>
      </c>
      <c r="R84" s="387">
        <v>2773.9</v>
      </c>
      <c r="S84" s="363">
        <f>R84/G84*100</f>
        <v>14.535250825955842</v>
      </c>
      <c r="T84" s="535">
        <f>S84*$H84</f>
        <v>2.7238950078356541</v>
      </c>
      <c r="U84" s="387">
        <v>3076.61</v>
      </c>
      <c r="V84" s="363">
        <f>U84/G84*100</f>
        <v>16.121452843881901</v>
      </c>
      <c r="W84" s="535">
        <f>V84*$H84</f>
        <v>3.0211480659206358</v>
      </c>
      <c r="X84" s="387">
        <v>8105.58</v>
      </c>
      <c r="Y84" s="363">
        <f>X84/G84*100</f>
        <v>42.473282522748171</v>
      </c>
      <c r="Z84" s="535">
        <f>Y84*$H84</f>
        <v>7.9594610107114603</v>
      </c>
      <c r="AA84" s="387">
        <v>2949.1731</v>
      </c>
      <c r="AB84" s="363">
        <f>AA84/G84*100</f>
        <v>15.453682806756463</v>
      </c>
      <c r="AC84" s="535">
        <f>AB84*$H84</f>
        <v>2.8960084661787375</v>
      </c>
      <c r="AD84" s="387">
        <v>1885.536900000001</v>
      </c>
      <c r="AE84" s="363">
        <f>AD84/G84*100</f>
        <v>9.8802234338279078</v>
      </c>
      <c r="AF84" s="535">
        <f>AE84*$H84</f>
        <v>1.8515463964093577</v>
      </c>
      <c r="AG84" s="121">
        <f>SUM(AE84+AB84+Y84+V84+S84+P84+M84+J84)</f>
        <v>99.999999999999986</v>
      </c>
      <c r="AH84" s="533">
        <f>N84+Q84+T84+W84+Z84+AC84+AF84</f>
        <v>18.739924342905379</v>
      </c>
      <c r="AI84" s="584">
        <f>ROW(AH84)</f>
        <v>84</v>
      </c>
    </row>
    <row r="85" spans="1:35" s="584" customFormat="1" ht="15.75" customHeight="1">
      <c r="A85" s="552"/>
      <c r="B85" s="563">
        <v>4111307</v>
      </c>
      <c r="C85" s="560" t="str">
        <f>'9.Detil Phasing'!C86</f>
        <v xml:space="preserve"> Re-excavation of Khal/River (New Haors) (Earth Volume: 68.97 Lakh cum)</v>
      </c>
      <c r="D85" s="519" t="s">
        <v>163</v>
      </c>
      <c r="E85" s="387">
        <v>29.03682082865107</v>
      </c>
      <c r="F85" s="377">
        <v>342.60500000000002</v>
      </c>
      <c r="G85" s="387">
        <v>9948.16</v>
      </c>
      <c r="H85" s="535">
        <f>G85/G$100</f>
        <v>9.7688248895599475E-2</v>
      </c>
      <c r="I85" s="387">
        <v>0</v>
      </c>
      <c r="J85" s="387">
        <f>I85/G85*100</f>
        <v>0</v>
      </c>
      <c r="K85" s="535">
        <f>J85*$H85</f>
        <v>0</v>
      </c>
      <c r="L85" s="387">
        <v>0</v>
      </c>
      <c r="M85" s="387">
        <f>L85/G85*100</f>
        <v>0</v>
      </c>
      <c r="N85" s="535">
        <f>M85*$H85</f>
        <v>0</v>
      </c>
      <c r="O85" s="387">
        <v>349.16</v>
      </c>
      <c r="P85" s="363">
        <f>O85/G85*100</f>
        <v>3.5097947761194037</v>
      </c>
      <c r="Q85" s="535">
        <f>P85*$H85</f>
        <v>0.34286570566202712</v>
      </c>
      <c r="R85" s="387">
        <v>840.8</v>
      </c>
      <c r="S85" s="363">
        <f>R85/G85*100</f>
        <v>8.4518142048378788</v>
      </c>
      <c r="T85" s="535">
        <f>S85*$H85</f>
        <v>0.82564292966156583</v>
      </c>
      <c r="U85" s="387">
        <v>4821.5200000000004</v>
      </c>
      <c r="V85" s="363">
        <f>U85/G85*100</f>
        <v>48.466450077200214</v>
      </c>
      <c r="W85" s="535">
        <f>V85*$H85</f>
        <v>4.7346026382276811</v>
      </c>
      <c r="X85" s="387">
        <v>3936.68</v>
      </c>
      <c r="Y85" s="363">
        <f>X85/G85*100</f>
        <v>39.571940941842513</v>
      </c>
      <c r="Z85" s="535">
        <f>Y85*$H85</f>
        <v>3.8657136160086747</v>
      </c>
      <c r="AA85" s="387">
        <v>0</v>
      </c>
      <c r="AB85" s="363">
        <f>AA85/G85*100</f>
        <v>0</v>
      </c>
      <c r="AC85" s="535">
        <f>AB85*$H85</f>
        <v>0</v>
      </c>
      <c r="AD85" s="387">
        <v>0</v>
      </c>
      <c r="AE85" s="363">
        <f>AD85/G85*100</f>
        <v>0</v>
      </c>
      <c r="AF85" s="535">
        <f>AE85*$H85</f>
        <v>0</v>
      </c>
      <c r="AG85" s="121">
        <f>SUM(AE85+AB85+Y85+V85+S85+P85+M85+J85)</f>
        <v>100.00000000000001</v>
      </c>
      <c r="AH85" s="533">
        <f>N85+Q85+T85+W85+Z85+AC85+AF85</f>
        <v>9.7688248895599479</v>
      </c>
      <c r="AI85" s="584">
        <f>ROW(AH85)</f>
        <v>85</v>
      </c>
    </row>
    <row r="86" spans="1:35" s="584" customFormat="1" ht="15.75" customHeight="1">
      <c r="A86" s="552"/>
      <c r="B86" s="220"/>
      <c r="C86" s="554" t="str">
        <f>'9.Detil Phasing'!C87</f>
        <v>Others:</v>
      </c>
      <c r="D86" s="519"/>
      <c r="E86" s="387"/>
      <c r="F86" s="462"/>
      <c r="G86" s="387"/>
      <c r="H86" s="535"/>
      <c r="I86" s="387"/>
      <c r="J86" s="387"/>
      <c r="K86" s="535"/>
      <c r="L86" s="387"/>
      <c r="M86" s="387"/>
      <c r="N86" s="535"/>
      <c r="O86" s="387"/>
      <c r="P86" s="363"/>
      <c r="Q86" s="535"/>
      <c r="R86" s="387"/>
      <c r="S86" s="363"/>
      <c r="T86" s="535"/>
      <c r="U86" s="387"/>
      <c r="V86" s="363"/>
      <c r="W86" s="535"/>
      <c r="X86" s="387"/>
      <c r="Y86" s="363"/>
      <c r="Z86" s="535"/>
      <c r="AA86" s="387"/>
      <c r="AB86" s="363"/>
      <c r="AC86" s="535"/>
      <c r="AD86" s="387"/>
      <c r="AE86" s="363"/>
      <c r="AF86" s="535"/>
      <c r="AG86" s="121"/>
    </row>
    <row r="87" spans="1:35" s="584" customFormat="1" ht="15.75" customHeight="1">
      <c r="A87" s="552"/>
      <c r="B87" s="130">
        <v>4111201</v>
      </c>
      <c r="C87" s="560" t="str">
        <f>'9.Detil Phasing'!C88</f>
        <v xml:space="preserve"> Re-excavation of Khal/River (Rehabilitation Sub-Projects) (Earth Volume: 28.01 Lakh cum)</v>
      </c>
      <c r="D87" s="565" t="s">
        <v>163</v>
      </c>
      <c r="E87" s="387">
        <v>29.07459919793703</v>
      </c>
      <c r="F87" s="274">
        <v>108.96899999999999</v>
      </c>
      <c r="G87" s="387">
        <v>3168.23</v>
      </c>
      <c r="H87" s="535">
        <f>G87/G$100</f>
        <v>3.111116435587135E-2</v>
      </c>
      <c r="I87" s="387">
        <v>0</v>
      </c>
      <c r="J87" s="387">
        <f>I87/G87*100</f>
        <v>0</v>
      </c>
      <c r="K87" s="535">
        <f>J87*$H87</f>
        <v>0</v>
      </c>
      <c r="L87" s="387">
        <v>0</v>
      </c>
      <c r="M87" s="387">
        <f>L87/G87*100</f>
        <v>0</v>
      </c>
      <c r="N87" s="535">
        <f>M87*$H87</f>
        <v>0</v>
      </c>
      <c r="O87" s="387">
        <v>0</v>
      </c>
      <c r="P87" s="363">
        <f>O87/G87*100</f>
        <v>0</v>
      </c>
      <c r="Q87" s="535">
        <f>P87*$H87</f>
        <v>0</v>
      </c>
      <c r="R87" s="387">
        <v>0</v>
      </c>
      <c r="S87" s="363">
        <f>R87/G87*100</f>
        <v>0</v>
      </c>
      <c r="T87" s="535">
        <f>S87*$H87</f>
        <v>0</v>
      </c>
      <c r="U87" s="387">
        <v>455.04</v>
      </c>
      <c r="V87" s="363">
        <f>U87/G87*100</f>
        <v>14.362593624831533</v>
      </c>
      <c r="W87" s="535">
        <f>V87*$H87</f>
        <v>0.44683701083872385</v>
      </c>
      <c r="X87" s="387">
        <v>900.73</v>
      </c>
      <c r="Y87" s="363">
        <f>X87/G87*100</f>
        <v>28.430069786600086</v>
      </c>
      <c r="Z87" s="535">
        <f>Y87*$H87</f>
        <v>0.88449257377980761</v>
      </c>
      <c r="AA87" s="387">
        <v>1033.1022</v>
      </c>
      <c r="AB87" s="363">
        <f>AA87/G87*100</f>
        <v>32.608181855483977</v>
      </c>
      <c r="AC87" s="535">
        <f>AB87*$H87</f>
        <v>1.0144785050521039</v>
      </c>
      <c r="AD87" s="387">
        <v>779.3578</v>
      </c>
      <c r="AE87" s="363">
        <f>AD87/G87*100</f>
        <v>24.599154733084401</v>
      </c>
      <c r="AF87" s="535">
        <f>AE87*$H87</f>
        <v>0.76530834591649943</v>
      </c>
      <c r="AG87" s="121">
        <f>SUM(AE87+AB87+Y87+V87+S87+P87+M87+J87)</f>
        <v>100</v>
      </c>
      <c r="AH87" s="533">
        <f>N87+Q87+T87+W87+Z87+AC87+AF87</f>
        <v>3.1111164355871348</v>
      </c>
      <c r="AI87" s="584">
        <f t="shared" ref="AI87:AI100" si="81">ROW(AH87)</f>
        <v>87</v>
      </c>
    </row>
    <row r="88" spans="1:35" s="584" customFormat="1" ht="15.75" customHeight="1">
      <c r="A88" s="552"/>
      <c r="B88" s="130">
        <v>4111201</v>
      </c>
      <c r="C88" s="560" t="str">
        <f>'9.Detil Phasing'!C89</f>
        <v xml:space="preserve"> Rehabilitation of Full Embankment (Resection/construction) (Rehabilitation Sub-Projects) (Earth Volume: 10.63 lakh cum)</v>
      </c>
      <c r="D88" s="565" t="s">
        <v>163</v>
      </c>
      <c r="E88" s="387">
        <v>26.10654149903144</v>
      </c>
      <c r="F88" s="274">
        <v>67.11</v>
      </c>
      <c r="G88" s="387">
        <v>1752.01</v>
      </c>
      <c r="H88" s="535">
        <f>G88/G$100</f>
        <v>1.7204265808710279E-2</v>
      </c>
      <c r="I88" s="387">
        <v>0</v>
      </c>
      <c r="J88" s="387">
        <f>I88/G88*100</f>
        <v>0</v>
      </c>
      <c r="K88" s="535">
        <f>J88*$H88</f>
        <v>0</v>
      </c>
      <c r="L88" s="387">
        <v>0</v>
      </c>
      <c r="M88" s="387">
        <f>L88/G88*100</f>
        <v>0</v>
      </c>
      <c r="N88" s="535">
        <f>M88*$H88</f>
        <v>0</v>
      </c>
      <c r="O88" s="387">
        <v>0</v>
      </c>
      <c r="P88" s="363">
        <f>O88/G88*100</f>
        <v>0</v>
      </c>
      <c r="Q88" s="535">
        <f>P88*$H88</f>
        <v>0</v>
      </c>
      <c r="R88" s="387">
        <v>0</v>
      </c>
      <c r="S88" s="363">
        <f>R88/G88*100</f>
        <v>0</v>
      </c>
      <c r="T88" s="535">
        <f>S88*$H88</f>
        <v>0</v>
      </c>
      <c r="U88" s="387">
        <v>452.46</v>
      </c>
      <c r="V88" s="363">
        <f>U88/G88*100</f>
        <v>25.825195061672023</v>
      </c>
      <c r="W88" s="535">
        <f>V88*$H88</f>
        <v>0.44430352040279752</v>
      </c>
      <c r="X88" s="387">
        <v>913.26</v>
      </c>
      <c r="Y88" s="363">
        <f>X88/G88*100</f>
        <v>52.12641480356848</v>
      </c>
      <c r="Z88" s="535">
        <f>Y88*$H88</f>
        <v>0.89679669593568256</v>
      </c>
      <c r="AA88" s="387">
        <v>220.18530000000001</v>
      </c>
      <c r="AB88" s="363">
        <f>AA88/G88*100</f>
        <v>12.567582376812918</v>
      </c>
      <c r="AC88" s="535">
        <f>AB88*$H88</f>
        <v>0.21621602778355237</v>
      </c>
      <c r="AD88" s="387">
        <v>166.10470000000001</v>
      </c>
      <c r="AE88" s="363">
        <f>AD88/G88*100</f>
        <v>9.4808077579465877</v>
      </c>
      <c r="AF88" s="535">
        <f>AE88*$H88</f>
        <v>0.16311033674899564</v>
      </c>
      <c r="AG88" s="121">
        <f>SUM(AE88+AB88+Y88+V88+S88+P88+M88+J88)</f>
        <v>100</v>
      </c>
      <c r="AH88" s="533">
        <f>N88+Q88+T88+W88+Z88+AC88+AF88</f>
        <v>1.720426580871028</v>
      </c>
      <c r="AI88" s="584">
        <f t="shared" si="81"/>
        <v>88</v>
      </c>
    </row>
    <row r="89" spans="1:35" s="584" customFormat="1" ht="32.25" customHeight="1">
      <c r="A89" s="552"/>
      <c r="B89" s="130">
        <v>4111201</v>
      </c>
      <c r="C89" s="560" t="str">
        <f>'9.Detil Phasing'!C90</f>
        <v xml:space="preserve"> Rehabilitation of Submergible Embankment  (Resection/construction)  (Rehabilitation Sub-Projects) (Earth Volume: 7.43 lakh cum)</v>
      </c>
      <c r="D89" s="565" t="s">
        <v>163</v>
      </c>
      <c r="E89" s="387">
        <v>25.891680395387151</v>
      </c>
      <c r="F89" s="274">
        <v>58.272000000000013</v>
      </c>
      <c r="G89" s="387">
        <v>1508.76</v>
      </c>
      <c r="H89" s="535">
        <f>G89/G$100</f>
        <v>1.4815616395768129E-2</v>
      </c>
      <c r="I89" s="387">
        <v>0</v>
      </c>
      <c r="J89" s="387">
        <f>I89/G89*100</f>
        <v>0</v>
      </c>
      <c r="K89" s="535">
        <f>J89*$H89</f>
        <v>0</v>
      </c>
      <c r="L89" s="387">
        <v>0</v>
      </c>
      <c r="M89" s="387">
        <f>L89/G89*100</f>
        <v>0</v>
      </c>
      <c r="N89" s="535">
        <f>M89*$H89</f>
        <v>0</v>
      </c>
      <c r="O89" s="387">
        <v>0</v>
      </c>
      <c r="P89" s="363">
        <f>O89/G89*100</f>
        <v>0</v>
      </c>
      <c r="Q89" s="535">
        <f>P89*$H89</f>
        <v>0</v>
      </c>
      <c r="R89" s="387">
        <v>0</v>
      </c>
      <c r="S89" s="363">
        <f>R89/G89*100</f>
        <v>0</v>
      </c>
      <c r="T89" s="535">
        <f>S89*$H89</f>
        <v>0</v>
      </c>
      <c r="U89" s="387">
        <v>341.85</v>
      </c>
      <c r="V89" s="363">
        <f>U89/G89*100</f>
        <v>22.657679153742148</v>
      </c>
      <c r="W89" s="535">
        <f>V89*$H89</f>
        <v>0.33568748276023591</v>
      </c>
      <c r="X89" s="387">
        <v>657.55</v>
      </c>
      <c r="Y89" s="363">
        <f>X89/G89*100</f>
        <v>43.58214692860362</v>
      </c>
      <c r="Z89" s="535">
        <f>Y89*$H89</f>
        <v>0.6456963705981954</v>
      </c>
      <c r="AA89" s="387">
        <v>320.89679999999998</v>
      </c>
      <c r="AB89" s="363">
        <f>AA89/G89*100</f>
        <v>21.268909568122165</v>
      </c>
      <c r="AC89" s="535">
        <f>AB89*$H89</f>
        <v>0.31511200531758038</v>
      </c>
      <c r="AD89" s="387">
        <v>188.4632</v>
      </c>
      <c r="AE89" s="363">
        <f>AD89/G89*100</f>
        <v>12.491264349532067</v>
      </c>
      <c r="AF89" s="535">
        <f>AE89*$H89</f>
        <v>0.1850657809008012</v>
      </c>
      <c r="AG89" s="121">
        <f>SUM(AE89+AB89+Y89+V89+S89+P89+M89+J89)</f>
        <v>100</v>
      </c>
      <c r="AH89" s="533">
        <f>N89+Q89+T89+W89+Z89+AC89+AF89</f>
        <v>1.481561639576813</v>
      </c>
      <c r="AI89" s="584">
        <f t="shared" si="81"/>
        <v>89</v>
      </c>
    </row>
    <row r="90" spans="1:35" s="584" customFormat="1" ht="15.75" customHeight="1">
      <c r="A90" s="552"/>
      <c r="B90" s="130">
        <v>4111201</v>
      </c>
      <c r="C90" s="560" t="str">
        <f>'9.Detil Phasing'!C91</f>
        <v>Construction of Submersible Embankment (New Haors) (Earth Volume: 25.68 lakh cum)</v>
      </c>
      <c r="D90" s="565" t="s">
        <v>163</v>
      </c>
      <c r="E90" s="387">
        <v>44.81948002262218</v>
      </c>
      <c r="F90" s="567">
        <v>240.47200000000001</v>
      </c>
      <c r="G90" s="387">
        <v>10777.83</v>
      </c>
      <c r="H90" s="535">
        <f>G90/G$100</f>
        <v>0.10583538459317693</v>
      </c>
      <c r="I90" s="387">
        <v>0</v>
      </c>
      <c r="J90" s="387">
        <f>I90/G90*100</f>
        <v>0</v>
      </c>
      <c r="K90" s="535">
        <f>J90*$H90</f>
        <v>0</v>
      </c>
      <c r="L90" s="387">
        <v>0</v>
      </c>
      <c r="M90" s="387">
        <f>L90/G90*100</f>
        <v>0</v>
      </c>
      <c r="N90" s="535">
        <f>M90*$H90</f>
        <v>0</v>
      </c>
      <c r="O90" s="387">
        <v>336.91</v>
      </c>
      <c r="P90" s="363">
        <f>O90/G90*100</f>
        <v>3.1259539257902569</v>
      </c>
      <c r="Q90" s="535">
        <f>P90*$H90</f>
        <v>0.33083653595656309</v>
      </c>
      <c r="R90" s="387">
        <v>3910</v>
      </c>
      <c r="S90" s="363">
        <f>R90/G90*100</f>
        <v>36.278174734617266</v>
      </c>
      <c r="T90" s="535">
        <f>S90*$H90</f>
        <v>3.8395145753766928</v>
      </c>
      <c r="U90" s="387">
        <v>1880.15</v>
      </c>
      <c r="V90" s="363">
        <f>U90/G90*100</f>
        <v>17.44460619623802</v>
      </c>
      <c r="W90" s="535">
        <f>V90*$H90</f>
        <v>1.8462566058553682</v>
      </c>
      <c r="X90" s="387">
        <v>4650.7700000000004</v>
      </c>
      <c r="Y90" s="363">
        <f>X90/G90*100</f>
        <v>43.151265143354465</v>
      </c>
      <c r="Z90" s="535">
        <f>Y90*$H90</f>
        <v>4.5669307421290695</v>
      </c>
      <c r="AA90" s="387">
        <v>0</v>
      </c>
      <c r="AB90" s="363">
        <f>AA90/G90*100</f>
        <v>0</v>
      </c>
      <c r="AC90" s="535">
        <f>AB90*$H90</f>
        <v>0</v>
      </c>
      <c r="AD90" s="387">
        <v>0</v>
      </c>
      <c r="AE90" s="363">
        <f>AD90/G90*100</f>
        <v>0</v>
      </c>
      <c r="AF90" s="535">
        <f>AE90*$H90</f>
        <v>0</v>
      </c>
      <c r="AG90" s="121">
        <f>SUM(AE90+AB90+Y90+V90+S90+P90+M90+J90)</f>
        <v>100.00000000000001</v>
      </c>
      <c r="AH90" s="533">
        <f>N90+Q90+T90+W90+Z90+AC90+AF90</f>
        <v>10.583538459317694</v>
      </c>
      <c r="AI90" s="584">
        <f t="shared" si="81"/>
        <v>90</v>
      </c>
    </row>
    <row r="91" spans="1:35" s="584" customFormat="1" ht="15.75" customHeight="1">
      <c r="A91" s="552"/>
      <c r="B91" s="130">
        <v>4111201</v>
      </c>
      <c r="C91" s="560" t="str">
        <f>'9.Detil Phasing'!C92</f>
        <v xml:space="preserve"> Rehabilitation of Regulator (New Haors)</v>
      </c>
      <c r="D91" s="519" t="s">
        <v>70</v>
      </c>
      <c r="E91" s="387">
        <v>22.017142857142851</v>
      </c>
      <c r="F91" s="574">
        <v>7</v>
      </c>
      <c r="G91" s="387">
        <v>154.12</v>
      </c>
      <c r="H91" s="535">
        <f>G91/G$100</f>
        <v>1.5134168449029563E-3</v>
      </c>
      <c r="I91" s="387">
        <v>0</v>
      </c>
      <c r="J91" s="387">
        <f>I91/G91*100</f>
        <v>0</v>
      </c>
      <c r="K91" s="535">
        <f>J91*$H91</f>
        <v>0</v>
      </c>
      <c r="L91" s="387">
        <v>0</v>
      </c>
      <c r="M91" s="387">
        <f>L91/G91*100</f>
        <v>0</v>
      </c>
      <c r="N91" s="535">
        <f>M91*$H91</f>
        <v>0</v>
      </c>
      <c r="O91" s="387">
        <v>0</v>
      </c>
      <c r="P91" s="363">
        <f>O91/G91*100</f>
        <v>0</v>
      </c>
      <c r="Q91" s="535">
        <f>P91*$H91</f>
        <v>0</v>
      </c>
      <c r="R91" s="387">
        <v>0</v>
      </c>
      <c r="S91" s="363"/>
      <c r="T91" s="535"/>
      <c r="U91" s="387">
        <v>73.260000000000005</v>
      </c>
      <c r="V91" s="363">
        <f>U91/G91*100</f>
        <v>47.53438878795744</v>
      </c>
      <c r="W91" s="535">
        <f>V91*$H91</f>
        <v>7.1939344703861013E-2</v>
      </c>
      <c r="X91" s="387">
        <v>0</v>
      </c>
      <c r="Y91" s="363">
        <f>X91/G91*100</f>
        <v>0</v>
      </c>
      <c r="Z91" s="535">
        <f>Y91*$H91</f>
        <v>0</v>
      </c>
      <c r="AA91" s="387">
        <v>50.133200000000002</v>
      </c>
      <c r="AB91" s="363">
        <f>AA91/G91*100</f>
        <v>32.528678951466389</v>
      </c>
      <c r="AC91" s="535">
        <f>AB91*$H91</f>
        <v>4.9229450667589464E-2</v>
      </c>
      <c r="AD91" s="387">
        <v>30.726800000000001</v>
      </c>
      <c r="AE91" s="363">
        <f>AD91/G91*100</f>
        <v>19.936932260576175</v>
      </c>
      <c r="AF91" s="535">
        <f>AE91*$H91</f>
        <v>3.0172889118845157E-2</v>
      </c>
      <c r="AG91" s="121">
        <f>SUM(AE91+AB91+Y91+V91+S91+P91+M91+J91)</f>
        <v>100</v>
      </c>
      <c r="AH91" s="533">
        <f>N91+Q91+T91+W91+Z91+AC91+AF91</f>
        <v>0.15134168449029564</v>
      </c>
      <c r="AI91" s="584">
        <f t="shared" si="81"/>
        <v>91</v>
      </c>
    </row>
    <row r="92" spans="1:35" s="584" customFormat="1" ht="15.75" customHeight="1">
      <c r="A92" s="552"/>
      <c r="B92" s="130">
        <v>4111201</v>
      </c>
      <c r="C92" s="560" t="s">
        <v>121</v>
      </c>
      <c r="D92" s="519" t="s">
        <v>164</v>
      </c>
      <c r="E92" s="387">
        <v>383.29761467889909</v>
      </c>
      <c r="F92" s="574">
        <v>13.625</v>
      </c>
      <c r="G92" s="387">
        <v>5222.43</v>
      </c>
      <c r="H92" s="535"/>
      <c r="I92" s="387">
        <v>0</v>
      </c>
      <c r="J92" s="387"/>
      <c r="K92" s="535"/>
      <c r="L92" s="387">
        <v>0</v>
      </c>
      <c r="M92" s="387"/>
      <c r="N92" s="535"/>
      <c r="O92" s="387">
        <v>0</v>
      </c>
      <c r="P92" s="363"/>
      <c r="Q92" s="535"/>
      <c r="R92" s="387">
        <v>0</v>
      </c>
      <c r="S92" s="363"/>
      <c r="T92" s="535"/>
      <c r="U92" s="387">
        <v>0</v>
      </c>
      <c r="V92" s="363"/>
      <c r="W92" s="535"/>
      <c r="X92" s="387">
        <v>0</v>
      </c>
      <c r="Y92" s="363"/>
      <c r="Z92" s="535"/>
      <c r="AA92" s="387">
        <v>2924.5608000000011</v>
      </c>
      <c r="AB92" s="363"/>
      <c r="AC92" s="535"/>
      <c r="AD92" s="387">
        <v>2297.8692000000001</v>
      </c>
      <c r="AE92" s="363"/>
      <c r="AF92" s="535"/>
      <c r="AG92" s="121"/>
      <c r="AH92" s="533"/>
      <c r="AI92" s="584">
        <f t="shared" si="81"/>
        <v>92</v>
      </c>
    </row>
    <row r="93" spans="1:35" s="584" customFormat="1" ht="15.75" customHeight="1">
      <c r="A93" s="552"/>
      <c r="B93" s="130">
        <v>4111201</v>
      </c>
      <c r="C93" s="560" t="s">
        <v>122</v>
      </c>
      <c r="D93" s="519" t="s">
        <v>70</v>
      </c>
      <c r="E93" s="387">
        <v>45</v>
      </c>
      <c r="F93" s="574">
        <v>20</v>
      </c>
      <c r="G93" s="387">
        <v>900</v>
      </c>
      <c r="H93" s="535"/>
      <c r="I93" s="387">
        <v>0</v>
      </c>
      <c r="J93" s="387"/>
      <c r="K93" s="535"/>
      <c r="L93" s="387">
        <v>0</v>
      </c>
      <c r="M93" s="387"/>
      <c r="N93" s="535"/>
      <c r="O93" s="387">
        <v>0</v>
      </c>
      <c r="P93" s="363"/>
      <c r="Q93" s="535"/>
      <c r="R93" s="387">
        <v>0</v>
      </c>
      <c r="S93" s="363"/>
      <c r="T93" s="535"/>
      <c r="U93" s="387">
        <v>0</v>
      </c>
      <c r="V93" s="363"/>
      <c r="W93" s="535"/>
      <c r="X93" s="387">
        <v>0</v>
      </c>
      <c r="Y93" s="363"/>
      <c r="Z93" s="535"/>
      <c r="AA93" s="387">
        <v>549</v>
      </c>
      <c r="AB93" s="363"/>
      <c r="AC93" s="535"/>
      <c r="AD93" s="387">
        <v>351</v>
      </c>
      <c r="AE93" s="363"/>
      <c r="AF93" s="535"/>
      <c r="AG93" s="121"/>
      <c r="AH93" s="533"/>
      <c r="AI93" s="584">
        <f t="shared" si="81"/>
        <v>93</v>
      </c>
    </row>
    <row r="94" spans="1:35" s="584" customFormat="1" ht="15.75" customHeight="1">
      <c r="A94" s="552"/>
      <c r="B94" s="130">
        <v>4111201</v>
      </c>
      <c r="C94" s="560" t="str">
        <f>'9.Detil Phasing'!C95</f>
        <v>Construction of WMG Office</v>
      </c>
      <c r="D94" s="519" t="s">
        <v>70</v>
      </c>
      <c r="E94" s="387">
        <v>35</v>
      </c>
      <c r="F94" s="574">
        <v>60</v>
      </c>
      <c r="G94" s="387">
        <v>2100</v>
      </c>
      <c r="H94" s="535">
        <f>G94/G$100</f>
        <v>2.0621433780795534E-2</v>
      </c>
      <c r="I94" s="387">
        <v>0</v>
      </c>
      <c r="J94" s="387">
        <f>I94/G94*100</f>
        <v>0</v>
      </c>
      <c r="K94" s="535">
        <f>J94*$H94</f>
        <v>0</v>
      </c>
      <c r="L94" s="387">
        <v>0</v>
      </c>
      <c r="M94" s="387">
        <f>L94/G94*100</f>
        <v>0</v>
      </c>
      <c r="N94" s="535">
        <f>M94*$H94</f>
        <v>0</v>
      </c>
      <c r="O94" s="387">
        <v>0</v>
      </c>
      <c r="P94" s="363">
        <f>O94/G94*100</f>
        <v>0</v>
      </c>
      <c r="Q94" s="535">
        <f>P94*$H94</f>
        <v>0</v>
      </c>
      <c r="R94" s="387">
        <v>0</v>
      </c>
      <c r="S94" s="363">
        <f>R94/G94*100</f>
        <v>0</v>
      </c>
      <c r="T94" s="535">
        <f>S94*$H94</f>
        <v>0</v>
      </c>
      <c r="U94" s="387">
        <v>42.09</v>
      </c>
      <c r="V94" s="363">
        <f>U94/G94*100</f>
        <v>2.0042857142857144</v>
      </c>
      <c r="W94" s="535">
        <f>V94*$H94</f>
        <v>4.1331245134937335E-2</v>
      </c>
      <c r="X94" s="387">
        <v>348.14</v>
      </c>
      <c r="Y94" s="363">
        <f>X94/G94*100</f>
        <v>16.578095238095237</v>
      </c>
      <c r="Z94" s="535">
        <f>Y94*$H94</f>
        <v>0.34186409316410271</v>
      </c>
      <c r="AA94" s="387">
        <v>1008.7643</v>
      </c>
      <c r="AB94" s="363">
        <f>AA94/G94*100</f>
        <v>48.036395238095238</v>
      </c>
      <c r="AC94" s="535">
        <f>AB94*$H94</f>
        <v>0.99057934347050292</v>
      </c>
      <c r="AD94" s="387">
        <v>701.00569999999993</v>
      </c>
      <c r="AE94" s="363">
        <f>AD94/G94*100</f>
        <v>33.38122380952381</v>
      </c>
      <c r="AF94" s="535">
        <f>AE94*$H94</f>
        <v>0.68836869631001052</v>
      </c>
      <c r="AG94" s="121">
        <f>SUM(AE94+AB94+Y94+V94+S94+P94+M94+J94)</f>
        <v>100</v>
      </c>
      <c r="AH94" s="533">
        <f>N94+Q94+T94+W94+Z94+AC94+AF94</f>
        <v>2.0621433780795537</v>
      </c>
      <c r="AI94" s="584">
        <f t="shared" si="81"/>
        <v>94</v>
      </c>
    </row>
    <row r="95" spans="1:35" s="584" customFormat="1" ht="15.75" customHeight="1">
      <c r="A95" s="552"/>
      <c r="B95" s="130">
        <v>4111201</v>
      </c>
      <c r="C95" s="560" t="str">
        <f>'9.Detil Phasing'!C96</f>
        <v>O &amp; M during Construction</v>
      </c>
      <c r="D95" s="519" t="s">
        <v>157</v>
      </c>
      <c r="E95" s="387">
        <v>200</v>
      </c>
      <c r="F95" s="462" t="s">
        <v>160</v>
      </c>
      <c r="G95" s="387">
        <v>200</v>
      </c>
      <c r="H95" s="535">
        <f>G95/G$100</f>
        <v>1.9639460743614795E-3</v>
      </c>
      <c r="I95" s="387">
        <v>0</v>
      </c>
      <c r="J95" s="387">
        <f>I95/G95*100</f>
        <v>0</v>
      </c>
      <c r="K95" s="535">
        <f>J95*$H95</f>
        <v>0</v>
      </c>
      <c r="L95" s="387">
        <v>0</v>
      </c>
      <c r="M95" s="387">
        <f>L95/G95*100</f>
        <v>0</v>
      </c>
      <c r="N95" s="535">
        <f>M95*$H95</f>
        <v>0</v>
      </c>
      <c r="O95" s="387">
        <v>0</v>
      </c>
      <c r="P95" s="363">
        <f>O95/G95*100</f>
        <v>0</v>
      </c>
      <c r="Q95" s="535">
        <f>P95*$H95</f>
        <v>0</v>
      </c>
      <c r="R95" s="387">
        <v>0</v>
      </c>
      <c r="S95" s="363"/>
      <c r="T95" s="535"/>
      <c r="U95" s="387">
        <v>0</v>
      </c>
      <c r="V95" s="363">
        <f>U95/G95*100</f>
        <v>0</v>
      </c>
      <c r="W95" s="535">
        <f>V95*$H95</f>
        <v>0</v>
      </c>
      <c r="X95" s="387">
        <v>0</v>
      </c>
      <c r="Y95" s="363">
        <f>X95/G95*100</f>
        <v>0</v>
      </c>
      <c r="Z95" s="535">
        <f>Y95*$H95</f>
        <v>0</v>
      </c>
      <c r="AA95" s="387">
        <v>114</v>
      </c>
      <c r="AB95" s="363">
        <f>AA95/G95*100</f>
        <v>56.999999999999993</v>
      </c>
      <c r="AC95" s="535">
        <f>AB95*$H95</f>
        <v>0.11194492623860432</v>
      </c>
      <c r="AD95" s="387">
        <v>86</v>
      </c>
      <c r="AE95" s="363">
        <f>AD95/G95*100</f>
        <v>43</v>
      </c>
      <c r="AF95" s="535">
        <f>AE95*$H95</f>
        <v>8.4449681197543619E-2</v>
      </c>
      <c r="AG95" s="121">
        <f>SUM(AE95+AB95+Y95+V95+S95+P95+M95+J95)</f>
        <v>100</v>
      </c>
      <c r="AH95" s="533">
        <f>N95+Q95+T95+W95+Z95+AC95+AF95</f>
        <v>0.19639460743614795</v>
      </c>
      <c r="AI95" s="584">
        <f t="shared" si="81"/>
        <v>95</v>
      </c>
    </row>
    <row r="96" spans="1:35" s="133" customFormat="1" ht="17.25" customHeight="1">
      <c r="A96" s="124"/>
      <c r="B96" s="472"/>
      <c r="C96" s="547" t="s">
        <v>165</v>
      </c>
      <c r="D96" s="136"/>
      <c r="E96" s="142"/>
      <c r="F96" s="545"/>
      <c r="G96" s="143">
        <f>I96+L96+O96+R96+U96+X96+AA96+AD96</f>
        <v>81586.87999999999</v>
      </c>
      <c r="H96" s="537">
        <f>SUM(H58:H95)</f>
        <v>0.74104055165674065</v>
      </c>
      <c r="I96" s="143">
        <f>SUM(I58:I95)</f>
        <v>375.20000000000005</v>
      </c>
      <c r="J96" s="387"/>
      <c r="K96" s="143">
        <f>SUM(K58:K95)</f>
        <v>0.36843628355021363</v>
      </c>
      <c r="L96" s="143">
        <f>SUM(L58:L95)</f>
        <v>189.18999999999997</v>
      </c>
      <c r="M96" s="387"/>
      <c r="N96" s="143">
        <f>SUM(N58:N95)</f>
        <v>0.18577947890422411</v>
      </c>
      <c r="O96" s="143">
        <f>SUM(O58:O95)</f>
        <v>5714.7959999999994</v>
      </c>
      <c r="P96" s="143">
        <f>SUM(P58:P95)</f>
        <v>261.16459187331679</v>
      </c>
      <c r="Q96" s="143">
        <f>SUM(Q58:Q95)</f>
        <v>5.6117755849883419</v>
      </c>
      <c r="R96" s="143">
        <f>SUM(R58:R95)</f>
        <v>13501.539999999999</v>
      </c>
      <c r="S96" s="387"/>
      <c r="T96" s="143">
        <f>SUM(T58:T95)</f>
        <v>13.258148240417245</v>
      </c>
      <c r="U96" s="143">
        <f>SUM(U58:U95)</f>
        <v>15155.124000000002</v>
      </c>
      <c r="V96" s="387"/>
      <c r="W96" s="143">
        <f>SUM(W58:W95)</f>
        <v>14.881923143130722</v>
      </c>
      <c r="X96" s="143">
        <f>SUM(X58:X95)</f>
        <v>22157.059999999998</v>
      </c>
      <c r="Y96" s="363"/>
      <c r="Z96" s="143">
        <f>SUM(Z58:Z95)</f>
        <v>21.757635503195878</v>
      </c>
      <c r="AA96" s="143">
        <f>SUM(AA58:AA95)</f>
        <v>14366.400900000001</v>
      </c>
      <c r="AB96" s="363"/>
      <c r="AC96" s="143">
        <f>SUM(AC58:AC95)</f>
        <v>10.696475276521152</v>
      </c>
      <c r="AD96" s="143">
        <f>SUM(AD58:AD95)</f>
        <v>10127.569099999999</v>
      </c>
      <c r="AE96" s="363"/>
      <c r="AF96" s="143">
        <f>SUM(AF58:AF95)</f>
        <v>7.3438816549662942</v>
      </c>
      <c r="AG96" s="121"/>
      <c r="AI96" s="584">
        <f t="shared" si="81"/>
        <v>96</v>
      </c>
    </row>
    <row r="97" spans="1:37" s="133" customFormat="1" ht="17.25" customHeight="1">
      <c r="A97" s="124"/>
      <c r="B97" s="562"/>
      <c r="C97" s="571" t="s">
        <v>126</v>
      </c>
      <c r="D97" s="136"/>
      <c r="E97" s="142"/>
      <c r="F97" s="545"/>
      <c r="G97" s="143">
        <f>G96+G55</f>
        <v>101175.65</v>
      </c>
      <c r="H97" s="537">
        <f>+H55+H96</f>
        <v>0.9333969913720902</v>
      </c>
      <c r="I97" s="143">
        <f>SUM(I55+I96)</f>
        <v>1456.29</v>
      </c>
      <c r="J97" s="143"/>
      <c r="K97" s="143">
        <f>SUM(K55+K96)</f>
        <v>1.4300375143159396</v>
      </c>
      <c r="L97" s="143">
        <f>SUM(L55+L96)</f>
        <v>2652.9300000000003</v>
      </c>
      <c r="M97" s="143"/>
      <c r="N97" s="143">
        <f>SUM(N55+N96)</f>
        <v>2.6051057295279003</v>
      </c>
      <c r="O97" s="143">
        <f>+O55+O96</f>
        <v>7942.6659999999993</v>
      </c>
      <c r="P97" s="143">
        <f>SUM(P55+P96)</f>
        <v>261.16459187331679</v>
      </c>
      <c r="Q97" s="143">
        <f>+Q55+Q96</f>
        <v>7.7994838553321966</v>
      </c>
      <c r="R97" s="143">
        <f>SUM(R55+R96)</f>
        <v>15866.399999999998</v>
      </c>
      <c r="S97" s="467"/>
      <c r="T97" s="143">
        <f>+T55+T96</f>
        <v>15.580376997124491</v>
      </c>
      <c r="U97" s="143">
        <f>+U55+U96</f>
        <v>17642.414000000001</v>
      </c>
      <c r="V97" s="467"/>
      <c r="W97" s="143">
        <f>+W55+W96</f>
        <v>17.324374858780004</v>
      </c>
      <c r="X97" s="143">
        <f>+X55+X96</f>
        <v>24717.059999999998</v>
      </c>
      <c r="Y97" s="363"/>
      <c r="Z97" s="143">
        <f>+Z55+Z96</f>
        <v>24.271486478378574</v>
      </c>
      <c r="AA97" s="143">
        <f>+AA55+AA96</f>
        <v>18202.627700000001</v>
      </c>
      <c r="AB97" s="363"/>
      <c r="AC97" s="143">
        <f>+AC55+AC96</f>
        <v>14.463546558631302</v>
      </c>
      <c r="AD97" s="143">
        <f>+AD55+AD96</f>
        <v>12695.262299999999</v>
      </c>
      <c r="AE97" s="363"/>
      <c r="AF97" s="143">
        <f>+AF55+AF96</f>
        <v>9.8652871451186268</v>
      </c>
      <c r="AG97" s="121"/>
      <c r="AI97" s="584">
        <f t="shared" si="81"/>
        <v>97</v>
      </c>
    </row>
    <row r="98" spans="1:37" s="584" customFormat="1" ht="18" customHeight="1">
      <c r="A98" s="553"/>
      <c r="B98" s="562">
        <v>0</v>
      </c>
      <c r="C98" s="571" t="s">
        <v>127</v>
      </c>
      <c r="D98" s="519" t="s">
        <v>157</v>
      </c>
      <c r="E98" s="585">
        <v>258</v>
      </c>
      <c r="F98" s="546">
        <v>0</v>
      </c>
      <c r="G98" s="387">
        <v>258</v>
      </c>
      <c r="H98" s="535">
        <f>G98/G$100</f>
        <v>2.5334904359263087E-3</v>
      </c>
      <c r="I98" s="387">
        <v>0</v>
      </c>
      <c r="J98" s="387">
        <f>I98/G98*100</f>
        <v>0</v>
      </c>
      <c r="K98" s="535">
        <f>J98*$H98</f>
        <v>0</v>
      </c>
      <c r="L98" s="387">
        <v>0</v>
      </c>
      <c r="M98" s="387">
        <f>L98/G98*100</f>
        <v>0</v>
      </c>
      <c r="N98" s="535">
        <f>M98*$H98</f>
        <v>0</v>
      </c>
      <c r="O98" s="387">
        <v>0</v>
      </c>
      <c r="P98" s="363">
        <v>0</v>
      </c>
      <c r="Q98" s="535">
        <f>P98*$H98</f>
        <v>0</v>
      </c>
      <c r="R98" s="387">
        <v>0</v>
      </c>
      <c r="S98" s="363"/>
      <c r="T98" s="535"/>
      <c r="U98" s="387">
        <v>0</v>
      </c>
      <c r="V98" s="363">
        <f>U98/G98*100</f>
        <v>0</v>
      </c>
      <c r="W98" s="535">
        <f>V98*$H98</f>
        <v>0</v>
      </c>
      <c r="X98" s="387">
        <v>0</v>
      </c>
      <c r="Y98" s="363">
        <f>X98/G98*100</f>
        <v>0</v>
      </c>
      <c r="Z98" s="535">
        <f>Y98*$H98</f>
        <v>0</v>
      </c>
      <c r="AA98" s="387">
        <v>162.54</v>
      </c>
      <c r="AB98" s="363">
        <f>AA98/G98*100</f>
        <v>63</v>
      </c>
      <c r="AC98" s="535">
        <f>AB98*$H98</f>
        <v>0.15960989746335744</v>
      </c>
      <c r="AD98" s="387">
        <v>95.46</v>
      </c>
      <c r="AE98" s="363">
        <f>AD98/G98*100</f>
        <v>37</v>
      </c>
      <c r="AF98" s="535">
        <f>AE98*$H98</f>
        <v>9.3739146129273421E-2</v>
      </c>
      <c r="AG98" s="121">
        <f>SUM(AE98+AB98+Y98+V98+S98+P98+M98+J98)</f>
        <v>100</v>
      </c>
      <c r="AH98" s="533">
        <f>N98+Q98+T98+W98+Z98+AC98+AF98</f>
        <v>0.25334904359263088</v>
      </c>
      <c r="AI98" s="584">
        <f t="shared" si="81"/>
        <v>98</v>
      </c>
    </row>
    <row r="99" spans="1:37" s="584" customFormat="1" ht="19.5" customHeight="1">
      <c r="A99" s="553"/>
      <c r="B99" s="562">
        <v>0</v>
      </c>
      <c r="C99" s="571" t="s">
        <v>128</v>
      </c>
      <c r="D99" s="519" t="s">
        <v>157</v>
      </c>
      <c r="E99" s="585">
        <v>402.14</v>
      </c>
      <c r="F99" s="546">
        <v>0</v>
      </c>
      <c r="G99" s="387">
        <v>402.14</v>
      </c>
      <c r="H99" s="535">
        <f>G99/G$100</f>
        <v>3.9489063717186267E-3</v>
      </c>
      <c r="I99" s="387">
        <v>0</v>
      </c>
      <c r="J99" s="387">
        <f>I99/G99*100</f>
        <v>0</v>
      </c>
      <c r="K99" s="535">
        <f>J99*$H99</f>
        <v>0</v>
      </c>
      <c r="L99" s="387">
        <v>0</v>
      </c>
      <c r="M99" s="387">
        <f>L99/G99*100</f>
        <v>0</v>
      </c>
      <c r="N99" s="535">
        <f>M99*$H99</f>
        <v>0</v>
      </c>
      <c r="O99" s="387">
        <v>0</v>
      </c>
      <c r="P99" s="363">
        <v>0</v>
      </c>
      <c r="Q99" s="535">
        <f>P99*$H99</f>
        <v>0</v>
      </c>
      <c r="R99" s="387">
        <v>0</v>
      </c>
      <c r="S99" s="363"/>
      <c r="T99" s="535"/>
      <c r="U99" s="387">
        <v>0</v>
      </c>
      <c r="V99" s="363">
        <f>U99/G99*100</f>
        <v>0</v>
      </c>
      <c r="W99" s="535">
        <f>V99*$H99</f>
        <v>0</v>
      </c>
      <c r="X99" s="387">
        <v>0</v>
      </c>
      <c r="Y99" s="363">
        <f>X99/G99*100</f>
        <v>0</v>
      </c>
      <c r="Z99" s="535">
        <f>Y99*$H99</f>
        <v>0</v>
      </c>
      <c r="AA99" s="387">
        <v>221.17699999999999</v>
      </c>
      <c r="AB99" s="363">
        <f>AA99/G99*100</f>
        <v>55.000000000000007</v>
      </c>
      <c r="AC99" s="535">
        <f>AB99*$H99</f>
        <v>0.21718985044452449</v>
      </c>
      <c r="AD99" s="387">
        <v>180.96299999999999</v>
      </c>
      <c r="AE99" s="363">
        <f>AD99/G99*100</f>
        <v>45</v>
      </c>
      <c r="AF99" s="535">
        <f>AE99*$H99</f>
        <v>0.17770078672733819</v>
      </c>
      <c r="AG99" s="121">
        <f>SUM(AE99+AB99+Y99+V99+S99+P99+M99+J99)</f>
        <v>100</v>
      </c>
      <c r="AH99" s="533">
        <f>N99+Q99+T99+W99+Z99+AC99+AF99</f>
        <v>0.39489063717186268</v>
      </c>
      <c r="AI99" s="584">
        <f t="shared" si="81"/>
        <v>99</v>
      </c>
    </row>
    <row r="100" spans="1:37" s="584" customFormat="1" ht="17.25" customHeight="1">
      <c r="A100" s="268"/>
      <c r="B100" s="562"/>
      <c r="C100" s="547" t="s">
        <v>129</v>
      </c>
      <c r="D100" s="519"/>
      <c r="E100" s="299"/>
      <c r="F100" s="223"/>
      <c r="G100" s="143">
        <f>G97+G98+G99</f>
        <v>101835.79</v>
      </c>
      <c r="H100" s="537">
        <f>SUM(H97:H99)</f>
        <v>0.93987938817973515</v>
      </c>
      <c r="I100" s="143">
        <f>SUM(I97:I99)</f>
        <v>1456.29</v>
      </c>
      <c r="J100" s="387"/>
      <c r="K100" s="143">
        <f>SUM(K97:K99)</f>
        <v>1.4300375143159396</v>
      </c>
      <c r="L100" s="143">
        <f>SUM(L97:L99)</f>
        <v>2652.9300000000003</v>
      </c>
      <c r="M100" s="387"/>
      <c r="N100" s="143">
        <f>SUM(N97:N99)</f>
        <v>2.6051057295279003</v>
      </c>
      <c r="O100" s="143">
        <f>SUM(O97:O99)</f>
        <v>7942.6659999999993</v>
      </c>
      <c r="P100" s="363"/>
      <c r="Q100" s="143">
        <f>SUM(Q97:Q99)</f>
        <v>7.7994838553321966</v>
      </c>
      <c r="R100" s="143">
        <f>SUM(R97:R99)</f>
        <v>15866.399999999998</v>
      </c>
      <c r="S100" s="363"/>
      <c r="T100" s="143">
        <f>SUM(T97:T99)</f>
        <v>15.580376997124491</v>
      </c>
      <c r="U100" s="143">
        <f>SUM(U97:U99)</f>
        <v>17642.414000000001</v>
      </c>
      <c r="V100" s="363"/>
      <c r="W100" s="143">
        <f>SUM(W97:W99)</f>
        <v>17.324374858780004</v>
      </c>
      <c r="X100" s="143">
        <f>SUM(X97:X99)</f>
        <v>24717.059999999998</v>
      </c>
      <c r="Y100" s="363"/>
      <c r="Z100" s="143">
        <f>SUM(Z97:Z99)</f>
        <v>24.271486478378574</v>
      </c>
      <c r="AA100" s="143">
        <f>SUM(AA97:AA99)</f>
        <v>18586.344700000001</v>
      </c>
      <c r="AB100" s="363"/>
      <c r="AC100" s="143">
        <f>SUM(AC97:AC99)</f>
        <v>14.840346306539184</v>
      </c>
      <c r="AD100" s="143">
        <f>SUM(AD97:AD99)</f>
        <v>12971.685299999997</v>
      </c>
      <c r="AE100" s="363"/>
      <c r="AF100" s="143">
        <f>SUM(AF97:AF99)</f>
        <v>10.136727077975239</v>
      </c>
      <c r="AH100" s="121" t="s">
        <v>166</v>
      </c>
      <c r="AI100" s="584">
        <f t="shared" si="81"/>
        <v>100</v>
      </c>
      <c r="AK100" s="121">
        <f>AF100+AC100+Z100+W100+T100+Q100+N100</f>
        <v>92.557901303657587</v>
      </c>
    </row>
    <row r="102" spans="1:37" ht="1.5" hidden="1" customHeight="1">
      <c r="A102" s="645" t="s">
        <v>167</v>
      </c>
      <c r="B102" s="631"/>
      <c r="C102" s="646" t="s">
        <v>168</v>
      </c>
      <c r="D102" s="647"/>
      <c r="E102" s="647"/>
    </row>
    <row r="103" spans="1:37" ht="12.75" hidden="1" customHeight="1">
      <c r="A103" s="631"/>
      <c r="B103" s="631"/>
      <c r="C103" s="645" t="s">
        <v>169</v>
      </c>
      <c r="D103" s="648"/>
      <c r="E103" s="631"/>
    </row>
    <row r="104" spans="1:37" ht="12.75" hidden="1" customHeight="1">
      <c r="A104" s="645" t="s">
        <v>170</v>
      </c>
      <c r="B104" s="631"/>
      <c r="C104" s="649" t="s">
        <v>171</v>
      </c>
      <c r="D104" s="647"/>
      <c r="E104" s="647"/>
      <c r="F104" s="647"/>
      <c r="G104" s="647"/>
      <c r="H104" s="643" t="s">
        <v>172</v>
      </c>
    </row>
    <row r="105" spans="1:37" ht="25.5" hidden="1" customHeight="1">
      <c r="A105" s="631"/>
      <c r="B105" s="631"/>
      <c r="C105" s="25" t="s">
        <v>173</v>
      </c>
      <c r="H105" s="644"/>
    </row>
    <row r="106" spans="1:37" ht="12.75" hidden="1" customHeight="1">
      <c r="A106" s="645" t="s">
        <v>174</v>
      </c>
      <c r="B106" s="631"/>
      <c r="C106" s="645" t="s">
        <v>175</v>
      </c>
      <c r="D106" s="648"/>
      <c r="E106" s="631"/>
    </row>
    <row r="107" spans="1:37">
      <c r="K107" s="583">
        <f>I100*100/$G$100</f>
        <v>1.4300375143159394</v>
      </c>
      <c r="N107" s="583">
        <f>L100*100/$G$100</f>
        <v>2.6051057295278999</v>
      </c>
      <c r="Q107" s="583">
        <f>O100*100/$G$100</f>
        <v>7.7994838553321975</v>
      </c>
      <c r="T107" s="583">
        <f>R100*100/$G$100</f>
        <v>15.580376997124487</v>
      </c>
      <c r="W107" s="583">
        <f>U100*100/$G$100</f>
        <v>17.324374858780004</v>
      </c>
      <c r="Z107" s="583">
        <f>X100*100/$G$100</f>
        <v>24.271486478378577</v>
      </c>
      <c r="AC107" s="583">
        <f>AA100*100/$G$100</f>
        <v>18.251289355147147</v>
      </c>
      <c r="AF107" s="583">
        <f>AD100*100/$G$100</f>
        <v>12.737845211393754</v>
      </c>
      <c r="AH107" s="583">
        <f>SUM(K107:AF107)</f>
        <v>100</v>
      </c>
    </row>
  </sheetData>
  <mergeCells count="46">
    <mergeCell ref="AD1:AF1"/>
    <mergeCell ref="AE5:AF5"/>
    <mergeCell ref="R1:T1"/>
    <mergeCell ref="AD4:AF4"/>
    <mergeCell ref="V5:W5"/>
    <mergeCell ref="Y5:Z5"/>
    <mergeCell ref="R5:R6"/>
    <mergeCell ref="U5:U6"/>
    <mergeCell ref="U4:W4"/>
    <mergeCell ref="AD5:AD6"/>
    <mergeCell ref="AA4:AC4"/>
    <mergeCell ref="AA5:AA6"/>
    <mergeCell ref="P5:Q5"/>
    <mergeCell ref="AB5:AC5"/>
    <mergeCell ref="A4:A6"/>
    <mergeCell ref="C4:C6"/>
    <mergeCell ref="M5:N5"/>
    <mergeCell ref="X5:X6"/>
    <mergeCell ref="R4:T4"/>
    <mergeCell ref="S5:T5"/>
    <mergeCell ref="L4:N4"/>
    <mergeCell ref="X4:Z4"/>
    <mergeCell ref="L5:L6"/>
    <mergeCell ref="O4:Q4"/>
    <mergeCell ref="O5:O6"/>
    <mergeCell ref="A2:H2"/>
    <mergeCell ref="A3:H3"/>
    <mergeCell ref="B4:B6"/>
    <mergeCell ref="H5:H6"/>
    <mergeCell ref="D4:H4"/>
    <mergeCell ref="F5:F6"/>
    <mergeCell ref="G5:G6"/>
    <mergeCell ref="D55:E55"/>
    <mergeCell ref="I4:K4"/>
    <mergeCell ref="I5:I6"/>
    <mergeCell ref="J5:K5"/>
    <mergeCell ref="D5:D6"/>
    <mergeCell ref="E5:E6"/>
    <mergeCell ref="H104:H105"/>
    <mergeCell ref="A102:B103"/>
    <mergeCell ref="C102:E102"/>
    <mergeCell ref="A106:B106"/>
    <mergeCell ref="C106:E106"/>
    <mergeCell ref="A104:B105"/>
    <mergeCell ref="C104:G104"/>
    <mergeCell ref="C103:E103"/>
  </mergeCells>
  <pageMargins left="0.56999999999999995" right="0.17" top="0.76" bottom="0.34" header="0.23" footer="0"/>
  <pageSetup paperSize="9" scale="58" firstPageNumber="22" fitToHeight="4" orientation="landscape" useFirstPageNumber="1" r:id="rId1"/>
  <headerFooter alignWithMargins="0">
    <oddFooter>&amp;C&amp;20 P - &amp;P</oddFooter>
  </headerFooter>
  <rowBreaks count="1" manualBreakCount="1">
    <brk id="5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"/>
  <sheetViews>
    <sheetView topLeftCell="A85" zoomScale="85" zoomScaleNormal="85" workbookViewId="0">
      <selection activeCell="C91" sqref="C91"/>
    </sheetView>
  </sheetViews>
  <sheetFormatPr defaultRowHeight="15"/>
  <cols>
    <col min="1" max="1" width="8.140625" style="588" customWidth="1"/>
    <col min="2" max="2" width="10.5703125" style="588" customWidth="1"/>
    <col min="3" max="3" width="32.85546875" style="589" customWidth="1"/>
    <col min="4" max="4" width="11" style="588" customWidth="1"/>
    <col min="5" max="5" width="9.42578125" style="590" customWidth="1"/>
    <col min="6" max="6" width="9.5703125" style="590" customWidth="1"/>
    <col min="7" max="7" width="9.42578125" style="590" customWidth="1"/>
    <col min="8" max="8" width="9.7109375" style="590" customWidth="1"/>
    <col min="9" max="9" width="9.85546875" style="590" customWidth="1"/>
    <col min="10" max="10" width="9.7109375" style="590" customWidth="1"/>
    <col min="11" max="11" width="8.5703125" style="590" customWidth="1"/>
    <col min="12" max="12" width="9" style="590" customWidth="1"/>
    <col min="13" max="13" width="6.7109375" style="588" customWidth="1"/>
    <col min="14" max="14" width="9.5703125" style="588" customWidth="1"/>
    <col min="15" max="15" width="9.42578125" style="588" customWidth="1"/>
    <col min="16" max="16" width="10" style="588" customWidth="1"/>
    <col min="17" max="17" width="9.28515625" style="588" customWidth="1"/>
    <col min="18" max="18" width="10.140625" style="590" customWidth="1"/>
    <col min="19" max="19" width="9.7109375" style="590" customWidth="1"/>
    <col min="20" max="20" width="8.28515625" style="590" customWidth="1"/>
    <col min="21" max="21" width="8.85546875" style="590" customWidth="1"/>
    <col min="22" max="22" width="9.140625" style="588" customWidth="1"/>
    <col min="23" max="23" width="10.85546875" style="588" customWidth="1"/>
    <col min="24" max="24" width="11.140625" style="588" customWidth="1"/>
    <col min="25" max="33" width="9.140625" style="588" customWidth="1"/>
    <col min="34" max="16384" width="9.140625" style="588"/>
  </cols>
  <sheetData>
    <row r="1" spans="1:25" s="587" customFormat="1" ht="21" customHeight="1">
      <c r="A1" s="669" t="s">
        <v>176</v>
      </c>
      <c r="B1" s="670"/>
      <c r="C1" s="670"/>
      <c r="D1" s="670"/>
      <c r="E1" s="670"/>
      <c r="F1" s="670"/>
      <c r="G1" s="670"/>
      <c r="H1" s="670"/>
      <c r="I1" s="670"/>
      <c r="J1" s="670"/>
      <c r="K1" s="670"/>
      <c r="L1" s="670"/>
      <c r="M1" s="670"/>
      <c r="N1" s="670"/>
      <c r="O1" s="670"/>
      <c r="P1" s="670"/>
      <c r="Q1" s="670"/>
      <c r="R1" s="670"/>
      <c r="S1" s="670"/>
      <c r="T1" s="670"/>
      <c r="U1" s="670"/>
    </row>
    <row r="2" spans="1:25" ht="21.75" customHeight="1">
      <c r="A2" s="186" t="s">
        <v>177</v>
      </c>
      <c r="B2" s="186"/>
      <c r="C2" s="186"/>
      <c r="D2" s="675" t="s">
        <v>178</v>
      </c>
      <c r="E2" s="676"/>
      <c r="F2" s="676"/>
      <c r="G2" s="676"/>
      <c r="H2" s="676"/>
      <c r="I2" s="676"/>
      <c r="J2" s="676"/>
      <c r="K2" s="676"/>
      <c r="L2" s="676"/>
      <c r="M2" s="672"/>
      <c r="N2" s="672"/>
      <c r="O2" s="672"/>
      <c r="P2" s="672"/>
      <c r="Q2" s="672"/>
      <c r="R2" s="676"/>
      <c r="S2" s="676"/>
      <c r="T2" s="676"/>
      <c r="U2" s="676"/>
      <c r="V2" s="178"/>
      <c r="W2" s="178"/>
      <c r="X2" s="178"/>
    </row>
    <row r="3" spans="1:25" ht="14.25" customHeight="1">
      <c r="A3" s="671" t="s">
        <v>179</v>
      </c>
      <c r="B3" s="672"/>
      <c r="C3" s="673"/>
      <c r="D3" s="677" t="s">
        <v>180</v>
      </c>
      <c r="E3" s="676"/>
      <c r="F3" s="676"/>
      <c r="G3" s="676"/>
      <c r="H3" s="676"/>
      <c r="I3" s="676"/>
      <c r="J3" s="676"/>
      <c r="K3" s="676"/>
      <c r="L3" s="676"/>
      <c r="M3" s="672"/>
      <c r="N3" s="672"/>
      <c r="O3" s="672"/>
      <c r="P3" s="672"/>
      <c r="Q3" s="672"/>
      <c r="R3" s="676"/>
      <c r="S3" s="676"/>
      <c r="T3" s="676"/>
      <c r="U3" s="676"/>
    </row>
    <row r="4" spans="1:25" s="26" customFormat="1" ht="6.75" customHeight="1">
      <c r="A4" s="18"/>
      <c r="B4" s="18"/>
      <c r="C4" s="591"/>
      <c r="D4" s="18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678" t="s">
        <v>181</v>
      </c>
      <c r="U4" s="647"/>
      <c r="V4" s="93"/>
    </row>
    <row r="5" spans="1:25" s="26" customFormat="1" ht="26.25" customHeight="1">
      <c r="A5" s="661" t="s">
        <v>182</v>
      </c>
      <c r="B5" s="661" t="s">
        <v>183</v>
      </c>
      <c r="C5" s="662" t="s">
        <v>184</v>
      </c>
      <c r="D5" s="661" t="s">
        <v>185</v>
      </c>
      <c r="E5" s="680" t="s">
        <v>186</v>
      </c>
      <c r="F5" s="617"/>
      <c r="G5" s="617"/>
      <c r="H5" s="617"/>
      <c r="I5" s="617"/>
      <c r="J5" s="617"/>
      <c r="K5" s="617"/>
      <c r="L5" s="617"/>
      <c r="M5" s="674" t="s">
        <v>187</v>
      </c>
      <c r="N5" s="679" t="s">
        <v>188</v>
      </c>
      <c r="O5" s="617"/>
      <c r="P5" s="617"/>
      <c r="Q5" s="617"/>
      <c r="R5" s="617"/>
      <c r="S5" s="617"/>
      <c r="T5" s="617"/>
      <c r="U5" s="618"/>
    </row>
    <row r="6" spans="1:25" s="26" customFormat="1" ht="19.5" customHeight="1">
      <c r="A6" s="625"/>
      <c r="B6" s="625"/>
      <c r="C6" s="625"/>
      <c r="D6" s="625"/>
      <c r="E6" s="592" t="s">
        <v>189</v>
      </c>
      <c r="F6" s="592" t="s">
        <v>190</v>
      </c>
      <c r="G6" s="592" t="s">
        <v>191</v>
      </c>
      <c r="H6" s="592" t="s">
        <v>192</v>
      </c>
      <c r="I6" s="592" t="s">
        <v>193</v>
      </c>
      <c r="J6" s="592" t="s">
        <v>194</v>
      </c>
      <c r="K6" s="592" t="s">
        <v>195</v>
      </c>
      <c r="L6" s="592" t="s">
        <v>196</v>
      </c>
      <c r="M6" s="625"/>
      <c r="N6" s="592" t="s">
        <v>189</v>
      </c>
      <c r="O6" s="592" t="s">
        <v>190</v>
      </c>
      <c r="P6" s="592" t="s">
        <v>191</v>
      </c>
      <c r="Q6" s="592" t="s">
        <v>192</v>
      </c>
      <c r="R6" s="592" t="s">
        <v>193</v>
      </c>
      <c r="S6" s="592" t="s">
        <v>194</v>
      </c>
      <c r="T6" s="592" t="s">
        <v>195</v>
      </c>
      <c r="U6" s="592" t="s">
        <v>196</v>
      </c>
    </row>
    <row r="7" spans="1:25" ht="16.5" customHeight="1">
      <c r="A7" s="663" t="s">
        <v>23</v>
      </c>
      <c r="B7" s="647"/>
      <c r="C7" s="647"/>
      <c r="D7" s="647"/>
      <c r="E7" s="647"/>
      <c r="F7" s="647"/>
      <c r="G7" s="647"/>
      <c r="H7" s="664"/>
      <c r="I7" s="594"/>
      <c r="J7" s="594"/>
      <c r="K7" s="594"/>
      <c r="L7" s="594"/>
      <c r="M7" s="367"/>
      <c r="N7" s="21"/>
      <c r="O7" s="21"/>
      <c r="P7" s="21"/>
      <c r="Q7" s="21"/>
      <c r="R7" s="22"/>
      <c r="S7" s="22"/>
      <c r="T7" s="22"/>
      <c r="U7" s="22"/>
    </row>
    <row r="8" spans="1:25" ht="16.5" customHeight="1">
      <c r="A8" s="27"/>
      <c r="B8" s="97">
        <f>'Annex-II'!B9</f>
        <v>0</v>
      </c>
      <c r="C8" s="593" t="str">
        <f>'Annex-II'!C9</f>
        <v>Allowances</v>
      </c>
      <c r="D8" s="22"/>
      <c r="E8" s="23"/>
      <c r="F8" s="23"/>
      <c r="G8" s="23"/>
      <c r="H8" s="23"/>
      <c r="I8" s="23"/>
      <c r="J8" s="23"/>
      <c r="K8" s="23"/>
      <c r="L8" s="23"/>
      <c r="M8" s="538"/>
      <c r="N8" s="22"/>
      <c r="O8" s="22"/>
      <c r="P8" s="22"/>
      <c r="Q8" s="22"/>
      <c r="R8" s="22"/>
      <c r="S8" s="22"/>
      <c r="T8" s="22"/>
      <c r="U8" s="22"/>
      <c r="W8" s="590"/>
      <c r="X8" s="590"/>
      <c r="Y8" s="539"/>
    </row>
    <row r="9" spans="1:25" ht="16.5" customHeight="1">
      <c r="A9" s="27"/>
      <c r="B9" s="90">
        <f>'Annex-II'!B10</f>
        <v>3111302</v>
      </c>
      <c r="C9" s="24" t="str">
        <f>'Annex-II'!C10</f>
        <v>Conveyance Allowance</v>
      </c>
      <c r="D9" s="22">
        <f>SUM(E9:L9)</f>
        <v>5</v>
      </c>
      <c r="E9" s="382">
        <f>'Annex-II'!I10</f>
        <v>0</v>
      </c>
      <c r="F9" s="23">
        <f>'Annex-II'!L10</f>
        <v>0.3</v>
      </c>
      <c r="G9" s="23">
        <f>'Annex-II'!O10</f>
        <v>0.13</v>
      </c>
      <c r="H9" s="23">
        <f>'Annex-II'!R10</f>
        <v>0.28000000000000003</v>
      </c>
      <c r="I9" s="23">
        <f>'Annex-II'!U10</f>
        <v>0.3</v>
      </c>
      <c r="J9" s="23">
        <f>'Annex-II'!X10</f>
        <v>0.5</v>
      </c>
      <c r="K9" s="23">
        <f>'Annex-II'!AA10</f>
        <v>2.0242</v>
      </c>
      <c r="L9" s="23">
        <f>'Annex-II'!AD10</f>
        <v>1.4658</v>
      </c>
      <c r="M9" s="538">
        <v>0.90200000000000002</v>
      </c>
      <c r="N9" s="22">
        <f>M9*E9</f>
        <v>0</v>
      </c>
      <c r="O9" s="22">
        <f>M9*F9</f>
        <v>0.27060000000000001</v>
      </c>
      <c r="P9" s="22">
        <f>M9*G9</f>
        <v>0.11726</v>
      </c>
      <c r="Q9" s="22">
        <f>M9*H9</f>
        <v>0.25256000000000001</v>
      </c>
      <c r="R9" s="22">
        <f>M9*I9</f>
        <v>0.27060000000000001</v>
      </c>
      <c r="S9" s="22">
        <f>M9*J9</f>
        <v>0.45100000000000001</v>
      </c>
      <c r="T9" s="22">
        <f>M9*K9</f>
        <v>1.8258284</v>
      </c>
      <c r="U9" s="22">
        <f>M9*L9</f>
        <v>1.3221516</v>
      </c>
      <c r="W9" s="590"/>
      <c r="X9" s="590"/>
      <c r="Y9" s="539"/>
    </row>
    <row r="10" spans="1:25" ht="16.5" customHeight="1">
      <c r="A10" s="27"/>
      <c r="B10" s="90">
        <f>'Annex-II'!B11</f>
        <v>3111327</v>
      </c>
      <c r="C10" s="24" t="str">
        <f>'Annex-II'!C11</f>
        <v>Overtime Allowance</v>
      </c>
      <c r="D10" s="22">
        <f>SUM(E10:L10)</f>
        <v>10</v>
      </c>
      <c r="E10" s="23">
        <f>'Annex-II'!I11</f>
        <v>0</v>
      </c>
      <c r="F10" s="23">
        <f>'Annex-II'!L11</f>
        <v>0</v>
      </c>
      <c r="G10" s="23">
        <f>'Annex-II'!O11</f>
        <v>0</v>
      </c>
      <c r="H10" s="23">
        <f>'Annex-II'!R11</f>
        <v>0</v>
      </c>
      <c r="I10" s="23">
        <f>'Annex-II'!U11</f>
        <v>0</v>
      </c>
      <c r="J10" s="23">
        <f>'Annex-II'!X11</f>
        <v>0</v>
      </c>
      <c r="K10" s="23">
        <f>'Annex-II'!AA11</f>
        <v>6.3</v>
      </c>
      <c r="L10" s="23">
        <f>'Annex-II'!AD11</f>
        <v>3.7</v>
      </c>
      <c r="M10" s="538">
        <v>0.90200000000000002</v>
      </c>
      <c r="N10" s="22">
        <f>M10*E10</f>
        <v>0</v>
      </c>
      <c r="O10" s="22">
        <f>M10*F10</f>
        <v>0</v>
      </c>
      <c r="P10" s="22">
        <f>M10*G10</f>
        <v>0</v>
      </c>
      <c r="Q10" s="22">
        <f>M10*H10</f>
        <v>0</v>
      </c>
      <c r="R10" s="22">
        <f>M10*I10</f>
        <v>0</v>
      </c>
      <c r="S10" s="22">
        <f>M10*J10</f>
        <v>0</v>
      </c>
      <c r="T10" s="22">
        <f>M10*K10</f>
        <v>5.6825999999999999</v>
      </c>
      <c r="U10" s="22">
        <f>M10*L10</f>
        <v>3.3374000000000001</v>
      </c>
      <c r="W10" s="590"/>
      <c r="X10" s="590"/>
      <c r="Y10" s="539"/>
    </row>
    <row r="11" spans="1:25" ht="16.5" customHeight="1">
      <c r="A11" s="27"/>
      <c r="B11" s="90">
        <f>'Annex-II'!B12</f>
        <v>3111338</v>
      </c>
      <c r="C11" s="24" t="str">
        <f>'Annex-II'!C12</f>
        <v>Other Allowance</v>
      </c>
      <c r="D11" s="22">
        <f>SUM(E11:L11)</f>
        <v>140</v>
      </c>
      <c r="E11" s="23">
        <f>'Annex-II'!I12</f>
        <v>0</v>
      </c>
      <c r="F11" s="23">
        <f>'Annex-II'!L12</f>
        <v>0</v>
      </c>
      <c r="G11" s="23">
        <f>'Annex-II'!O12</f>
        <v>0</v>
      </c>
      <c r="H11" s="23">
        <f>'Annex-II'!R12</f>
        <v>25</v>
      </c>
      <c r="I11" s="23">
        <f>'Annex-II'!U12</f>
        <v>11.61</v>
      </c>
      <c r="J11" s="23">
        <f>'Annex-II'!X12</f>
        <v>14</v>
      </c>
      <c r="K11" s="23">
        <f>'Annex-II'!AA12</f>
        <v>53.634</v>
      </c>
      <c r="L11" s="23">
        <f>'Annex-II'!AD12</f>
        <v>35.756</v>
      </c>
      <c r="M11" s="538">
        <v>0.90200000000000002</v>
      </c>
      <c r="N11" s="22">
        <f>M11*E11</f>
        <v>0</v>
      </c>
      <c r="O11" s="22">
        <f>M11*F11</f>
        <v>0</v>
      </c>
      <c r="P11" s="22">
        <f>M11*G11</f>
        <v>0</v>
      </c>
      <c r="Q11" s="22">
        <f>M11*H11</f>
        <v>22.55</v>
      </c>
      <c r="R11" s="22">
        <f>M11*I11</f>
        <v>10.47222</v>
      </c>
      <c r="S11" s="22">
        <f>M11*J11</f>
        <v>12.628</v>
      </c>
      <c r="T11" s="22">
        <f>M11*K11</f>
        <v>48.377867999999999</v>
      </c>
      <c r="U11" s="22">
        <f>M11*L11</f>
        <v>32.251912000000004</v>
      </c>
      <c r="W11" s="590"/>
      <c r="X11" s="590"/>
      <c r="Y11" s="539"/>
    </row>
    <row r="12" spans="1:25" ht="15" customHeight="1">
      <c r="A12" s="27"/>
      <c r="B12" s="97">
        <f>'Annex-II'!B13</f>
        <v>0</v>
      </c>
      <c r="C12" s="593" t="str">
        <f>'Annex-II'!C13</f>
        <v xml:space="preserve">Supplies and services: </v>
      </c>
      <c r="D12" s="22"/>
      <c r="E12" s="23"/>
      <c r="F12" s="23"/>
      <c r="G12" s="23"/>
      <c r="H12" s="23"/>
      <c r="I12" s="23"/>
      <c r="J12" s="23"/>
      <c r="K12" s="23"/>
      <c r="L12" s="23"/>
      <c r="M12" s="538"/>
      <c r="N12" s="540"/>
      <c r="O12" s="540"/>
      <c r="P12" s="540"/>
      <c r="Q12" s="540"/>
      <c r="R12" s="22"/>
      <c r="S12" s="22"/>
      <c r="T12" s="22"/>
      <c r="U12" s="22"/>
      <c r="W12" s="590"/>
      <c r="X12" s="590"/>
      <c r="Y12" s="539"/>
    </row>
    <row r="13" spans="1:25" ht="29.25" customHeight="1">
      <c r="A13" s="27"/>
      <c r="B13" s="91">
        <f>'Annex-II'!B14</f>
        <v>3241101</v>
      </c>
      <c r="C13" s="24" t="str">
        <f>'Annex-II'!C14</f>
        <v>Travel Expenses (TA &amp; DA for PMO &amp; PIU)</v>
      </c>
      <c r="D13" s="22">
        <f t="shared" ref="D13:D27" si="0">SUM(E13:L13)</f>
        <v>120</v>
      </c>
      <c r="E13" s="23">
        <f>'Annex-II'!I14</f>
        <v>0.99099999999999999</v>
      </c>
      <c r="F13" s="23">
        <f>'Annex-II'!L14</f>
        <v>11.909000000000001</v>
      </c>
      <c r="G13" s="23">
        <f>'Annex-II'!O14</f>
        <v>14.98</v>
      </c>
      <c r="H13" s="23">
        <f>'Annex-II'!R14</f>
        <v>17.96</v>
      </c>
      <c r="I13" s="23">
        <f>'Annex-II'!U14</f>
        <v>12.7</v>
      </c>
      <c r="J13" s="23">
        <f>'Annex-II'!X14</f>
        <v>15</v>
      </c>
      <c r="K13" s="23">
        <f>'Annex-II'!AA14</f>
        <v>28.805199999999999</v>
      </c>
      <c r="L13" s="23">
        <f>'Annex-II'!AD14</f>
        <v>17.654800000000002</v>
      </c>
      <c r="M13" s="189">
        <v>0.90200000000000002</v>
      </c>
      <c r="N13" s="22">
        <f t="shared" ref="N13:N27" si="1">M13*E13</f>
        <v>0.89388200000000007</v>
      </c>
      <c r="O13" s="22">
        <f t="shared" ref="O13:O27" si="2">M13*F13</f>
        <v>10.741918</v>
      </c>
      <c r="P13" s="22">
        <f t="shared" ref="P13:P27" si="3">M13*G13</f>
        <v>13.51196</v>
      </c>
      <c r="Q13" s="22">
        <f t="shared" ref="Q13:Q27" si="4">M13*H13</f>
        <v>16.199920000000002</v>
      </c>
      <c r="R13" s="22">
        <f t="shared" ref="R13:R27" si="5">M13*I13</f>
        <v>11.455399999999999</v>
      </c>
      <c r="S13" s="22">
        <f t="shared" ref="S13:S27" si="6">M13*J13</f>
        <v>13.530000000000001</v>
      </c>
      <c r="T13" s="22">
        <f t="shared" ref="T13:T27" si="7">M13*K13</f>
        <v>25.9822904</v>
      </c>
      <c r="U13" s="22">
        <f t="shared" ref="U13:U27" si="8">M13*L13</f>
        <v>15.924629600000001</v>
      </c>
      <c r="W13" s="590"/>
      <c r="X13" s="590"/>
      <c r="Y13" s="539"/>
    </row>
    <row r="14" spans="1:25" ht="29.25" customHeight="1">
      <c r="A14" s="27"/>
      <c r="B14" s="91">
        <f>'Annex-II'!B15</f>
        <v>3211129</v>
      </c>
      <c r="C14" s="24" t="str">
        <f>'Annex-II'!C15</f>
        <v>Rent-Office : Office Accomodation for PMO (3,500sft) for 8 years</v>
      </c>
      <c r="D14" s="22">
        <f t="shared" si="0"/>
        <v>245</v>
      </c>
      <c r="E14" s="23">
        <f>'Annex-II'!I15</f>
        <v>0</v>
      </c>
      <c r="F14" s="23">
        <f>'Annex-II'!L15</f>
        <v>16.25</v>
      </c>
      <c r="G14" s="23">
        <f>'Annex-II'!O15</f>
        <v>31.35</v>
      </c>
      <c r="H14" s="23">
        <f>'Annex-II'!R15</f>
        <v>34.86</v>
      </c>
      <c r="I14" s="23">
        <f>'Annex-II'!U15</f>
        <v>34.21</v>
      </c>
      <c r="J14" s="23">
        <f>'Annex-II'!X15</f>
        <v>34.25</v>
      </c>
      <c r="K14" s="23">
        <f>'Annex-II'!AA15</f>
        <v>58.329599999999992</v>
      </c>
      <c r="L14" s="23">
        <f>'Annex-II'!AD15</f>
        <v>35.750399999999992</v>
      </c>
      <c r="M14" s="538">
        <v>0.81200000000000006</v>
      </c>
      <c r="N14" s="22">
        <f t="shared" si="1"/>
        <v>0</v>
      </c>
      <c r="O14" s="22">
        <f t="shared" si="2"/>
        <v>13.195</v>
      </c>
      <c r="P14" s="22">
        <f t="shared" si="3"/>
        <v>25.456200000000003</v>
      </c>
      <c r="Q14" s="22">
        <f t="shared" si="4"/>
        <v>28.306320000000003</v>
      </c>
      <c r="R14" s="22">
        <f t="shared" si="5"/>
        <v>27.778520000000004</v>
      </c>
      <c r="S14" s="22">
        <f t="shared" si="6"/>
        <v>27.811000000000003</v>
      </c>
      <c r="T14" s="22">
        <f t="shared" si="7"/>
        <v>47.363635199999997</v>
      </c>
      <c r="U14" s="22">
        <f t="shared" si="8"/>
        <v>29.029324799999994</v>
      </c>
      <c r="W14" s="590"/>
      <c r="X14" s="590"/>
      <c r="Y14" s="539"/>
    </row>
    <row r="15" spans="1:25" ht="27.75" customHeight="1">
      <c r="A15" s="27"/>
      <c r="B15" s="91">
        <f>'Annex-II'!B16</f>
        <v>3821103</v>
      </c>
      <c r="C15" s="24" t="str">
        <f>'Annex-II'!C16</f>
        <v>Misc. Taxes (Income Tax of Consultants, Outsourcing Staff Salary,House rent, Fees for Environmental clearance  etc.)</v>
      </c>
      <c r="D15" s="22">
        <f t="shared" si="0"/>
        <v>2596.27</v>
      </c>
      <c r="E15" s="23">
        <f>'Annex-II'!I16</f>
        <v>223.74600000000001</v>
      </c>
      <c r="F15" s="23">
        <f>'Annex-II'!L16</f>
        <v>464.654</v>
      </c>
      <c r="G15" s="23">
        <f>'Annex-II'!O16</f>
        <v>327.7</v>
      </c>
      <c r="H15" s="23">
        <f>'Annex-II'!R16</f>
        <v>337.33</v>
      </c>
      <c r="I15" s="23">
        <f>'Annex-II'!U16</f>
        <v>249.75</v>
      </c>
      <c r="J15" s="23">
        <f>'Annex-II'!X16</f>
        <v>359.08</v>
      </c>
      <c r="K15" s="23">
        <f>'Annex-II'!AA16</f>
        <v>367.72580000000011</v>
      </c>
      <c r="L15" s="23">
        <f>'Annex-II'!AD16</f>
        <v>266.28420000000011</v>
      </c>
      <c r="M15" s="538">
        <v>0.81200000000000006</v>
      </c>
      <c r="N15" s="22">
        <f t="shared" si="1"/>
        <v>181.68175200000002</v>
      </c>
      <c r="O15" s="22">
        <f t="shared" si="2"/>
        <v>377.29904800000003</v>
      </c>
      <c r="P15" s="22">
        <f t="shared" si="3"/>
        <v>266.0924</v>
      </c>
      <c r="Q15" s="22">
        <f t="shared" si="4"/>
        <v>273.91196000000002</v>
      </c>
      <c r="R15" s="22">
        <f t="shared" si="5"/>
        <v>202.79700000000003</v>
      </c>
      <c r="S15" s="22">
        <f t="shared" si="6"/>
        <v>291.57296000000002</v>
      </c>
      <c r="T15" s="22">
        <f t="shared" si="7"/>
        <v>298.59334960000012</v>
      </c>
      <c r="U15" s="22">
        <f t="shared" si="8"/>
        <v>216.22277040000012</v>
      </c>
      <c r="W15" s="590"/>
      <c r="X15" s="590"/>
      <c r="Y15" s="539"/>
    </row>
    <row r="16" spans="1:25" ht="18" customHeight="1">
      <c r="A16" s="27"/>
      <c r="B16" s="91">
        <f>'Annex-II'!B17</f>
        <v>3211119</v>
      </c>
      <c r="C16" s="24" t="str">
        <f>'Annex-II'!C17</f>
        <v>Postage</v>
      </c>
      <c r="D16" s="22">
        <f t="shared" si="0"/>
        <v>5</v>
      </c>
      <c r="E16" s="23">
        <f>'Annex-II'!I17</f>
        <v>0</v>
      </c>
      <c r="F16" s="23">
        <f>'Annex-II'!L17</f>
        <v>0.05</v>
      </c>
      <c r="G16" s="23">
        <f>'Annex-II'!O17</f>
        <v>0.13</v>
      </c>
      <c r="H16" s="23">
        <f>'Annex-II'!R17</f>
        <v>0.22</v>
      </c>
      <c r="I16" s="23">
        <f>'Annex-II'!U17</f>
        <v>0.37</v>
      </c>
      <c r="J16" s="23">
        <f>'Annex-II'!X17</f>
        <v>0.5</v>
      </c>
      <c r="K16" s="23">
        <f>'Annex-II'!AA17</f>
        <v>2.1634000000000002</v>
      </c>
      <c r="L16" s="23">
        <f>'Annex-II'!AD17</f>
        <v>1.5666</v>
      </c>
      <c r="M16" s="538">
        <v>0.81200000000000006</v>
      </c>
      <c r="N16" s="22">
        <f t="shared" si="1"/>
        <v>0</v>
      </c>
      <c r="O16" s="22">
        <f t="shared" si="2"/>
        <v>4.0600000000000004E-2</v>
      </c>
      <c r="P16" s="22">
        <f t="shared" si="3"/>
        <v>0.10556000000000001</v>
      </c>
      <c r="Q16" s="22">
        <f t="shared" si="4"/>
        <v>0.17864000000000002</v>
      </c>
      <c r="R16" s="22">
        <f t="shared" si="5"/>
        <v>0.30044000000000004</v>
      </c>
      <c r="S16" s="22">
        <f t="shared" si="6"/>
        <v>0.40600000000000003</v>
      </c>
      <c r="T16" s="22">
        <f t="shared" si="7"/>
        <v>1.7566808000000003</v>
      </c>
      <c r="U16" s="22">
        <f t="shared" si="8"/>
        <v>1.2720792000000001</v>
      </c>
      <c r="W16" s="590"/>
      <c r="X16" s="590"/>
      <c r="Y16" s="539"/>
    </row>
    <row r="17" spans="1:26" ht="18" customHeight="1">
      <c r="A17" s="27"/>
      <c r="B17" s="91">
        <f>'Annex-II'!B18</f>
        <v>3211120</v>
      </c>
      <c r="C17" s="24" t="str">
        <f>'Annex-II'!C18</f>
        <v>Telephones/Telegram/Teleprinter</v>
      </c>
      <c r="D17" s="22">
        <f t="shared" si="0"/>
        <v>5</v>
      </c>
      <c r="E17" s="23">
        <f>'Annex-II'!I18</f>
        <v>0.21</v>
      </c>
      <c r="F17" s="23">
        <f>'Annex-II'!L18</f>
        <v>0.24</v>
      </c>
      <c r="G17" s="23">
        <f>'Annex-II'!O18</f>
        <v>0.28999999999999998</v>
      </c>
      <c r="H17" s="23">
        <f>'Annex-II'!R18</f>
        <v>0.15</v>
      </c>
      <c r="I17" s="23">
        <f>'Annex-II'!U18</f>
        <v>0.08</v>
      </c>
      <c r="J17" s="23">
        <f>'Annex-II'!X18</f>
        <v>0.2</v>
      </c>
      <c r="K17" s="23">
        <f>'Annex-II'!AA18</f>
        <v>2.3363</v>
      </c>
      <c r="L17" s="23">
        <f>'Annex-II'!AD18</f>
        <v>1.4937</v>
      </c>
      <c r="M17" s="538">
        <v>0.81200000000000006</v>
      </c>
      <c r="N17" s="22">
        <f t="shared" si="1"/>
        <v>0.17052</v>
      </c>
      <c r="O17" s="22">
        <f t="shared" si="2"/>
        <v>0.19488</v>
      </c>
      <c r="P17" s="22">
        <f t="shared" si="3"/>
        <v>0.23547999999999999</v>
      </c>
      <c r="Q17" s="22">
        <f t="shared" si="4"/>
        <v>0.12180000000000001</v>
      </c>
      <c r="R17" s="22">
        <f t="shared" si="5"/>
        <v>6.4960000000000004E-2</v>
      </c>
      <c r="S17" s="22">
        <f t="shared" si="6"/>
        <v>0.16240000000000002</v>
      </c>
      <c r="T17" s="22">
        <f t="shared" si="7"/>
        <v>1.8970756000000002</v>
      </c>
      <c r="U17" s="22">
        <f t="shared" si="8"/>
        <v>1.2128844000000001</v>
      </c>
      <c r="W17" s="590"/>
      <c r="X17" s="590"/>
      <c r="Y17" s="539"/>
    </row>
    <row r="18" spans="1:26" ht="18" customHeight="1">
      <c r="A18" s="27"/>
      <c r="B18" s="91">
        <f>'Annex-II'!B19</f>
        <v>3211117</v>
      </c>
      <c r="C18" s="24" t="str">
        <f>'Annex-II'!C19</f>
        <v>Telex/Fax/Internet</v>
      </c>
      <c r="D18" s="22">
        <f t="shared" si="0"/>
        <v>5</v>
      </c>
      <c r="E18" s="23">
        <f>'Annex-II'!I19</f>
        <v>0.249</v>
      </c>
      <c r="F18" s="23">
        <f>'Annex-II'!L19</f>
        <v>1E-3</v>
      </c>
      <c r="G18" s="23">
        <f>'Annex-II'!O19</f>
        <v>0.09</v>
      </c>
      <c r="H18" s="23">
        <f>'Annex-II'!R19</f>
        <v>0.05</v>
      </c>
      <c r="I18" s="23">
        <f>'Annex-II'!U19</f>
        <v>0.05</v>
      </c>
      <c r="J18" s="23">
        <f>'Annex-II'!X19</f>
        <v>0.2</v>
      </c>
      <c r="K18" s="23">
        <f>'Annex-II'!AA19</f>
        <v>2.4416000000000002</v>
      </c>
      <c r="L18" s="23">
        <f>'Annex-II'!AD19</f>
        <v>1.9184000000000001</v>
      </c>
      <c r="M18" s="538">
        <v>0.81200000000000006</v>
      </c>
      <c r="N18" s="22">
        <f t="shared" si="1"/>
        <v>0.20218800000000001</v>
      </c>
      <c r="O18" s="22">
        <f t="shared" si="2"/>
        <v>8.1200000000000011E-4</v>
      </c>
      <c r="P18" s="22">
        <f t="shared" si="3"/>
        <v>7.3080000000000006E-2</v>
      </c>
      <c r="Q18" s="22">
        <f t="shared" si="4"/>
        <v>4.0600000000000004E-2</v>
      </c>
      <c r="R18" s="22">
        <f t="shared" si="5"/>
        <v>4.0600000000000004E-2</v>
      </c>
      <c r="S18" s="22">
        <f t="shared" si="6"/>
        <v>0.16240000000000002</v>
      </c>
      <c r="T18" s="22">
        <f t="shared" si="7"/>
        <v>1.9825792000000002</v>
      </c>
      <c r="U18" s="22">
        <f t="shared" si="8"/>
        <v>1.5577408000000001</v>
      </c>
      <c r="W18" s="590"/>
      <c r="X18" s="590"/>
      <c r="Y18" s="539"/>
    </row>
    <row r="19" spans="1:26" ht="18" customHeight="1">
      <c r="A19" s="27"/>
      <c r="B19" s="91">
        <f>'Annex-II'!B20</f>
        <v>3221104</v>
      </c>
      <c r="C19" s="24" t="str">
        <f>'Annex-II'!C20</f>
        <v>Registration Fee (Vehicles)</v>
      </c>
      <c r="D19" s="22">
        <f t="shared" si="0"/>
        <v>20</v>
      </c>
      <c r="E19" s="23">
        <f>'Annex-II'!I20</f>
        <v>1.1000000000000001</v>
      </c>
      <c r="F19" s="23">
        <f>'Annex-II'!L20</f>
        <v>8.3699999999999992</v>
      </c>
      <c r="G19" s="23">
        <f>'Annex-II'!O20</f>
        <v>0.08</v>
      </c>
      <c r="H19" s="23">
        <f>'Annex-II'!R20</f>
        <v>0</v>
      </c>
      <c r="I19" s="23">
        <f>'Annex-II'!U20</f>
        <v>2.37</v>
      </c>
      <c r="J19" s="23">
        <f>'Annex-II'!X20</f>
        <v>1</v>
      </c>
      <c r="K19" s="23">
        <f>'Annex-II'!AA20</f>
        <v>4.4604000000000008</v>
      </c>
      <c r="L19" s="23">
        <f>'Annex-II'!AD20</f>
        <v>2.619600000000001</v>
      </c>
      <c r="M19" s="538">
        <v>0.81200000000000006</v>
      </c>
      <c r="N19" s="22">
        <f t="shared" si="1"/>
        <v>0.8932000000000001</v>
      </c>
      <c r="O19" s="22">
        <f t="shared" si="2"/>
        <v>6.7964399999999996</v>
      </c>
      <c r="P19" s="22">
        <f t="shared" si="3"/>
        <v>6.4960000000000004E-2</v>
      </c>
      <c r="Q19" s="22">
        <f t="shared" si="4"/>
        <v>0</v>
      </c>
      <c r="R19" s="22">
        <f t="shared" si="5"/>
        <v>1.9244400000000002</v>
      </c>
      <c r="S19" s="22">
        <f t="shared" si="6"/>
        <v>0.81200000000000006</v>
      </c>
      <c r="T19" s="22">
        <f t="shared" si="7"/>
        <v>3.6218448000000008</v>
      </c>
      <c r="U19" s="22">
        <f t="shared" si="8"/>
        <v>2.1271152000000009</v>
      </c>
      <c r="W19" s="590"/>
      <c r="X19" s="590"/>
      <c r="Y19" s="539"/>
    </row>
    <row r="20" spans="1:26" ht="18" customHeight="1">
      <c r="A20" s="27"/>
      <c r="B20" s="91">
        <f>'Annex-II'!B21</f>
        <v>3211115</v>
      </c>
      <c r="C20" s="24" t="str">
        <f>'Annex-II'!C21</f>
        <v>Water</v>
      </c>
      <c r="D20" s="22">
        <f t="shared" si="0"/>
        <v>4.9999999999999991</v>
      </c>
      <c r="E20" s="23">
        <f>'Annex-II'!I21</f>
        <v>0</v>
      </c>
      <c r="F20" s="23">
        <f>'Annex-II'!L21</f>
        <v>0.11</v>
      </c>
      <c r="G20" s="23">
        <f>'Annex-II'!O21</f>
        <v>0.23</v>
      </c>
      <c r="H20" s="23">
        <f>'Annex-II'!R21</f>
        <v>0.37</v>
      </c>
      <c r="I20" s="23">
        <f>'Annex-II'!U21</f>
        <v>0.4</v>
      </c>
      <c r="J20" s="23">
        <f>'Annex-II'!X21</f>
        <v>0.45</v>
      </c>
      <c r="K20" s="23">
        <f>'Annex-II'!AA21</f>
        <v>2.0983999999999998</v>
      </c>
      <c r="L20" s="23">
        <f>'Annex-II'!AD21</f>
        <v>1.3415999999999999</v>
      </c>
      <c r="M20" s="538">
        <v>0.81200000000000006</v>
      </c>
      <c r="N20" s="22">
        <f t="shared" si="1"/>
        <v>0</v>
      </c>
      <c r="O20" s="22">
        <f t="shared" si="2"/>
        <v>8.932000000000001E-2</v>
      </c>
      <c r="P20" s="22">
        <f t="shared" si="3"/>
        <v>0.18676000000000001</v>
      </c>
      <c r="Q20" s="22">
        <f t="shared" si="4"/>
        <v>0.30044000000000004</v>
      </c>
      <c r="R20" s="22">
        <f t="shared" si="5"/>
        <v>0.32480000000000003</v>
      </c>
      <c r="S20" s="22">
        <f t="shared" si="6"/>
        <v>0.36540000000000006</v>
      </c>
      <c r="T20" s="22">
        <f t="shared" si="7"/>
        <v>1.7039008</v>
      </c>
      <c r="U20" s="22">
        <f t="shared" si="8"/>
        <v>1.0893792</v>
      </c>
      <c r="W20" s="590"/>
      <c r="X20" s="590"/>
      <c r="Y20" s="539"/>
    </row>
    <row r="21" spans="1:26" ht="18" customHeight="1">
      <c r="A21" s="27"/>
      <c r="B21" s="91">
        <f>'Annex-II'!B22</f>
        <v>3211113</v>
      </c>
      <c r="C21" s="24" t="str">
        <f>'Annex-II'!C22</f>
        <v>Electricity</v>
      </c>
      <c r="D21" s="22">
        <f t="shared" si="0"/>
        <v>20</v>
      </c>
      <c r="E21" s="23">
        <f>'Annex-II'!I22</f>
        <v>0.187</v>
      </c>
      <c r="F21" s="23">
        <f>'Annex-II'!L22</f>
        <v>1.6830000000000001</v>
      </c>
      <c r="G21" s="23">
        <f>'Annex-II'!O22</f>
        <v>1.78</v>
      </c>
      <c r="H21" s="23">
        <f>'Annex-II'!R22</f>
        <v>2.31</v>
      </c>
      <c r="I21" s="23">
        <f>'Annex-II'!U22</f>
        <v>2.78</v>
      </c>
      <c r="J21" s="23">
        <f>'Annex-II'!X22</f>
        <v>3.5</v>
      </c>
      <c r="K21" s="23">
        <f>'Annex-II'!AA22</f>
        <v>4.2679999999999998</v>
      </c>
      <c r="L21" s="23">
        <f>'Annex-II'!AD22</f>
        <v>3.492</v>
      </c>
      <c r="M21" s="538">
        <v>0.81200000000000006</v>
      </c>
      <c r="N21" s="22">
        <f t="shared" si="1"/>
        <v>0.15184400000000001</v>
      </c>
      <c r="O21" s="22">
        <f t="shared" si="2"/>
        <v>1.3665960000000001</v>
      </c>
      <c r="P21" s="22">
        <f t="shared" si="3"/>
        <v>1.4453600000000002</v>
      </c>
      <c r="Q21" s="22">
        <f t="shared" si="4"/>
        <v>1.8757200000000003</v>
      </c>
      <c r="R21" s="22">
        <f t="shared" si="5"/>
        <v>2.2573599999999998</v>
      </c>
      <c r="S21" s="22">
        <f t="shared" si="6"/>
        <v>2.8420000000000001</v>
      </c>
      <c r="T21" s="22">
        <f t="shared" si="7"/>
        <v>3.4656160000000003</v>
      </c>
      <c r="U21" s="22">
        <f t="shared" si="8"/>
        <v>2.8355040000000002</v>
      </c>
      <c r="W21" s="590"/>
      <c r="X21" s="590"/>
      <c r="Y21" s="539"/>
    </row>
    <row r="22" spans="1:26" ht="18" customHeight="1">
      <c r="A22" s="27"/>
      <c r="B22" s="91">
        <f>'Annex-II'!B23</f>
        <v>3243102</v>
      </c>
      <c r="C22" s="24" t="str">
        <f>'Annex-II'!C23</f>
        <v>Gas &amp; Fuel</v>
      </c>
      <c r="D22" s="22">
        <f t="shared" si="0"/>
        <v>100</v>
      </c>
      <c r="E22" s="23">
        <f>'Annex-II'!I23</f>
        <v>0.93799999999999994</v>
      </c>
      <c r="F22" s="23">
        <f>'Annex-II'!L23</f>
        <v>3.6920000000000002</v>
      </c>
      <c r="G22" s="23">
        <f>'Annex-II'!O23</f>
        <v>3</v>
      </c>
      <c r="H22" s="23">
        <f>'Annex-II'!R23</f>
        <v>4</v>
      </c>
      <c r="I22" s="23">
        <f>'Annex-II'!U23</f>
        <v>5.89</v>
      </c>
      <c r="J22" s="23">
        <f>'Annex-II'!X23</f>
        <v>6</v>
      </c>
      <c r="K22" s="23">
        <f>'Annex-II'!AA23</f>
        <v>46.652799999999999</v>
      </c>
      <c r="L22" s="23">
        <f>'Annex-II'!AD23</f>
        <v>29.827200000000001</v>
      </c>
      <c r="M22" s="538">
        <v>0.81200000000000006</v>
      </c>
      <c r="N22" s="22">
        <f t="shared" si="1"/>
        <v>0.761656</v>
      </c>
      <c r="O22" s="22">
        <f t="shared" si="2"/>
        <v>2.9979040000000001</v>
      </c>
      <c r="P22" s="22">
        <f t="shared" si="3"/>
        <v>2.4359999999999999</v>
      </c>
      <c r="Q22" s="22">
        <f t="shared" si="4"/>
        <v>3.2480000000000002</v>
      </c>
      <c r="R22" s="22">
        <f t="shared" si="5"/>
        <v>4.78268</v>
      </c>
      <c r="S22" s="22">
        <f t="shared" si="6"/>
        <v>4.8719999999999999</v>
      </c>
      <c r="T22" s="22">
        <f t="shared" si="7"/>
        <v>37.882073600000005</v>
      </c>
      <c r="U22" s="22">
        <f t="shared" si="8"/>
        <v>24.219686400000004</v>
      </c>
      <c r="W22" s="590"/>
      <c r="X22" s="590"/>
      <c r="Y22" s="539"/>
    </row>
    <row r="23" spans="1:26" ht="18" customHeight="1">
      <c r="A23" s="27"/>
      <c r="B23" s="91">
        <f>'Annex-II'!B24</f>
        <v>3243101</v>
      </c>
      <c r="C23" s="24" t="str">
        <f>'Annex-II'!C24</f>
        <v>Petrol and Lubricant</v>
      </c>
      <c r="D23" s="22">
        <f t="shared" si="0"/>
        <v>200</v>
      </c>
      <c r="E23" s="23">
        <f>'Annex-II'!I24</f>
        <v>0.625</v>
      </c>
      <c r="F23" s="23">
        <f>'Annex-II'!L24</f>
        <v>6.9950000000000001</v>
      </c>
      <c r="G23" s="23">
        <f>'Annex-II'!O24</f>
        <v>18.97</v>
      </c>
      <c r="H23" s="23">
        <f>'Annex-II'!R24</f>
        <v>18</v>
      </c>
      <c r="I23" s="23">
        <f>'Annex-II'!U24</f>
        <v>20</v>
      </c>
      <c r="J23" s="23">
        <f>'Annex-II'!X24</f>
        <v>20</v>
      </c>
      <c r="K23" s="23">
        <f>'Annex-II'!AA24</f>
        <v>65.783699999999996</v>
      </c>
      <c r="L23" s="23">
        <f>'Annex-II'!AD24</f>
        <v>49.626300000000001</v>
      </c>
      <c r="M23" s="538">
        <v>0.72</v>
      </c>
      <c r="N23" s="22">
        <f t="shared" si="1"/>
        <v>0.44999999999999996</v>
      </c>
      <c r="O23" s="22">
        <f t="shared" si="2"/>
        <v>5.0363999999999995</v>
      </c>
      <c r="P23" s="22">
        <f t="shared" si="3"/>
        <v>13.658399999999999</v>
      </c>
      <c r="Q23" s="22">
        <f t="shared" si="4"/>
        <v>12.959999999999999</v>
      </c>
      <c r="R23" s="22">
        <f t="shared" si="5"/>
        <v>14.399999999999999</v>
      </c>
      <c r="S23" s="22">
        <f t="shared" si="6"/>
        <v>14.399999999999999</v>
      </c>
      <c r="T23" s="22">
        <f t="shared" si="7"/>
        <v>47.364263999999999</v>
      </c>
      <c r="U23" s="22">
        <f t="shared" si="8"/>
        <v>35.730936</v>
      </c>
      <c r="W23" s="590"/>
      <c r="X23" s="590"/>
      <c r="Y23" s="539"/>
    </row>
    <row r="24" spans="1:26" ht="28.5" customHeight="1">
      <c r="A24" s="27"/>
      <c r="B24" s="91">
        <f>'Annex-II'!B25</f>
        <v>3221108</v>
      </c>
      <c r="C24" s="24" t="str">
        <f>'Annex-II'!C25</f>
        <v>Insurance/Bank Charges (including Vehicles)</v>
      </c>
      <c r="D24" s="22">
        <f t="shared" si="0"/>
        <v>3</v>
      </c>
      <c r="E24" s="23">
        <f>'Annex-II'!I25</f>
        <v>8.1000000000000003E-2</v>
      </c>
      <c r="F24" s="23">
        <f>'Annex-II'!L25</f>
        <v>0.749</v>
      </c>
      <c r="G24" s="23">
        <f>'Annex-II'!O25</f>
        <v>0.01</v>
      </c>
      <c r="H24" s="23">
        <f>'Annex-II'!R25</f>
        <v>0.22</v>
      </c>
      <c r="I24" s="23">
        <f>'Annex-II'!U25</f>
        <v>0.1</v>
      </c>
      <c r="J24" s="23">
        <f>'Annex-II'!X25</f>
        <v>0.15</v>
      </c>
      <c r="K24" s="23">
        <f>'Annex-II'!AA25</f>
        <v>0.92949999999999999</v>
      </c>
      <c r="L24" s="23">
        <f>'Annex-II'!AD25</f>
        <v>0.76049999999999995</v>
      </c>
      <c r="M24" s="538">
        <v>0.90200000000000002</v>
      </c>
      <c r="N24" s="22">
        <f t="shared" si="1"/>
        <v>7.3062000000000002E-2</v>
      </c>
      <c r="O24" s="22">
        <f t="shared" si="2"/>
        <v>0.67559800000000003</v>
      </c>
      <c r="P24" s="22">
        <f t="shared" si="3"/>
        <v>9.0200000000000002E-3</v>
      </c>
      <c r="Q24" s="22">
        <f t="shared" si="4"/>
        <v>0.19844000000000001</v>
      </c>
      <c r="R24" s="22">
        <f t="shared" si="5"/>
        <v>9.0200000000000002E-2</v>
      </c>
      <c r="S24" s="22">
        <f t="shared" si="6"/>
        <v>0.1353</v>
      </c>
      <c r="T24" s="22">
        <f t="shared" si="7"/>
        <v>0.83840900000000007</v>
      </c>
      <c r="U24" s="22">
        <f t="shared" si="8"/>
        <v>0.685971</v>
      </c>
      <c r="W24" s="590"/>
      <c r="X24" s="590"/>
      <c r="Y24" s="539"/>
    </row>
    <row r="25" spans="1:26" ht="18" customHeight="1">
      <c r="A25" s="27"/>
      <c r="B25" s="91">
        <f>'Annex-II'!B26</f>
        <v>3255102</v>
      </c>
      <c r="C25" s="24" t="str">
        <f>'Annex-II'!C26</f>
        <v>Printing &amp; Binding</v>
      </c>
      <c r="D25" s="22">
        <f t="shared" si="0"/>
        <v>49.999999999999993</v>
      </c>
      <c r="E25" s="23">
        <f>'Annex-II'!I26</f>
        <v>0.19600000000000001</v>
      </c>
      <c r="F25" s="23">
        <f>'Annex-II'!L26</f>
        <v>6.9939999999999998</v>
      </c>
      <c r="G25" s="23">
        <f>'Annex-II'!O26</f>
        <v>16.989999999999998</v>
      </c>
      <c r="H25" s="23">
        <f>'Annex-II'!R26</f>
        <v>6</v>
      </c>
      <c r="I25" s="23">
        <f>'Annex-II'!U26</f>
        <v>3.98</v>
      </c>
      <c r="J25" s="23">
        <f>'Annex-II'!X26</f>
        <v>0.5</v>
      </c>
      <c r="K25" s="23">
        <f>'Annex-II'!AA26</f>
        <v>9.3574000000000019</v>
      </c>
      <c r="L25" s="23">
        <f>'Annex-II'!AD26</f>
        <v>5.9826000000000006</v>
      </c>
      <c r="M25" s="538">
        <v>0.81200000000000006</v>
      </c>
      <c r="N25" s="22">
        <f t="shared" si="1"/>
        <v>0.15915200000000002</v>
      </c>
      <c r="O25" s="22">
        <f t="shared" si="2"/>
        <v>5.6791280000000004</v>
      </c>
      <c r="P25" s="22">
        <f t="shared" si="3"/>
        <v>13.79588</v>
      </c>
      <c r="Q25" s="22">
        <f t="shared" si="4"/>
        <v>4.8719999999999999</v>
      </c>
      <c r="R25" s="22">
        <f t="shared" si="5"/>
        <v>3.2317600000000004</v>
      </c>
      <c r="S25" s="22">
        <f t="shared" si="6"/>
        <v>0.40600000000000003</v>
      </c>
      <c r="T25" s="22">
        <f t="shared" si="7"/>
        <v>7.5982088000000019</v>
      </c>
      <c r="U25" s="22">
        <f t="shared" si="8"/>
        <v>4.8578712000000008</v>
      </c>
      <c r="W25" s="590"/>
      <c r="X25" s="590"/>
      <c r="Y25" s="539"/>
    </row>
    <row r="26" spans="1:26" ht="18" customHeight="1">
      <c r="A26" s="27"/>
      <c r="B26" s="91">
        <f>'Annex-II'!B27</f>
        <v>3255104</v>
      </c>
      <c r="C26" s="24" t="str">
        <f>'Annex-II'!C27</f>
        <v>Stationery, Seals &amp; Stamps</v>
      </c>
      <c r="D26" s="22">
        <f t="shared" si="0"/>
        <v>120</v>
      </c>
      <c r="E26" s="23">
        <f>'Annex-II'!I27</f>
        <v>0.96799999999999997</v>
      </c>
      <c r="F26" s="23">
        <f>'Annex-II'!L27</f>
        <v>6.9720000000000004</v>
      </c>
      <c r="G26" s="23">
        <f>'Annex-II'!O27</f>
        <v>11.2</v>
      </c>
      <c r="H26" s="23">
        <f>'Annex-II'!R27</f>
        <v>12.79</v>
      </c>
      <c r="I26" s="23">
        <f>'Annex-II'!U27</f>
        <v>17.98</v>
      </c>
      <c r="J26" s="23">
        <f>'Annex-II'!X27</f>
        <v>20</v>
      </c>
      <c r="K26" s="23">
        <f>'Annex-II'!AA27</f>
        <v>31.556699999999999</v>
      </c>
      <c r="L26" s="23">
        <f>'Annex-II'!AD27</f>
        <v>18.533300000000001</v>
      </c>
      <c r="M26" s="538">
        <v>0.81200000000000006</v>
      </c>
      <c r="N26" s="22">
        <f t="shared" si="1"/>
        <v>0.78601600000000005</v>
      </c>
      <c r="O26" s="22">
        <f t="shared" si="2"/>
        <v>5.661264000000001</v>
      </c>
      <c r="P26" s="22">
        <f t="shared" si="3"/>
        <v>9.0944000000000003</v>
      </c>
      <c r="Q26" s="22">
        <f t="shared" si="4"/>
        <v>10.385479999999999</v>
      </c>
      <c r="R26" s="22">
        <f t="shared" si="5"/>
        <v>14.599760000000002</v>
      </c>
      <c r="S26" s="22">
        <f t="shared" si="6"/>
        <v>16.240000000000002</v>
      </c>
      <c r="T26" s="22">
        <f t="shared" si="7"/>
        <v>25.624040400000002</v>
      </c>
      <c r="U26" s="22">
        <f t="shared" si="8"/>
        <v>15.049039600000002</v>
      </c>
      <c r="W26" s="590"/>
      <c r="X26" s="590"/>
      <c r="Y26" s="539"/>
    </row>
    <row r="27" spans="1:26" ht="18" customHeight="1">
      <c r="A27" s="27"/>
      <c r="B27" s="94">
        <f>'Annex-II'!B28</f>
        <v>3211127</v>
      </c>
      <c r="C27" s="24" t="str">
        <f>'Annex-II'!C28</f>
        <v>Books &amp; Periodicals</v>
      </c>
      <c r="D27" s="22">
        <f t="shared" si="0"/>
        <v>2</v>
      </c>
      <c r="E27" s="23">
        <f>'Annex-II'!I28</f>
        <v>0</v>
      </c>
      <c r="F27" s="23">
        <f>'Annex-II'!L28</f>
        <v>0.1</v>
      </c>
      <c r="G27" s="23">
        <f>'Annex-II'!O28</f>
        <v>0.03</v>
      </c>
      <c r="H27" s="23">
        <f>'Annex-II'!R28</f>
        <v>0.05</v>
      </c>
      <c r="I27" s="23">
        <f>'Annex-II'!U28</f>
        <v>0.1</v>
      </c>
      <c r="J27" s="23">
        <f>'Annex-II'!X28</f>
        <v>0.2</v>
      </c>
      <c r="K27" s="23">
        <f>'Annex-II'!AA28</f>
        <v>0.88159999999999994</v>
      </c>
      <c r="L27" s="23">
        <f>'Annex-II'!AD28</f>
        <v>0.63839999999999997</v>
      </c>
      <c r="M27" s="538">
        <v>0.81200000000000006</v>
      </c>
      <c r="N27" s="22">
        <f t="shared" si="1"/>
        <v>0</v>
      </c>
      <c r="O27" s="22">
        <f t="shared" si="2"/>
        <v>8.1200000000000008E-2</v>
      </c>
      <c r="P27" s="22">
        <f t="shared" si="3"/>
        <v>2.436E-2</v>
      </c>
      <c r="Q27" s="22">
        <f t="shared" si="4"/>
        <v>4.0600000000000004E-2</v>
      </c>
      <c r="R27" s="22">
        <f t="shared" si="5"/>
        <v>8.1200000000000008E-2</v>
      </c>
      <c r="S27" s="22">
        <f t="shared" si="6"/>
        <v>0.16240000000000002</v>
      </c>
      <c r="T27" s="22">
        <f t="shared" si="7"/>
        <v>0.71585920000000003</v>
      </c>
      <c r="U27" s="22">
        <f t="shared" si="8"/>
        <v>0.51838079999999997</v>
      </c>
      <c r="W27" s="590"/>
      <c r="X27" s="590"/>
      <c r="Y27" s="539"/>
    </row>
    <row r="28" spans="1:26" ht="18" customHeight="1">
      <c r="A28" s="27"/>
      <c r="B28" s="99">
        <f>'Annex-II'!B29</f>
        <v>0</v>
      </c>
      <c r="C28" s="24" t="str">
        <f>'Annex-II'!C29</f>
        <v>Training Expenditure</v>
      </c>
      <c r="D28" s="22"/>
      <c r="E28" s="23"/>
      <c r="F28" s="23"/>
      <c r="G28" s="23"/>
      <c r="H28" s="23"/>
      <c r="I28" s="23"/>
      <c r="J28" s="23"/>
      <c r="K28" s="23"/>
      <c r="L28" s="23"/>
      <c r="M28" s="538"/>
      <c r="N28" s="22"/>
      <c r="O28" s="22"/>
      <c r="P28" s="22"/>
      <c r="Q28" s="22"/>
      <c r="R28" s="22"/>
      <c r="S28" s="22"/>
      <c r="T28" s="22"/>
      <c r="U28" s="22"/>
      <c r="W28" s="590"/>
      <c r="X28" s="590"/>
      <c r="Y28" s="539"/>
    </row>
    <row r="29" spans="1:26" ht="45.75" customHeight="1">
      <c r="A29" s="27"/>
      <c r="B29" s="100"/>
      <c r="C29" s="24" t="str">
        <f>'Annex-II'!C30</f>
        <v>Overseas Training Course(08 Trainees) &amp; Overseas Study Tour (12 Participants)</v>
      </c>
      <c r="D29" s="22">
        <f t="shared" ref="D29:D41" si="9">SUM(E29:L29)</f>
        <v>238.54</v>
      </c>
      <c r="E29" s="23">
        <f>'Annex-II'!I30</f>
        <v>0</v>
      </c>
      <c r="F29" s="23">
        <f>'Annex-II'!L30</f>
        <v>0</v>
      </c>
      <c r="G29" s="23">
        <f>'Annex-II'!O30</f>
        <v>0</v>
      </c>
      <c r="H29" s="23">
        <f>'Annex-II'!R30</f>
        <v>0</v>
      </c>
      <c r="I29" s="23">
        <f>'Annex-II'!U30</f>
        <v>0</v>
      </c>
      <c r="J29" s="23">
        <f>'Annex-II'!X30</f>
        <v>0</v>
      </c>
      <c r="K29" s="23">
        <f>'Annex-II'!AA30</f>
        <v>138.35319999999999</v>
      </c>
      <c r="L29" s="23">
        <f>'Annex-II'!AD30</f>
        <v>100.18680000000001</v>
      </c>
      <c r="M29" s="538">
        <v>0.90200000000000002</v>
      </c>
      <c r="N29" s="22">
        <f t="shared" ref="N29:N41" si="10">M29*E29</f>
        <v>0</v>
      </c>
      <c r="O29" s="22">
        <f t="shared" ref="O29:O41" si="11">M29*F29</f>
        <v>0</v>
      </c>
      <c r="P29" s="22">
        <f t="shared" ref="P29:P41" si="12">M29*G29</f>
        <v>0</v>
      </c>
      <c r="Q29" s="22">
        <f t="shared" ref="Q29:Q41" si="13">M29*H29</f>
        <v>0</v>
      </c>
      <c r="R29" s="22">
        <f t="shared" ref="R29:R41" si="14">M29*I29</f>
        <v>0</v>
      </c>
      <c r="S29" s="22">
        <f t="shared" ref="S29:S41" si="15">M29*J29</f>
        <v>0</v>
      </c>
      <c r="T29" s="22">
        <f t="shared" ref="T29:T41" si="16">M29*K29</f>
        <v>124.79458639999999</v>
      </c>
      <c r="U29" s="22">
        <f t="shared" ref="U29:U41" si="17">M29*L29</f>
        <v>90.368493600000008</v>
      </c>
      <c r="W29" s="590"/>
      <c r="X29" s="590"/>
      <c r="Y29" s="539"/>
    </row>
    <row r="30" spans="1:26" ht="48" customHeight="1">
      <c r="A30" s="27"/>
      <c r="B30" s="100"/>
      <c r="C30" s="24" t="str">
        <f>'Annex-II'!C31</f>
        <v>Local Training for (a) O&amp;M manual (For BWDB Officials) and (b) Water Management Organization (WMO)</v>
      </c>
      <c r="D30" s="22">
        <f t="shared" si="9"/>
        <v>536.58000000000004</v>
      </c>
      <c r="E30" s="23">
        <f>'Annex-II'!I31</f>
        <v>0</v>
      </c>
      <c r="F30" s="23">
        <f>'Annex-II'!L31</f>
        <v>9.2200000000000006</v>
      </c>
      <c r="G30" s="23">
        <f>'Annex-II'!O31</f>
        <v>29.86</v>
      </c>
      <c r="H30" s="23">
        <f>'Annex-II'!R31</f>
        <v>86.55</v>
      </c>
      <c r="I30" s="23">
        <f>'Annex-II'!U31</f>
        <v>175.87</v>
      </c>
      <c r="J30" s="23">
        <f>'Annex-II'!X31</f>
        <v>196.17</v>
      </c>
      <c r="K30" s="23">
        <f>'Annex-II'!AA31</f>
        <v>23.34600000000005</v>
      </c>
      <c r="L30" s="23">
        <f>'Annex-II'!AD31</f>
        <v>15.56400000000003</v>
      </c>
      <c r="M30" s="538">
        <v>0.90200000000000002</v>
      </c>
      <c r="N30" s="22">
        <f t="shared" si="10"/>
        <v>0</v>
      </c>
      <c r="O30" s="22">
        <f t="shared" si="11"/>
        <v>8.3164400000000001</v>
      </c>
      <c r="P30" s="22">
        <f t="shared" si="12"/>
        <v>26.933720000000001</v>
      </c>
      <c r="Q30" s="22">
        <f t="shared" si="13"/>
        <v>78.068100000000001</v>
      </c>
      <c r="R30" s="22">
        <f t="shared" si="14"/>
        <v>158.63474000000002</v>
      </c>
      <c r="S30" s="22">
        <f t="shared" si="15"/>
        <v>176.94533999999999</v>
      </c>
      <c r="T30" s="22">
        <f t="shared" si="16"/>
        <v>21.058092000000045</v>
      </c>
      <c r="U30" s="22">
        <f t="shared" si="17"/>
        <v>14.038728000000027</v>
      </c>
      <c r="W30" s="590">
        <f>SUM(E30:L30)</f>
        <v>536.58000000000004</v>
      </c>
      <c r="X30" s="590">
        <f>SUM(N30:U30)</f>
        <v>483.99516000000011</v>
      </c>
      <c r="Y30" s="539">
        <f>M30</f>
        <v>0.90200000000000002</v>
      </c>
      <c r="Z30" s="588">
        <f>W30*Y30</f>
        <v>483.99516000000006</v>
      </c>
    </row>
    <row r="31" spans="1:26" ht="105" customHeight="1">
      <c r="A31" s="27"/>
      <c r="B31" s="101"/>
      <c r="C31" s="24" t="str">
        <f>'Annex-II'!C32</f>
        <v>Agriculture Promotion Support Sub-project (APSS) : Field Programme, Farmer Training Programme, Field Staff Empowerment Programme, Farm Machinery &amp; Facility Support and Technology Development Programme etc.</v>
      </c>
      <c r="D31" s="22">
        <f t="shared" si="9"/>
        <v>3139.8000000000006</v>
      </c>
      <c r="E31" s="23">
        <f>'Annex-II'!I32</f>
        <v>0</v>
      </c>
      <c r="F31" s="23">
        <f>'Annex-II'!L32</f>
        <v>0</v>
      </c>
      <c r="G31" s="23">
        <f>'Annex-II'!O32</f>
        <v>199.49</v>
      </c>
      <c r="H31" s="23">
        <f>'Annex-II'!R32</f>
        <v>524.89</v>
      </c>
      <c r="I31" s="23">
        <f>'Annex-II'!U32</f>
        <v>622.25</v>
      </c>
      <c r="J31" s="23">
        <f>'Annex-II'!X32</f>
        <v>677.14</v>
      </c>
      <c r="K31" s="23">
        <f>'Annex-II'!AA32</f>
        <v>703.09890000000019</v>
      </c>
      <c r="L31" s="23">
        <f>'Annex-II'!AD32</f>
        <v>412.93110000000007</v>
      </c>
      <c r="M31" s="538">
        <v>0.90200000000000002</v>
      </c>
      <c r="N31" s="22">
        <f t="shared" si="10"/>
        <v>0</v>
      </c>
      <c r="O31" s="22">
        <f t="shared" si="11"/>
        <v>0</v>
      </c>
      <c r="P31" s="22">
        <f t="shared" si="12"/>
        <v>179.93998000000002</v>
      </c>
      <c r="Q31" s="22">
        <f t="shared" si="13"/>
        <v>473.45078000000001</v>
      </c>
      <c r="R31" s="22">
        <f t="shared" si="14"/>
        <v>561.26949999999999</v>
      </c>
      <c r="S31" s="22">
        <f t="shared" si="15"/>
        <v>610.78027999999995</v>
      </c>
      <c r="T31" s="22">
        <f t="shared" si="16"/>
        <v>634.19520780000016</v>
      </c>
      <c r="U31" s="22">
        <f t="shared" si="17"/>
        <v>372.46385220000008</v>
      </c>
      <c r="W31" s="590">
        <f>SUM(E31:L31)</f>
        <v>3139.8000000000006</v>
      </c>
      <c r="X31" s="590">
        <f>SUM(N31:U31)</f>
        <v>2832.0996</v>
      </c>
      <c r="Y31" s="539">
        <f>M31</f>
        <v>0.90200000000000002</v>
      </c>
      <c r="Z31" s="588">
        <f>W31*Y31</f>
        <v>2832.0996000000005</v>
      </c>
    </row>
    <row r="32" spans="1:26" ht="120" customHeight="1">
      <c r="A32" s="28"/>
      <c r="B32" s="101"/>
      <c r="C32" s="92" t="str">
        <f>'Annex-II'!C33</f>
        <v>Small Scale Income Generation Sub-project (SIGS):  Floating Bed Vegetable Culture Scheme, Small-scale Vegetable Production Support Scheme, Fruit Production Support Scheme, Micro Poultry Raising Scheme and Small-scale Mushroom Culture Scheme etc.</v>
      </c>
      <c r="D32" s="22">
        <f t="shared" si="9"/>
        <v>1321.6799999999998</v>
      </c>
      <c r="E32" s="23">
        <f>'Annex-II'!I33</f>
        <v>0</v>
      </c>
      <c r="F32" s="23">
        <f>'Annex-II'!L33</f>
        <v>0</v>
      </c>
      <c r="G32" s="23">
        <f>'Annex-II'!O33</f>
        <v>119.7</v>
      </c>
      <c r="H32" s="23">
        <f>'Annex-II'!R33</f>
        <v>224.29</v>
      </c>
      <c r="I32" s="23">
        <f>'Annex-II'!U33</f>
        <v>234.21</v>
      </c>
      <c r="J32" s="23">
        <f>'Annex-II'!X33</f>
        <v>246.66</v>
      </c>
      <c r="K32" s="23">
        <f>'Annex-II'!AA33</f>
        <v>273.25099999999998</v>
      </c>
      <c r="L32" s="23">
        <f>'Annex-II'!AD33</f>
        <v>223.56899999999999</v>
      </c>
      <c r="M32" s="538">
        <v>0.90200000000000002</v>
      </c>
      <c r="N32" s="22">
        <f t="shared" si="10"/>
        <v>0</v>
      </c>
      <c r="O32" s="22">
        <f t="shared" si="11"/>
        <v>0</v>
      </c>
      <c r="P32" s="22">
        <f t="shared" si="12"/>
        <v>107.96940000000001</v>
      </c>
      <c r="Q32" s="22">
        <f t="shared" si="13"/>
        <v>202.30958000000001</v>
      </c>
      <c r="R32" s="22">
        <f t="shared" si="14"/>
        <v>211.25742000000002</v>
      </c>
      <c r="S32" s="22">
        <f t="shared" si="15"/>
        <v>222.48732000000001</v>
      </c>
      <c r="T32" s="22">
        <f t="shared" si="16"/>
        <v>246.47240199999999</v>
      </c>
      <c r="U32" s="22">
        <f t="shared" si="17"/>
        <v>201.65923799999999</v>
      </c>
      <c r="W32" s="590">
        <f>SUM(E32:L32)</f>
        <v>1321.6799999999998</v>
      </c>
      <c r="X32" s="590">
        <f>SUM(N32:U32)</f>
        <v>1192.1553600000002</v>
      </c>
      <c r="Y32" s="539">
        <f>M32</f>
        <v>0.90200000000000002</v>
      </c>
      <c r="Z32" s="588">
        <f>W32*Y32</f>
        <v>1192.15536</v>
      </c>
    </row>
    <row r="33" spans="1:26" ht="19.5" customHeight="1">
      <c r="A33" s="27"/>
      <c r="B33" s="98">
        <f>'Annex-II'!B34</f>
        <v>3211109</v>
      </c>
      <c r="C33" s="24" t="str">
        <f>'Annex-II'!C34</f>
        <v>Casual labour/Job worker</v>
      </c>
      <c r="D33" s="22">
        <f t="shared" si="9"/>
        <v>22</v>
      </c>
      <c r="E33" s="23">
        <f>'Annex-II'!I34</f>
        <v>0.25</v>
      </c>
      <c r="F33" s="23">
        <f>'Annex-II'!L34</f>
        <v>2.11</v>
      </c>
      <c r="G33" s="23">
        <f>'Annex-II'!O34</f>
        <v>2.35</v>
      </c>
      <c r="H33" s="23">
        <f>'Annex-II'!R34</f>
        <v>2</v>
      </c>
      <c r="I33" s="23">
        <f>'Annex-II'!U34</f>
        <v>4.25</v>
      </c>
      <c r="J33" s="23">
        <f>'Annex-II'!X34</f>
        <v>3.5</v>
      </c>
      <c r="K33" s="23">
        <f>'Annex-II'!AA34</f>
        <v>4.6747999999999994</v>
      </c>
      <c r="L33" s="23">
        <f>'Annex-II'!AD34</f>
        <v>2.8652000000000002</v>
      </c>
      <c r="M33" s="538">
        <v>0.90200000000000002</v>
      </c>
      <c r="N33" s="22">
        <f t="shared" si="10"/>
        <v>0.22550000000000001</v>
      </c>
      <c r="O33" s="22">
        <f t="shared" si="11"/>
        <v>1.9032199999999999</v>
      </c>
      <c r="P33" s="22">
        <f t="shared" si="12"/>
        <v>2.1196999999999999</v>
      </c>
      <c r="Q33" s="22">
        <f t="shared" si="13"/>
        <v>1.804</v>
      </c>
      <c r="R33" s="22">
        <f t="shared" si="14"/>
        <v>3.8334999999999999</v>
      </c>
      <c r="S33" s="22">
        <f t="shared" si="15"/>
        <v>3.157</v>
      </c>
      <c r="T33" s="22">
        <f t="shared" si="16"/>
        <v>4.2166695999999995</v>
      </c>
      <c r="U33" s="22">
        <f t="shared" si="17"/>
        <v>2.5844104000000003</v>
      </c>
      <c r="W33" s="590"/>
      <c r="X33" s="590"/>
      <c r="Y33" s="539"/>
    </row>
    <row r="34" spans="1:26" ht="15.75" customHeight="1">
      <c r="A34" s="27"/>
      <c r="B34" s="98">
        <f>'Annex-II'!B35</f>
        <v>3256103</v>
      </c>
      <c r="C34" s="24" t="str">
        <f>'Annex-II'!C35</f>
        <v>Consumable Stores</v>
      </c>
      <c r="D34" s="22">
        <f t="shared" si="9"/>
        <v>15</v>
      </c>
      <c r="E34" s="23">
        <f>'Annex-II'!I35</f>
        <v>0</v>
      </c>
      <c r="F34" s="23">
        <f>'Annex-II'!L35</f>
        <v>0.99</v>
      </c>
      <c r="G34" s="23">
        <f>'Annex-II'!O35</f>
        <v>0.75</v>
      </c>
      <c r="H34" s="23">
        <f>'Annex-II'!R35</f>
        <v>1</v>
      </c>
      <c r="I34" s="23">
        <f>'Annex-II'!U35</f>
        <v>1</v>
      </c>
      <c r="J34" s="23">
        <f>'Annex-II'!X35</f>
        <v>3</v>
      </c>
      <c r="K34" s="23">
        <f>'Annex-II'!AA35</f>
        <v>4.7907999999999999</v>
      </c>
      <c r="L34" s="23">
        <f>'Annex-II'!AD35</f>
        <v>3.4691999999999998</v>
      </c>
      <c r="M34" s="538">
        <v>0.81200000000000006</v>
      </c>
      <c r="N34" s="22">
        <f t="shared" si="10"/>
        <v>0</v>
      </c>
      <c r="O34" s="22">
        <f t="shared" si="11"/>
        <v>0.80388000000000004</v>
      </c>
      <c r="P34" s="22">
        <f t="shared" si="12"/>
        <v>0.60899999999999999</v>
      </c>
      <c r="Q34" s="22">
        <f t="shared" si="13"/>
        <v>0.81200000000000006</v>
      </c>
      <c r="R34" s="22">
        <f t="shared" si="14"/>
        <v>0.81200000000000006</v>
      </c>
      <c r="S34" s="22">
        <f t="shared" si="15"/>
        <v>2.4359999999999999</v>
      </c>
      <c r="T34" s="22">
        <f t="shared" si="16"/>
        <v>3.8901296000000003</v>
      </c>
      <c r="U34" s="22">
        <f t="shared" si="17"/>
        <v>2.8169903999999999</v>
      </c>
      <c r="W34" s="590">
        <f>SUM(E34:L34)</f>
        <v>15</v>
      </c>
      <c r="X34" s="590">
        <f>SUM(N34:U34)</f>
        <v>12.18</v>
      </c>
      <c r="Y34" s="539">
        <f>M34</f>
        <v>0.81200000000000006</v>
      </c>
      <c r="Z34" s="588">
        <f>W34*Y34</f>
        <v>12.180000000000001</v>
      </c>
    </row>
    <row r="35" spans="1:26" ht="27.75" customHeight="1">
      <c r="A35" s="27"/>
      <c r="B35" s="90">
        <f>'Annex-II'!B36</f>
        <v>3257101</v>
      </c>
      <c r="C35" s="24" t="str">
        <f>'Annex-II'!C36</f>
        <v>Consultancy  : International - 71 M/M (Detail in Appendix-E of original approved DPP)
                      National - 324 M/M (Detail in Appendix-E of original approved DPP)</v>
      </c>
      <c r="D35" s="22">
        <f t="shared" si="9"/>
        <v>7901.4000000000005</v>
      </c>
      <c r="E35" s="23">
        <f>'Annex-II'!I36</f>
        <v>849.67499999999995</v>
      </c>
      <c r="F35" s="23">
        <f>'Annex-II'!L36</f>
        <v>1819.425</v>
      </c>
      <c r="G35" s="23">
        <f>'Annex-II'!O36</f>
        <v>1123.1500000000001</v>
      </c>
      <c r="H35" s="23">
        <f>'Annex-II'!R36</f>
        <v>689.33</v>
      </c>
      <c r="I35" s="23">
        <f>'Annex-II'!U36</f>
        <v>686.43</v>
      </c>
      <c r="J35" s="23">
        <f>'Annex-II'!X36</f>
        <v>500</v>
      </c>
      <c r="K35" s="23">
        <f>'Annex-II'!AA36</f>
        <v>1362.3679</v>
      </c>
      <c r="L35" s="23">
        <f>'Annex-II'!AD36</f>
        <v>871.0220999999998</v>
      </c>
      <c r="M35" s="538">
        <v>0.90200000000000002</v>
      </c>
      <c r="N35" s="22">
        <f t="shared" si="10"/>
        <v>766.40684999999996</v>
      </c>
      <c r="O35" s="22">
        <f t="shared" si="11"/>
        <v>1641.1213499999999</v>
      </c>
      <c r="P35" s="22">
        <f t="shared" si="12"/>
        <v>1013.0813000000001</v>
      </c>
      <c r="Q35" s="22">
        <f t="shared" si="13"/>
        <v>621.77566000000002</v>
      </c>
      <c r="R35" s="22">
        <f t="shared" si="14"/>
        <v>619.15985999999998</v>
      </c>
      <c r="S35" s="22">
        <f t="shared" si="15"/>
        <v>451</v>
      </c>
      <c r="T35" s="22">
        <f t="shared" si="16"/>
        <v>1228.8558458</v>
      </c>
      <c r="U35" s="22">
        <f t="shared" si="17"/>
        <v>785.66193419999979</v>
      </c>
      <c r="W35" s="590">
        <f>SUM(E35:L35)</f>
        <v>7901.4000000000005</v>
      </c>
      <c r="X35" s="590">
        <f>SUM(N35:U35)</f>
        <v>7127.0627999999988</v>
      </c>
      <c r="Y35" s="539">
        <f>M35</f>
        <v>0.90200000000000002</v>
      </c>
      <c r="Z35" s="588">
        <f>W35*Y35</f>
        <v>7127.0628000000006</v>
      </c>
    </row>
    <row r="36" spans="1:26" ht="45.75" customHeight="1">
      <c r="A36" s="27"/>
      <c r="B36" s="116">
        <f>'Annex-II'!B37</f>
        <v>3111332</v>
      </c>
      <c r="C36" s="24" t="str">
        <f>'Annex-II'!C37</f>
        <v>a) Honorarium/Fees/Remuneration (for different Committee)</v>
      </c>
      <c r="D36" s="22">
        <f t="shared" si="9"/>
        <v>30</v>
      </c>
      <c r="E36" s="23">
        <f>'Annex-II'!I37</f>
        <v>0.4</v>
      </c>
      <c r="F36" s="23">
        <f>'Annex-II'!L37</f>
        <v>1.33</v>
      </c>
      <c r="G36" s="23">
        <f>'Annex-II'!O37</f>
        <v>1.5</v>
      </c>
      <c r="H36" s="23">
        <f>'Annex-II'!R37</f>
        <v>4.5</v>
      </c>
      <c r="I36" s="23">
        <f>'Annex-II'!U37</f>
        <v>5</v>
      </c>
      <c r="J36" s="23">
        <f>'Annex-II'!X37</f>
        <v>5</v>
      </c>
      <c r="K36" s="23">
        <f>'Annex-II'!AA37</f>
        <v>7.1165999999999991</v>
      </c>
      <c r="L36" s="23">
        <f>'Annex-II'!AD37</f>
        <v>5.1534000000000004</v>
      </c>
      <c r="M36" s="538">
        <v>0.90200000000000002</v>
      </c>
      <c r="N36" s="22">
        <f t="shared" si="10"/>
        <v>0.36080000000000001</v>
      </c>
      <c r="O36" s="22">
        <f t="shared" si="11"/>
        <v>1.1996600000000002</v>
      </c>
      <c r="P36" s="22">
        <f t="shared" si="12"/>
        <v>1.353</v>
      </c>
      <c r="Q36" s="22">
        <f t="shared" si="13"/>
        <v>4.0590000000000002</v>
      </c>
      <c r="R36" s="22">
        <f t="shared" si="14"/>
        <v>4.51</v>
      </c>
      <c r="S36" s="22">
        <f t="shared" si="15"/>
        <v>4.51</v>
      </c>
      <c r="T36" s="22">
        <f t="shared" si="16"/>
        <v>6.4191731999999995</v>
      </c>
      <c r="U36" s="22">
        <f t="shared" si="17"/>
        <v>4.6483668000000007</v>
      </c>
      <c r="W36" s="590">
        <f>SUM(E36:L36)</f>
        <v>30</v>
      </c>
      <c r="X36" s="590">
        <f>SUM(N36:U36)</f>
        <v>27.06</v>
      </c>
      <c r="Y36" s="539">
        <f>M36</f>
        <v>0.90200000000000002</v>
      </c>
      <c r="Z36" s="588">
        <f>W36*Y36</f>
        <v>27.060000000000002</v>
      </c>
    </row>
    <row r="37" spans="1:26" ht="21" customHeight="1">
      <c r="A37" s="27"/>
      <c r="B37" s="117"/>
      <c r="C37" s="24" t="str">
        <f>'Annex-II'!C38</f>
        <v>b) Interim Evaluation</v>
      </c>
      <c r="D37" s="22">
        <f t="shared" si="9"/>
        <v>10.000000000000002</v>
      </c>
      <c r="E37" s="23">
        <f>'Annex-II'!I38</f>
        <v>0</v>
      </c>
      <c r="F37" s="23">
        <f>'Annex-II'!L38</f>
        <v>0</v>
      </c>
      <c r="G37" s="23">
        <f>'Annex-II'!O38</f>
        <v>0.27</v>
      </c>
      <c r="H37" s="23">
        <f>'Annex-II'!R38</f>
        <v>0.25</v>
      </c>
      <c r="I37" s="23">
        <f>'Annex-II'!U38</f>
        <v>0.77</v>
      </c>
      <c r="J37" s="23">
        <f>'Annex-II'!X38</f>
        <v>1</v>
      </c>
      <c r="K37" s="23">
        <f>'Annex-II'!AA38</f>
        <v>4.3176000000000014</v>
      </c>
      <c r="L37" s="23">
        <f>'Annex-II'!AD38</f>
        <v>3.3923999999999999</v>
      </c>
      <c r="M37" s="538">
        <v>0.90200000000000002</v>
      </c>
      <c r="N37" s="22">
        <f t="shared" si="10"/>
        <v>0</v>
      </c>
      <c r="O37" s="22">
        <f t="shared" si="11"/>
        <v>0</v>
      </c>
      <c r="P37" s="22">
        <f t="shared" si="12"/>
        <v>0.24354000000000003</v>
      </c>
      <c r="Q37" s="22">
        <f t="shared" si="13"/>
        <v>0.22550000000000001</v>
      </c>
      <c r="R37" s="22">
        <f t="shared" si="14"/>
        <v>0.69454000000000005</v>
      </c>
      <c r="S37" s="22">
        <f t="shared" si="15"/>
        <v>0.90200000000000002</v>
      </c>
      <c r="T37" s="22">
        <f t="shared" si="16"/>
        <v>3.8944752000000014</v>
      </c>
      <c r="U37" s="22">
        <f t="shared" si="17"/>
        <v>3.0599447999999998</v>
      </c>
      <c r="W37" s="590"/>
      <c r="X37" s="590"/>
      <c r="Y37" s="539"/>
    </row>
    <row r="38" spans="1:26" ht="19.5" customHeight="1">
      <c r="A38" s="27"/>
      <c r="B38" s="98"/>
      <c r="C38" s="24" t="str">
        <f>'Annex-II'!C39</f>
        <v>c) Progress Monitoring</v>
      </c>
      <c r="D38" s="22">
        <f t="shared" si="9"/>
        <v>10</v>
      </c>
      <c r="E38" s="23">
        <f>'Annex-II'!I39</f>
        <v>0</v>
      </c>
      <c r="F38" s="23">
        <f>'Annex-II'!L39</f>
        <v>0</v>
      </c>
      <c r="G38" s="23">
        <f>'Annex-II'!O39</f>
        <v>0.3</v>
      </c>
      <c r="H38" s="23">
        <f>'Annex-II'!R39</f>
        <v>0.25</v>
      </c>
      <c r="I38" s="23">
        <f>'Annex-II'!U39</f>
        <v>0.75</v>
      </c>
      <c r="J38" s="23">
        <f>'Annex-II'!X39</f>
        <v>1</v>
      </c>
      <c r="K38" s="23">
        <f>'Annex-II'!AA39</f>
        <v>4.774</v>
      </c>
      <c r="L38" s="23">
        <f>'Annex-II'!AD39</f>
        <v>2.9260000000000002</v>
      </c>
      <c r="M38" s="538">
        <v>0.90200000000000002</v>
      </c>
      <c r="N38" s="22">
        <f t="shared" si="10"/>
        <v>0</v>
      </c>
      <c r="O38" s="22">
        <f t="shared" si="11"/>
        <v>0</v>
      </c>
      <c r="P38" s="22">
        <f t="shared" si="12"/>
        <v>0.27060000000000001</v>
      </c>
      <c r="Q38" s="22">
        <f t="shared" si="13"/>
        <v>0.22550000000000001</v>
      </c>
      <c r="R38" s="22">
        <f t="shared" si="14"/>
        <v>0.67649999999999999</v>
      </c>
      <c r="S38" s="22">
        <f t="shared" si="15"/>
        <v>0.90200000000000002</v>
      </c>
      <c r="T38" s="22">
        <f t="shared" si="16"/>
        <v>4.3061480000000003</v>
      </c>
      <c r="U38" s="22">
        <f t="shared" si="17"/>
        <v>2.6392520000000004</v>
      </c>
      <c r="W38" s="590"/>
      <c r="X38" s="590"/>
      <c r="Y38" s="539"/>
    </row>
    <row r="39" spans="1:26" ht="19.5" customHeight="1">
      <c r="A39" s="27"/>
      <c r="B39" s="362">
        <v>4884</v>
      </c>
      <c r="C39" s="24" t="str">
        <f>'Annex-II'!C40</f>
        <v>Survey</v>
      </c>
      <c r="D39" s="22">
        <f t="shared" si="9"/>
        <v>200</v>
      </c>
      <c r="E39" s="23">
        <f>'Annex-II'!I40</f>
        <v>0</v>
      </c>
      <c r="F39" s="23">
        <f>'Annex-II'!L40</f>
        <v>7.62</v>
      </c>
      <c r="G39" s="23">
        <f>'Annex-II'!O40</f>
        <v>17.47</v>
      </c>
      <c r="H39" s="23">
        <f>'Annex-II'!R40</f>
        <v>30</v>
      </c>
      <c r="I39" s="23">
        <f>'Annex-II'!U40</f>
        <v>29.93</v>
      </c>
      <c r="J39" s="23">
        <f>'Annex-II'!X40</f>
        <v>50</v>
      </c>
      <c r="K39" s="23">
        <f>'Annex-II'!AA40</f>
        <v>37.038599999999988</v>
      </c>
      <c r="L39" s="23">
        <f>'Annex-II'!AD40</f>
        <v>27.941399999999991</v>
      </c>
      <c r="M39" s="538">
        <v>0.90200000000000002</v>
      </c>
      <c r="N39" s="22">
        <f t="shared" si="10"/>
        <v>0</v>
      </c>
      <c r="O39" s="22">
        <f t="shared" si="11"/>
        <v>6.87324</v>
      </c>
      <c r="P39" s="22">
        <f t="shared" si="12"/>
        <v>15.75794</v>
      </c>
      <c r="Q39" s="22">
        <f t="shared" si="13"/>
        <v>27.060000000000002</v>
      </c>
      <c r="R39" s="22">
        <f t="shared" si="14"/>
        <v>26.996860000000002</v>
      </c>
      <c r="S39" s="22">
        <f t="shared" si="15"/>
        <v>45.1</v>
      </c>
      <c r="T39" s="22">
        <f t="shared" si="16"/>
        <v>33.408817199999987</v>
      </c>
      <c r="U39" s="22">
        <f t="shared" si="17"/>
        <v>25.203142799999991</v>
      </c>
      <c r="W39" s="590"/>
      <c r="X39" s="590"/>
      <c r="Y39" s="539"/>
    </row>
    <row r="40" spans="1:26" ht="17.25" customHeight="1">
      <c r="A40" s="27"/>
      <c r="B40" s="90">
        <f>'Annex-II'!B41</f>
        <v>3255101</v>
      </c>
      <c r="C40" s="24" t="str">
        <f>'Annex-II'!C41</f>
        <v>Computer Consumables</v>
      </c>
      <c r="D40" s="22">
        <f t="shared" si="9"/>
        <v>60</v>
      </c>
      <c r="E40" s="23">
        <f>'Annex-II'!I41</f>
        <v>0.49099999999999999</v>
      </c>
      <c r="F40" s="23">
        <f>'Annex-II'!L41</f>
        <v>1.4990000000000001</v>
      </c>
      <c r="G40" s="23">
        <f>'Annex-II'!O41</f>
        <v>4.5</v>
      </c>
      <c r="H40" s="23">
        <f>'Annex-II'!R41</f>
        <v>6.48</v>
      </c>
      <c r="I40" s="23">
        <f>'Annex-II'!U41</f>
        <v>7.5</v>
      </c>
      <c r="J40" s="23">
        <f>'Annex-II'!X41</f>
        <v>10</v>
      </c>
      <c r="K40" s="23">
        <f>'Annex-II'!AA41</f>
        <v>16.241499999999998</v>
      </c>
      <c r="L40" s="23">
        <f>'Annex-II'!AD41</f>
        <v>13.288500000000001</v>
      </c>
      <c r="M40" s="538">
        <v>0.90200000000000002</v>
      </c>
      <c r="N40" s="22">
        <f t="shared" si="10"/>
        <v>0.442882</v>
      </c>
      <c r="O40" s="22">
        <f t="shared" si="11"/>
        <v>1.3520980000000002</v>
      </c>
      <c r="P40" s="22">
        <f t="shared" si="12"/>
        <v>4.0590000000000002</v>
      </c>
      <c r="Q40" s="22">
        <f t="shared" si="13"/>
        <v>5.8449600000000004</v>
      </c>
      <c r="R40" s="22">
        <f t="shared" si="14"/>
        <v>6.7650000000000006</v>
      </c>
      <c r="S40" s="22">
        <f t="shared" si="15"/>
        <v>9.02</v>
      </c>
      <c r="T40" s="22">
        <f t="shared" si="16"/>
        <v>14.649832999999999</v>
      </c>
      <c r="U40" s="22">
        <f t="shared" si="17"/>
        <v>11.986227000000001</v>
      </c>
      <c r="W40" s="590">
        <f>SUM(E40:L40)</f>
        <v>60</v>
      </c>
      <c r="X40" s="590">
        <f>SUM(N40:U40)</f>
        <v>54.12</v>
      </c>
      <c r="Y40" s="539">
        <f>M40</f>
        <v>0.90200000000000002</v>
      </c>
      <c r="Z40" s="588">
        <f>W40*Y40</f>
        <v>54.120000000000005</v>
      </c>
    </row>
    <row r="41" spans="1:26" ht="27" customHeight="1">
      <c r="A41" s="27"/>
      <c r="B41" s="90">
        <f>'Annex-II'!B42</f>
        <v>3256101</v>
      </c>
      <c r="C41" s="24" t="str">
        <f>'Annex-II'!C42</f>
        <v>Other Expenses: Salary of Manpower through Outsourcing</v>
      </c>
      <c r="D41" s="22">
        <f t="shared" si="9"/>
        <v>1800</v>
      </c>
      <c r="E41" s="23">
        <f>'Annex-II'!I42</f>
        <v>0</v>
      </c>
      <c r="F41" s="23">
        <f>'Annex-II'!L42</f>
        <v>84.32</v>
      </c>
      <c r="G41" s="23">
        <f>'Annex-II'!O42</f>
        <v>227.97</v>
      </c>
      <c r="H41" s="23">
        <f>'Annex-II'!R42</f>
        <v>263.24</v>
      </c>
      <c r="I41" s="23">
        <f>'Annex-II'!U42</f>
        <v>299.93</v>
      </c>
      <c r="J41" s="23">
        <f>'Annex-II'!X42</f>
        <v>300</v>
      </c>
      <c r="K41" s="23">
        <f>'Annex-II'!AA42</f>
        <v>355.98779999999988</v>
      </c>
      <c r="L41" s="23">
        <f>'Annex-II'!AD42</f>
        <v>268.55220000000003</v>
      </c>
      <c r="M41" s="538">
        <v>0.86</v>
      </c>
      <c r="N41" s="22">
        <f t="shared" si="10"/>
        <v>0</v>
      </c>
      <c r="O41" s="22">
        <f t="shared" si="11"/>
        <v>72.515199999999993</v>
      </c>
      <c r="P41" s="22">
        <f t="shared" si="12"/>
        <v>196.05420000000001</v>
      </c>
      <c r="Q41" s="22">
        <f t="shared" si="13"/>
        <v>226.38640000000001</v>
      </c>
      <c r="R41" s="22">
        <f t="shared" si="14"/>
        <v>257.93979999999999</v>
      </c>
      <c r="S41" s="22">
        <f t="shared" si="15"/>
        <v>258</v>
      </c>
      <c r="T41" s="22">
        <f t="shared" si="16"/>
        <v>306.14950799999991</v>
      </c>
      <c r="U41" s="22">
        <f t="shared" si="17"/>
        <v>230.95489200000003</v>
      </c>
      <c r="W41" s="590"/>
      <c r="X41" s="590">
        <f>SUM(N41:U41)</f>
        <v>1547.9999999999998</v>
      </c>
      <c r="Y41" s="539">
        <f>M41</f>
        <v>0.86</v>
      </c>
    </row>
    <row r="42" spans="1:26" ht="17.25" customHeight="1">
      <c r="A42" s="27"/>
      <c r="B42" s="97">
        <f>'Annex-II'!B43</f>
        <v>0</v>
      </c>
      <c r="C42" s="33" t="str">
        <f>'Annex-II'!C43</f>
        <v xml:space="preserve">Repair, Maintenance &amp; Rehabilitation: </v>
      </c>
      <c r="D42" s="22"/>
      <c r="E42" s="23"/>
      <c r="F42" s="23"/>
      <c r="G42" s="23"/>
      <c r="H42" s="23"/>
      <c r="I42" s="23"/>
      <c r="J42" s="23"/>
      <c r="K42" s="23"/>
      <c r="L42" s="23"/>
      <c r="M42" s="538"/>
      <c r="N42" s="540"/>
      <c r="O42" s="540"/>
      <c r="P42" s="540"/>
      <c r="Q42" s="540"/>
      <c r="R42" s="22"/>
      <c r="S42" s="22"/>
      <c r="T42" s="22"/>
      <c r="U42" s="22"/>
      <c r="W42" s="590"/>
      <c r="X42" s="590"/>
      <c r="Y42" s="539"/>
    </row>
    <row r="43" spans="1:26" ht="17.25" customHeight="1">
      <c r="A43" s="27"/>
      <c r="B43" s="91">
        <f>'Annex-II'!B44</f>
        <v>3258101</v>
      </c>
      <c r="C43" s="33" t="str">
        <f>'Annex-II'!C44</f>
        <v xml:space="preserve"> Motor Vehicles</v>
      </c>
      <c r="D43" s="22">
        <f t="shared" ref="D43:D49" si="18">SUM(E43:L43)</f>
        <v>125.00000000000001</v>
      </c>
      <c r="E43" s="23">
        <f>'Annex-II'!I44</f>
        <v>0.98299999999999998</v>
      </c>
      <c r="F43" s="23">
        <f>'Annex-II'!L44</f>
        <v>5.9669999999999996</v>
      </c>
      <c r="G43" s="23">
        <f>'Annex-II'!O44</f>
        <v>12</v>
      </c>
      <c r="H43" s="23">
        <f>'Annex-II'!R44</f>
        <v>21.99</v>
      </c>
      <c r="I43" s="23">
        <f>'Annex-II'!U44</f>
        <v>20.46</v>
      </c>
      <c r="J43" s="23">
        <f>'Annex-II'!X44</f>
        <v>15</v>
      </c>
      <c r="K43" s="23">
        <f>'Annex-II'!AA44</f>
        <v>26.73</v>
      </c>
      <c r="L43" s="23">
        <f>'Annex-II'!AD44</f>
        <v>21.87</v>
      </c>
      <c r="M43" s="538">
        <v>0.86</v>
      </c>
      <c r="N43" s="22">
        <f t="shared" ref="N43:N49" si="19">M43*E43</f>
        <v>0.84538000000000002</v>
      </c>
      <c r="O43" s="22">
        <f t="shared" ref="O43:O49" si="20">M43*F43</f>
        <v>5.1316199999999998</v>
      </c>
      <c r="P43" s="22">
        <f t="shared" ref="P43:P49" si="21">M43*G43</f>
        <v>10.32</v>
      </c>
      <c r="Q43" s="22">
        <f t="shared" ref="Q43:Q49" si="22">M43*H43</f>
        <v>18.911399999999997</v>
      </c>
      <c r="R43" s="22">
        <f t="shared" ref="R43:R49" si="23">M43*I43</f>
        <v>17.595600000000001</v>
      </c>
      <c r="S43" s="22">
        <f t="shared" ref="S43:S49" si="24">M43*J43</f>
        <v>12.9</v>
      </c>
      <c r="T43" s="22">
        <f t="shared" ref="T43:T49" si="25">M43*K43</f>
        <v>22.9878</v>
      </c>
      <c r="U43" s="22">
        <f t="shared" ref="U43:U49" si="26">M43*L43</f>
        <v>18.808199999999999</v>
      </c>
      <c r="W43" s="590"/>
      <c r="X43" s="590"/>
      <c r="Y43" s="539"/>
    </row>
    <row r="44" spans="1:26" ht="17.25" customHeight="1">
      <c r="A44" s="27"/>
      <c r="B44" s="91">
        <f>'Annex-II'!B45</f>
        <v>3258102</v>
      </c>
      <c r="C44" s="33" t="str">
        <f>'Annex-II'!C45</f>
        <v>Furnitures &amp; Fixtures</v>
      </c>
      <c r="D44" s="22">
        <f t="shared" si="18"/>
        <v>10</v>
      </c>
      <c r="E44" s="23">
        <f>'Annex-II'!I45</f>
        <v>0</v>
      </c>
      <c r="F44" s="23">
        <f>'Annex-II'!L45</f>
        <v>0.49</v>
      </c>
      <c r="G44" s="23">
        <f>'Annex-II'!O45</f>
        <v>0.74</v>
      </c>
      <c r="H44" s="23">
        <f>'Annex-II'!R45</f>
        <v>0.98</v>
      </c>
      <c r="I44" s="23">
        <f>'Annex-II'!U45</f>
        <v>0.99</v>
      </c>
      <c r="J44" s="23">
        <f>'Annex-II'!X45</f>
        <v>2</v>
      </c>
      <c r="K44" s="23">
        <f>'Annex-II'!AA45</f>
        <v>2.88</v>
      </c>
      <c r="L44" s="23">
        <f>'Annex-II'!AD45</f>
        <v>1.92</v>
      </c>
      <c r="M44" s="538">
        <v>0.86</v>
      </c>
      <c r="N44" s="22">
        <f t="shared" si="19"/>
        <v>0</v>
      </c>
      <c r="O44" s="22">
        <f t="shared" si="20"/>
        <v>0.4214</v>
      </c>
      <c r="P44" s="22">
        <f t="shared" si="21"/>
        <v>0.63639999999999997</v>
      </c>
      <c r="Q44" s="22">
        <f t="shared" si="22"/>
        <v>0.84279999999999999</v>
      </c>
      <c r="R44" s="22">
        <f t="shared" si="23"/>
        <v>0.85139999999999993</v>
      </c>
      <c r="S44" s="22">
        <f t="shared" si="24"/>
        <v>1.72</v>
      </c>
      <c r="T44" s="22">
        <f t="shared" si="25"/>
        <v>2.4767999999999999</v>
      </c>
      <c r="U44" s="22">
        <f t="shared" si="26"/>
        <v>1.6512</v>
      </c>
      <c r="W44" s="590"/>
      <c r="X44" s="590"/>
      <c r="Y44" s="539"/>
    </row>
    <row r="45" spans="1:26" ht="17.25" customHeight="1">
      <c r="A45" s="27"/>
      <c r="B45" s="91">
        <f>'Annex-II'!B46</f>
        <v>3258103</v>
      </c>
      <c r="C45" s="33" t="str">
        <f>'Annex-II'!C46</f>
        <v>Computers &amp; office equipments</v>
      </c>
      <c r="D45" s="22">
        <f t="shared" si="18"/>
        <v>15</v>
      </c>
      <c r="E45" s="23">
        <f>'Annex-II'!I46</f>
        <v>0</v>
      </c>
      <c r="F45" s="23">
        <f>'Annex-II'!L46</f>
        <v>0.5</v>
      </c>
      <c r="G45" s="23">
        <f>'Annex-II'!O46</f>
        <v>0.85</v>
      </c>
      <c r="H45" s="23">
        <f>'Annex-II'!R46</f>
        <v>2</v>
      </c>
      <c r="I45" s="23">
        <f>'Annex-II'!U46</f>
        <v>1.99</v>
      </c>
      <c r="J45" s="23">
        <f>'Annex-II'!X46</f>
        <v>3</v>
      </c>
      <c r="K45" s="23">
        <f>'Annex-II'!AA46</f>
        <v>3.9293999999999998</v>
      </c>
      <c r="L45" s="23">
        <f>'Annex-II'!AD46</f>
        <v>2.7305999999999999</v>
      </c>
      <c r="M45" s="538">
        <v>0.86</v>
      </c>
      <c r="N45" s="22">
        <f t="shared" si="19"/>
        <v>0</v>
      </c>
      <c r="O45" s="22">
        <f t="shared" si="20"/>
        <v>0.43</v>
      </c>
      <c r="P45" s="22">
        <f t="shared" si="21"/>
        <v>0.73099999999999998</v>
      </c>
      <c r="Q45" s="22">
        <f t="shared" si="22"/>
        <v>1.72</v>
      </c>
      <c r="R45" s="22">
        <f t="shared" si="23"/>
        <v>1.7114</v>
      </c>
      <c r="S45" s="22">
        <f t="shared" si="24"/>
        <v>2.58</v>
      </c>
      <c r="T45" s="22">
        <f t="shared" si="25"/>
        <v>3.3792839999999997</v>
      </c>
      <c r="U45" s="22">
        <f t="shared" si="26"/>
        <v>2.3483160000000001</v>
      </c>
      <c r="W45" s="590"/>
      <c r="X45" s="590"/>
      <c r="Y45" s="539"/>
    </row>
    <row r="46" spans="1:26" ht="16.5" customHeight="1">
      <c r="A46" s="27"/>
      <c r="B46" s="91">
        <f>'Annex-II'!B47</f>
        <v>3258105</v>
      </c>
      <c r="C46" s="33" t="str">
        <f>'Annex-II'!C47</f>
        <v>Machineries &amp; Equipments</v>
      </c>
      <c r="D46" s="22">
        <f t="shared" si="18"/>
        <v>10</v>
      </c>
      <c r="E46" s="23">
        <f>'Annex-II'!I47</f>
        <v>0</v>
      </c>
      <c r="F46" s="23">
        <f>'Annex-II'!L47</f>
        <v>0.21</v>
      </c>
      <c r="G46" s="23">
        <f>'Annex-II'!O47</f>
        <v>0.01</v>
      </c>
      <c r="H46" s="23">
        <f>'Annex-II'!R47</f>
        <v>0.5</v>
      </c>
      <c r="I46" s="23">
        <f>'Annex-II'!U47</f>
        <v>0.5</v>
      </c>
      <c r="J46" s="23">
        <f>'Annex-II'!X47</f>
        <v>2</v>
      </c>
      <c r="K46" s="23">
        <f>'Annex-II'!AA47</f>
        <v>4.1357999999999997</v>
      </c>
      <c r="L46" s="23">
        <f>'Annex-II'!AD47</f>
        <v>2.6442000000000001</v>
      </c>
      <c r="M46" s="538">
        <v>0.86</v>
      </c>
      <c r="N46" s="22">
        <f t="shared" si="19"/>
        <v>0</v>
      </c>
      <c r="O46" s="22">
        <f t="shared" si="20"/>
        <v>0.18059999999999998</v>
      </c>
      <c r="P46" s="22">
        <f t="shared" si="21"/>
        <v>8.6E-3</v>
      </c>
      <c r="Q46" s="22">
        <f t="shared" si="22"/>
        <v>0.43</v>
      </c>
      <c r="R46" s="22">
        <f t="shared" si="23"/>
        <v>0.43</v>
      </c>
      <c r="S46" s="22">
        <f t="shared" si="24"/>
        <v>1.72</v>
      </c>
      <c r="T46" s="22">
        <f t="shared" si="25"/>
        <v>3.5567879999999996</v>
      </c>
      <c r="U46" s="22">
        <f t="shared" si="26"/>
        <v>2.2740119999999999</v>
      </c>
      <c r="W46" s="590">
        <f>SUM(E46:L46)</f>
        <v>10</v>
      </c>
      <c r="X46" s="590">
        <f>SUM(N46:U46)</f>
        <v>8.5999999999999979</v>
      </c>
      <c r="Y46" s="539">
        <f>M46</f>
        <v>0.86</v>
      </c>
      <c r="Z46" s="588">
        <f>W46*Y46</f>
        <v>8.6</v>
      </c>
    </row>
    <row r="47" spans="1:26" ht="16.5" customHeight="1">
      <c r="A47" s="27"/>
      <c r="B47" s="227">
        <v>4921</v>
      </c>
      <c r="C47" s="442" t="s">
        <v>65</v>
      </c>
      <c r="D47" s="22">
        <f t="shared" si="18"/>
        <v>25</v>
      </c>
      <c r="E47" s="23">
        <f>'Annex-II'!I48</f>
        <v>0</v>
      </c>
      <c r="F47" s="23">
        <f>'Annex-II'!L48</f>
        <v>0</v>
      </c>
      <c r="G47" s="23">
        <f>'Annex-II'!O48</f>
        <v>0</v>
      </c>
      <c r="H47" s="23">
        <f>'Annex-II'!R48</f>
        <v>9.98</v>
      </c>
      <c r="I47" s="23">
        <f>'Annex-II'!U48</f>
        <v>10</v>
      </c>
      <c r="J47" s="23">
        <f>'Annex-II'!X48</f>
        <v>0</v>
      </c>
      <c r="K47" s="23">
        <f>'Annex-II'!AA48</f>
        <v>2.9618000000000002</v>
      </c>
      <c r="L47" s="23">
        <f>'Annex-II'!AD48</f>
        <v>2.0581999999999998</v>
      </c>
      <c r="M47" s="538">
        <v>0.76500000000000001</v>
      </c>
      <c r="N47" s="22">
        <f t="shared" si="19"/>
        <v>0</v>
      </c>
      <c r="O47" s="22">
        <f t="shared" si="20"/>
        <v>0</v>
      </c>
      <c r="P47" s="22">
        <f t="shared" si="21"/>
        <v>0</v>
      </c>
      <c r="Q47" s="22">
        <f t="shared" si="22"/>
        <v>7.6347000000000005</v>
      </c>
      <c r="R47" s="22">
        <f t="shared" si="23"/>
        <v>7.65</v>
      </c>
      <c r="S47" s="22">
        <f t="shared" si="24"/>
        <v>0</v>
      </c>
      <c r="T47" s="22">
        <f t="shared" si="25"/>
        <v>2.2657770000000004</v>
      </c>
      <c r="U47" s="22">
        <f t="shared" si="26"/>
        <v>1.5745229999999999</v>
      </c>
      <c r="W47" s="590">
        <f>SUM(E47:L47)</f>
        <v>25</v>
      </c>
      <c r="X47" s="590">
        <f>SUM(N47:U47)</f>
        <v>19.125</v>
      </c>
      <c r="Y47" s="539">
        <f>M47</f>
        <v>0.76500000000000001</v>
      </c>
      <c r="Z47" s="588">
        <f>W47*Y47</f>
        <v>19.125</v>
      </c>
    </row>
    <row r="48" spans="1:26" ht="27.75" customHeight="1">
      <c r="A48" s="27"/>
      <c r="B48" s="227">
        <v>4923</v>
      </c>
      <c r="C48" s="442" t="s">
        <v>66</v>
      </c>
      <c r="D48" s="22">
        <f t="shared" si="18"/>
        <v>40</v>
      </c>
      <c r="E48" s="23">
        <f>'Annex-II'!I49</f>
        <v>0</v>
      </c>
      <c r="F48" s="23">
        <f>'Annex-II'!L49</f>
        <v>0</v>
      </c>
      <c r="G48" s="23">
        <f>'Annex-II'!O49</f>
        <v>0</v>
      </c>
      <c r="H48" s="23">
        <f>'Annex-II'!R49</f>
        <v>8.9499999999999993</v>
      </c>
      <c r="I48" s="23">
        <f>'Annex-II'!U49</f>
        <v>5.58</v>
      </c>
      <c r="J48" s="23">
        <f>'Annex-II'!X49</f>
        <v>5</v>
      </c>
      <c r="K48" s="23">
        <f>'Annex-II'!AA49</f>
        <v>11.8726</v>
      </c>
      <c r="L48" s="23">
        <f>'Annex-II'!AD49</f>
        <v>8.5973999999999986</v>
      </c>
      <c r="M48" s="538">
        <v>0.76500000000000001</v>
      </c>
      <c r="N48" s="22">
        <f t="shared" si="19"/>
        <v>0</v>
      </c>
      <c r="O48" s="22">
        <f t="shared" si="20"/>
        <v>0</v>
      </c>
      <c r="P48" s="22">
        <f t="shared" si="21"/>
        <v>0</v>
      </c>
      <c r="Q48" s="22">
        <f t="shared" si="22"/>
        <v>6.8467499999999992</v>
      </c>
      <c r="R48" s="22">
        <f t="shared" si="23"/>
        <v>4.2686999999999999</v>
      </c>
      <c r="S48" s="22">
        <f t="shared" si="24"/>
        <v>3.8250000000000002</v>
      </c>
      <c r="T48" s="22">
        <f t="shared" si="25"/>
        <v>9.0825390000000006</v>
      </c>
      <c r="U48" s="22">
        <f t="shared" si="26"/>
        <v>6.5770109999999988</v>
      </c>
      <c r="W48" s="590">
        <f>SUM(E48:L48)</f>
        <v>40</v>
      </c>
      <c r="X48" s="590">
        <f>SUM(N48:U48)</f>
        <v>30.599999999999998</v>
      </c>
      <c r="Y48" s="539">
        <f>M48</f>
        <v>0.76500000000000001</v>
      </c>
      <c r="Z48" s="588">
        <f>W48*Y48</f>
        <v>30.6</v>
      </c>
    </row>
    <row r="49" spans="1:26" ht="16.5" customHeight="1">
      <c r="A49" s="27"/>
      <c r="B49" s="91">
        <f>'Annex-II'!B50</f>
        <v>3258105</v>
      </c>
      <c r="C49" s="33" t="str">
        <f>'Annex-II'!C50</f>
        <v>Engineering Equipments</v>
      </c>
      <c r="D49" s="22">
        <f t="shared" si="18"/>
        <v>20</v>
      </c>
      <c r="E49" s="23">
        <f>'Annex-II'!I50</f>
        <v>0</v>
      </c>
      <c r="F49" s="23">
        <f>'Annex-II'!L50</f>
        <v>0.09</v>
      </c>
      <c r="G49" s="23">
        <f>'Annex-II'!O50</f>
        <v>0.3</v>
      </c>
      <c r="H49" s="23">
        <f>'Annex-II'!R50</f>
        <v>0.5</v>
      </c>
      <c r="I49" s="23">
        <f>'Annex-II'!U50</f>
        <v>0.5</v>
      </c>
      <c r="J49" s="23">
        <f>'Annex-II'!X50</f>
        <v>2</v>
      </c>
      <c r="K49" s="23">
        <f>'Annex-II'!AA50</f>
        <v>9.1355000000000004</v>
      </c>
      <c r="L49" s="23">
        <f>'Annex-II'!AD50</f>
        <v>7.4744999999999999</v>
      </c>
      <c r="M49" s="538">
        <v>0.86</v>
      </c>
      <c r="N49" s="22">
        <f t="shared" si="19"/>
        <v>0</v>
      </c>
      <c r="O49" s="22">
        <f t="shared" si="20"/>
        <v>7.7399999999999997E-2</v>
      </c>
      <c r="P49" s="22">
        <f t="shared" si="21"/>
        <v>0.25800000000000001</v>
      </c>
      <c r="Q49" s="22">
        <f t="shared" si="22"/>
        <v>0.43</v>
      </c>
      <c r="R49" s="22">
        <f t="shared" si="23"/>
        <v>0.43</v>
      </c>
      <c r="S49" s="22">
        <f t="shared" si="24"/>
        <v>1.72</v>
      </c>
      <c r="T49" s="22">
        <f t="shared" si="25"/>
        <v>7.8565300000000002</v>
      </c>
      <c r="U49" s="22">
        <f t="shared" si="26"/>
        <v>6.42807</v>
      </c>
      <c r="W49" s="590"/>
      <c r="X49" s="590"/>
      <c r="Y49" s="539"/>
    </row>
    <row r="50" spans="1:26" ht="16.5" customHeight="1">
      <c r="A50" s="27"/>
      <c r="B50" s="665">
        <f>'Annex-II'!B51</f>
        <v>0</v>
      </c>
      <c r="C50" s="33" t="str">
        <f>'Annex-II'!C51</f>
        <v>Drainage Structures :</v>
      </c>
      <c r="D50" s="22"/>
      <c r="E50" s="23"/>
      <c r="F50" s="23"/>
      <c r="G50" s="23"/>
      <c r="H50" s="23"/>
      <c r="I50" s="23"/>
      <c r="J50" s="23"/>
      <c r="K50" s="23"/>
      <c r="L50" s="23"/>
      <c r="M50" s="538"/>
      <c r="N50" s="22"/>
      <c r="O50" s="22"/>
      <c r="P50" s="22"/>
      <c r="Q50" s="22"/>
      <c r="R50" s="22"/>
      <c r="S50" s="22"/>
      <c r="T50" s="22"/>
      <c r="U50" s="22"/>
      <c r="W50" s="590"/>
      <c r="X50" s="590"/>
      <c r="Y50" s="539"/>
    </row>
    <row r="51" spans="1:26" ht="28.5" customHeight="1">
      <c r="A51" s="27"/>
      <c r="B51" s="625"/>
      <c r="C51" s="96" t="str">
        <f>'Annex-II'!C52</f>
        <v xml:space="preserve"> Repair/Replacement of Regulator Gates and other related works(Rehabilitation Haors)</v>
      </c>
      <c r="D51" s="22">
        <f>SUM(E51:L51)</f>
        <v>362.50000000000006</v>
      </c>
      <c r="E51" s="23">
        <f>'Annex-II'!I52</f>
        <v>0</v>
      </c>
      <c r="F51" s="23">
        <f>'Annex-II'!L52</f>
        <v>0</v>
      </c>
      <c r="G51" s="23">
        <f>'Annex-II'!O52</f>
        <v>59.7</v>
      </c>
      <c r="H51" s="23">
        <f>'Annex-II'!R52</f>
        <v>24.34</v>
      </c>
      <c r="I51" s="23">
        <f>'Annex-II'!U52</f>
        <v>10.99</v>
      </c>
      <c r="J51" s="23">
        <f>'Annex-II'!X52</f>
        <v>58.25</v>
      </c>
      <c r="K51" s="23">
        <f>'Annex-II'!AA52</f>
        <v>131.80860000000001</v>
      </c>
      <c r="L51" s="23">
        <f>'Annex-II'!AD52</f>
        <v>77.4114</v>
      </c>
      <c r="M51" s="538">
        <v>0.81200000000000006</v>
      </c>
      <c r="N51" s="22">
        <f>M51*E51</f>
        <v>0</v>
      </c>
      <c r="O51" s="22">
        <f>M51*F51</f>
        <v>0</v>
      </c>
      <c r="P51" s="22">
        <f>M51*G51</f>
        <v>48.476400000000005</v>
      </c>
      <c r="Q51" s="22">
        <f>M51*H51</f>
        <v>19.76408</v>
      </c>
      <c r="R51" s="22">
        <f>M51*I51</f>
        <v>8.9238800000000005</v>
      </c>
      <c r="S51" s="22">
        <f>M51*J51</f>
        <v>47.299000000000007</v>
      </c>
      <c r="T51" s="22">
        <f>M51*K51</f>
        <v>107.02858320000001</v>
      </c>
      <c r="U51" s="22">
        <f>M51*L51</f>
        <v>62.858056800000007</v>
      </c>
      <c r="W51" s="590">
        <f>SUM(E51:L51)</f>
        <v>362.50000000000006</v>
      </c>
      <c r="X51" s="590">
        <f>SUM(N51:U51)</f>
        <v>294.35000000000002</v>
      </c>
      <c r="Y51" s="539">
        <f>M51</f>
        <v>0.81200000000000006</v>
      </c>
      <c r="Z51" s="588">
        <f>W51*Y51</f>
        <v>294.35000000000008</v>
      </c>
    </row>
    <row r="52" spans="1:26" ht="17.25" customHeight="1">
      <c r="A52" s="27"/>
      <c r="B52" s="228">
        <v>4976</v>
      </c>
      <c r="C52" s="443" t="s">
        <v>71</v>
      </c>
      <c r="D52" s="22">
        <f>SUM(E52:L52)</f>
        <v>5</v>
      </c>
      <c r="E52" s="23">
        <f>'Annex-II'!I53</f>
        <v>0</v>
      </c>
      <c r="F52" s="23">
        <f>'Annex-II'!L53</f>
        <v>0.9</v>
      </c>
      <c r="G52" s="23">
        <f>'Annex-II'!O53</f>
        <v>0</v>
      </c>
      <c r="H52" s="23">
        <f>'Annex-II'!R53</f>
        <v>0.75</v>
      </c>
      <c r="I52" s="23">
        <f>'Annex-II'!U53</f>
        <v>0.74</v>
      </c>
      <c r="J52" s="23">
        <f>'Annex-II'!X53</f>
        <v>0.75</v>
      </c>
      <c r="K52" s="23">
        <f>'Annex-II'!AA53</f>
        <v>1.1346000000000001</v>
      </c>
      <c r="L52" s="23">
        <f>'Annex-II'!AD53</f>
        <v>0.72540000000000016</v>
      </c>
      <c r="M52" s="538">
        <v>0.81200000000000006</v>
      </c>
      <c r="N52" s="22">
        <f>M52*E52</f>
        <v>0</v>
      </c>
      <c r="O52" s="22">
        <f>M52*F52</f>
        <v>0.73080000000000012</v>
      </c>
      <c r="P52" s="22">
        <f>M52*G52</f>
        <v>0</v>
      </c>
      <c r="Q52" s="22">
        <f>M52*H52</f>
        <v>0.60899999999999999</v>
      </c>
      <c r="R52" s="22">
        <f>M52*I52</f>
        <v>0.60088000000000008</v>
      </c>
      <c r="S52" s="22">
        <f>M52*J52</f>
        <v>0.60899999999999999</v>
      </c>
      <c r="T52" s="22">
        <f>M52*K52</f>
        <v>0.92129520000000009</v>
      </c>
      <c r="U52" s="22">
        <f>M52*L52</f>
        <v>0.58902480000000013</v>
      </c>
      <c r="W52" s="590">
        <f>SUM(E52:L52)</f>
        <v>5</v>
      </c>
      <c r="X52" s="590">
        <f>SUM(N52:U52)</f>
        <v>4.0600000000000005</v>
      </c>
      <c r="Y52" s="539">
        <f>M52</f>
        <v>0.81200000000000006</v>
      </c>
      <c r="Z52" s="588">
        <f>W52*Y52</f>
        <v>4.0600000000000005</v>
      </c>
    </row>
    <row r="53" spans="1:26" ht="17.25" customHeight="1">
      <c r="A53" s="27"/>
      <c r="B53" s="228">
        <v>4991</v>
      </c>
      <c r="C53" s="438" t="s">
        <v>72</v>
      </c>
      <c r="D53" s="22">
        <f>SUM(E53:L53)</f>
        <v>40</v>
      </c>
      <c r="E53" s="23">
        <f>'Annex-II'!I54</f>
        <v>0</v>
      </c>
      <c r="F53" s="23">
        <f>'Annex-II'!L54</f>
        <v>0</v>
      </c>
      <c r="G53" s="23">
        <f>'Annex-II'!O54</f>
        <v>0</v>
      </c>
      <c r="H53" s="23">
        <f>'Annex-II'!R54</f>
        <v>2.5</v>
      </c>
      <c r="I53" s="23">
        <f>'Annex-II'!U54</f>
        <v>4.9800000000000004</v>
      </c>
      <c r="J53" s="23">
        <f>'Annex-II'!X54</f>
        <v>3</v>
      </c>
      <c r="K53" s="23">
        <f>'Annex-II'!AA54</f>
        <v>16.531199999999998</v>
      </c>
      <c r="L53" s="23">
        <f>'Annex-II'!AD54</f>
        <v>12.988799999999999</v>
      </c>
      <c r="M53" s="538">
        <v>0.90200000000000002</v>
      </c>
      <c r="N53" s="22">
        <f>M53*E53</f>
        <v>0</v>
      </c>
      <c r="O53" s="22">
        <f>M53*F53</f>
        <v>0</v>
      </c>
      <c r="P53" s="22">
        <f>M53*G53</f>
        <v>0</v>
      </c>
      <c r="Q53" s="22">
        <f>M53*H53</f>
        <v>2.2549999999999999</v>
      </c>
      <c r="R53" s="22">
        <f>M53*I53</f>
        <v>4.4919600000000006</v>
      </c>
      <c r="S53" s="22">
        <f>M53*J53</f>
        <v>2.706</v>
      </c>
      <c r="T53" s="22">
        <f>M53*K53</f>
        <v>14.911142399999999</v>
      </c>
      <c r="U53" s="22">
        <f>M53*L53</f>
        <v>11.7158976</v>
      </c>
      <c r="W53" s="590">
        <f>SUM(E53:L53)</f>
        <v>40</v>
      </c>
      <c r="X53" s="590">
        <f>SUM(N53:U53)</f>
        <v>36.08</v>
      </c>
      <c r="Y53" s="539">
        <f>M53</f>
        <v>0.90200000000000002</v>
      </c>
      <c r="Z53" s="588">
        <f>W53*Y53</f>
        <v>36.08</v>
      </c>
    </row>
    <row r="54" spans="1:26" ht="16.5" customHeight="1">
      <c r="A54" s="28"/>
      <c r="B54" s="662" t="str">
        <f>'Annex-II'!A55</f>
        <v>(a)Sub-total Revenue Component:</v>
      </c>
      <c r="C54" s="618"/>
      <c r="D54" s="458">
        <f>SUM(D8:D53)</f>
        <v>19588.77</v>
      </c>
      <c r="E54" s="23">
        <f>'Annex-II'!I55</f>
        <v>1081.0899999999999</v>
      </c>
      <c r="F54" s="458">
        <f t="shared" ref="F54:L54" si="27">SUM(F8:F53)</f>
        <v>2463.7400000000002</v>
      </c>
      <c r="G54" s="458">
        <f t="shared" si="27"/>
        <v>2227.87</v>
      </c>
      <c r="H54" s="458">
        <f t="shared" si="27"/>
        <v>2364.8599999999997</v>
      </c>
      <c r="I54" s="458">
        <f t="shared" si="27"/>
        <v>2487.2899999999986</v>
      </c>
      <c r="J54" s="458">
        <f t="shared" si="27"/>
        <v>2560</v>
      </c>
      <c r="K54" s="458">
        <f t="shared" si="27"/>
        <v>3836.2267999999995</v>
      </c>
      <c r="L54" s="458">
        <f t="shared" si="27"/>
        <v>2567.6932000000002</v>
      </c>
      <c r="M54" s="538"/>
      <c r="N54" s="458">
        <f t="shared" ref="N54:U54" si="28">SUM(N8:N53)</f>
        <v>954.50468400000011</v>
      </c>
      <c r="O54" s="458">
        <f t="shared" si="28"/>
        <v>2171.1836159999998</v>
      </c>
      <c r="P54" s="458">
        <f t="shared" si="28"/>
        <v>1955.12886</v>
      </c>
      <c r="Q54" s="458">
        <f t="shared" si="28"/>
        <v>2076.90769</v>
      </c>
      <c r="R54" s="458">
        <f t="shared" si="28"/>
        <v>2194.3754799999997</v>
      </c>
      <c r="S54" s="458">
        <f t="shared" si="28"/>
        <v>2247.2777999999989</v>
      </c>
      <c r="T54" s="458">
        <f t="shared" si="28"/>
        <v>3369.0535503999999</v>
      </c>
      <c r="U54" s="458">
        <f t="shared" si="28"/>
        <v>2252.1545596000005</v>
      </c>
      <c r="W54" s="590">
        <f>SUM(E54:L54)</f>
        <v>19588.77</v>
      </c>
      <c r="X54" s="590">
        <f>SUM(N54:U54)</f>
        <v>17220.586239999997</v>
      </c>
      <c r="Y54" s="539">
        <f>M54</f>
        <v>0</v>
      </c>
      <c r="Z54" s="590">
        <f>SUM(Z8:Z53)</f>
        <v>12121.487920000001</v>
      </c>
    </row>
    <row r="55" spans="1:26" ht="16.5" customHeight="1">
      <c r="A55" s="229"/>
      <c r="B55" s="662" t="str">
        <f>'Annex-II'!A56</f>
        <v>(b) Capital Component:</v>
      </c>
      <c r="C55" s="618"/>
      <c r="D55" s="22"/>
      <c r="E55" s="23"/>
      <c r="F55" s="23"/>
      <c r="G55" s="23"/>
      <c r="H55" s="23"/>
      <c r="I55" s="23"/>
      <c r="J55" s="23"/>
      <c r="K55" s="23"/>
      <c r="L55" s="23"/>
      <c r="M55" s="538"/>
      <c r="N55" s="540"/>
      <c r="O55" s="540"/>
      <c r="P55" s="540"/>
      <c r="Q55" s="540"/>
      <c r="R55" s="22"/>
      <c r="S55" s="22"/>
      <c r="T55" s="22"/>
      <c r="U55" s="22"/>
      <c r="W55" s="590"/>
      <c r="X55" s="590"/>
      <c r="Y55" s="539"/>
    </row>
    <row r="56" spans="1:26" ht="15.75" customHeight="1">
      <c r="A56" s="27"/>
      <c r="B56" s="97">
        <f>'Annex-II'!B57</f>
        <v>0</v>
      </c>
      <c r="C56" s="33" t="str">
        <f>'Annex-II'!C57</f>
        <v>Acquisition of Assets:</v>
      </c>
      <c r="D56" s="22"/>
      <c r="E56" s="23"/>
      <c r="F56" s="23"/>
      <c r="G56" s="23"/>
      <c r="H56" s="23"/>
      <c r="I56" s="23"/>
      <c r="J56" s="23"/>
      <c r="K56" s="23"/>
      <c r="L56" s="23"/>
      <c r="M56" s="538"/>
      <c r="N56" s="22"/>
      <c r="O56" s="22"/>
      <c r="P56" s="22"/>
      <c r="Q56" s="22"/>
      <c r="R56" s="22"/>
      <c r="S56" s="22"/>
      <c r="T56" s="22"/>
      <c r="U56" s="22"/>
      <c r="W56" s="590"/>
      <c r="X56" s="590"/>
      <c r="Y56" s="539"/>
    </row>
    <row r="57" spans="1:26" ht="14.25" customHeight="1">
      <c r="A57" s="27"/>
      <c r="B57" s="102">
        <f>'Annex-II'!B58</f>
        <v>0</v>
      </c>
      <c r="C57" s="593" t="str">
        <f>'Annex-II'!C58</f>
        <v xml:space="preserve"> Motor Vehicle :</v>
      </c>
      <c r="D57" s="22"/>
      <c r="E57" s="23"/>
      <c r="F57" s="23"/>
      <c r="G57" s="23"/>
      <c r="H57" s="23"/>
      <c r="I57" s="23"/>
      <c r="J57" s="23"/>
      <c r="K57" s="23"/>
      <c r="L57" s="23"/>
      <c r="M57" s="538"/>
      <c r="N57" s="22"/>
      <c r="O57" s="22"/>
      <c r="P57" s="22"/>
      <c r="Q57" s="22"/>
      <c r="R57" s="22"/>
      <c r="S57" s="22"/>
      <c r="T57" s="22"/>
      <c r="U57" s="22"/>
      <c r="W57" s="590">
        <f>SUM(E57:L57)</f>
        <v>0</v>
      </c>
      <c r="X57" s="590">
        <f>SUM(N57:U57)</f>
        <v>0</v>
      </c>
      <c r="Y57" s="539">
        <f>M57</f>
        <v>0</v>
      </c>
      <c r="Z57" s="588">
        <f>W57*Y57</f>
        <v>0</v>
      </c>
    </row>
    <row r="58" spans="1:26" ht="116.25" customHeight="1">
      <c r="A58" s="27"/>
      <c r="B58" s="103"/>
      <c r="C58" s="509" t="str">
        <f>'Annex-II'!C59</f>
        <v>Jeep (above 2500 c.c. made by Pragati) -1 No.for Project Director, PMO, 
Jeep (2200 c.c. to 2500 c.c. made by Pragati) (4 Wheel Drive) -8 Nos. and Double Cabin Pickup-1 No. 
(1 for DPD, PMO, 1 for 4 EE, PMO, Kishoreganj 1 No., Netrokona 1 No., Sunamganj 1 No., Habiganj 1 No., Brahmanbaria 1 No., 1 for Planning Commission &amp; 1 Pickup for Deputy Chief  Extension Officer, PMO)= Total 10 Nos.</v>
      </c>
      <c r="D58" s="22">
        <f>SUM(E58:L58)</f>
        <v>702.5</v>
      </c>
      <c r="E58" s="23">
        <f>'Annex-II'!I59</f>
        <v>346.3</v>
      </c>
      <c r="F58" s="23">
        <f>'Annex-II'!L59</f>
        <v>138.6</v>
      </c>
      <c r="G58" s="23">
        <f>'Annex-II'!O59</f>
        <v>0</v>
      </c>
      <c r="H58" s="23">
        <f>'Annex-II'!R59</f>
        <v>122</v>
      </c>
      <c r="I58" s="23">
        <f>'Annex-II'!U59</f>
        <v>0</v>
      </c>
      <c r="J58" s="23">
        <f>'Annex-II'!X59</f>
        <v>95.6</v>
      </c>
      <c r="K58" s="23">
        <f>'Annex-II'!AA59</f>
        <v>0</v>
      </c>
      <c r="L58" s="23">
        <f>'Annex-II'!AD59</f>
        <v>0</v>
      </c>
      <c r="M58" s="538">
        <v>0.68</v>
      </c>
      <c r="N58" s="22">
        <f>M58*E58</f>
        <v>235.48400000000004</v>
      </c>
      <c r="O58" s="22">
        <f>M58*F58</f>
        <v>94.248000000000005</v>
      </c>
      <c r="P58" s="22">
        <f>M58*G58</f>
        <v>0</v>
      </c>
      <c r="Q58" s="22">
        <f>M58*H58</f>
        <v>82.960000000000008</v>
      </c>
      <c r="R58" s="22">
        <f>M58*I58</f>
        <v>0</v>
      </c>
      <c r="S58" s="22">
        <f>M58*J58</f>
        <v>65.007999999999996</v>
      </c>
      <c r="T58" s="22">
        <f>M58*K58</f>
        <v>0</v>
      </c>
      <c r="U58" s="22">
        <f>M58*L58</f>
        <v>0</v>
      </c>
      <c r="W58" s="590">
        <f>SUM(E58:L58)</f>
        <v>702.5</v>
      </c>
      <c r="X58" s="590">
        <f>SUM(N58:U58)</f>
        <v>477.7</v>
      </c>
      <c r="Y58" s="539">
        <f>M58</f>
        <v>0.68</v>
      </c>
      <c r="Z58" s="588">
        <f>W58*Y58</f>
        <v>477.70000000000005</v>
      </c>
    </row>
    <row r="59" spans="1:26" ht="52.5" customHeight="1">
      <c r="A59" s="27"/>
      <c r="B59" s="104"/>
      <c r="C59" s="96" t="str">
        <f>'Annex-II'!C60</f>
        <v>Motorcycle - 45 Nos. (PMO 2 Nos.,Kishoreganj 11 Nos., Netrokona 6 Nos., Sunamganj 6 Nos., Habiganj 6 Nos.&amp; Brahmanbaria 4 Nos).</v>
      </c>
      <c r="D59" s="22">
        <f>SUM(E59:L59)</f>
        <v>68.25</v>
      </c>
      <c r="E59" s="23">
        <f>'Annex-II'!I60</f>
        <v>5.8250000000000002</v>
      </c>
      <c r="F59" s="23">
        <f>'Annex-II'!L60</f>
        <v>26.315000000000001</v>
      </c>
      <c r="G59" s="23">
        <f>'Annex-II'!O60</f>
        <v>10.08</v>
      </c>
      <c r="H59" s="23">
        <f>'Annex-II'!R60</f>
        <v>8</v>
      </c>
      <c r="I59" s="23">
        <f>'Annex-II'!U60</f>
        <v>0</v>
      </c>
      <c r="J59" s="23">
        <f>'Annex-II'!X60</f>
        <v>0</v>
      </c>
      <c r="K59" s="23">
        <f>'Annex-II'!AA60</f>
        <v>10.0968</v>
      </c>
      <c r="L59" s="23">
        <f>'Annex-II'!AD60</f>
        <v>7.9332000000000003</v>
      </c>
      <c r="M59" s="538">
        <v>0.68</v>
      </c>
      <c r="N59" s="22">
        <f>M59*E59</f>
        <v>3.9610000000000003</v>
      </c>
      <c r="O59" s="22">
        <f>M59*F59</f>
        <v>17.894200000000001</v>
      </c>
      <c r="P59" s="22">
        <f>M59*G59</f>
        <v>6.8544000000000009</v>
      </c>
      <c r="Q59" s="22">
        <f>M59*H59</f>
        <v>5.44</v>
      </c>
      <c r="R59" s="22">
        <f>M59*I59</f>
        <v>0</v>
      </c>
      <c r="S59" s="22">
        <f>M59*J59</f>
        <v>0</v>
      </c>
      <c r="T59" s="22">
        <f>M59*K59</f>
        <v>6.8658240000000008</v>
      </c>
      <c r="U59" s="22">
        <f>M59*L59</f>
        <v>5.3945760000000007</v>
      </c>
      <c r="W59" s="590">
        <f>SUM(E59:L59)</f>
        <v>68.25</v>
      </c>
      <c r="X59" s="590">
        <f>SUM(N59:U59)</f>
        <v>46.410000000000011</v>
      </c>
      <c r="Y59" s="539">
        <f>M59</f>
        <v>0.68</v>
      </c>
      <c r="Z59" s="588">
        <f>W59*Y59</f>
        <v>46.410000000000004</v>
      </c>
    </row>
    <row r="60" spans="1:26" ht="17.25" customHeight="1">
      <c r="A60" s="27"/>
      <c r="B60" s="667">
        <f>'9.Detil Phasing'!B62</f>
        <v>6809</v>
      </c>
      <c r="C60" s="33" t="str">
        <f>'Annex-II'!C61</f>
        <v>Water Transport :</v>
      </c>
      <c r="D60" s="22"/>
      <c r="E60" s="23">
        <f>'Annex-II'!I61</f>
        <v>0</v>
      </c>
      <c r="F60" s="23"/>
      <c r="G60" s="23"/>
      <c r="H60" s="23"/>
      <c r="I60" s="23"/>
      <c r="J60" s="23"/>
      <c r="K60" s="23"/>
      <c r="L60" s="23"/>
      <c r="M60" s="538"/>
      <c r="N60" s="22"/>
      <c r="O60" s="22"/>
      <c r="P60" s="22"/>
      <c r="Q60" s="22"/>
      <c r="R60" s="22"/>
      <c r="S60" s="22"/>
      <c r="T60" s="22"/>
      <c r="U60" s="22"/>
      <c r="W60" s="590"/>
      <c r="X60" s="590"/>
      <c r="Y60" s="539"/>
    </row>
    <row r="61" spans="1:26" ht="27" customHeight="1">
      <c r="A61" s="27"/>
      <c r="B61" s="625"/>
      <c r="C61" s="96" t="str">
        <f>'Annex-II'!C62</f>
        <v>Speed Boat with Engine and all accessories (75 hp &amp; 6 Nos.)</v>
      </c>
      <c r="D61" s="22">
        <f>SUM(E61:L61)</f>
        <v>100</v>
      </c>
      <c r="E61" s="23">
        <f>'Annex-II'!I62</f>
        <v>0</v>
      </c>
      <c r="F61" s="23">
        <f>'Annex-II'!L62</f>
        <v>0</v>
      </c>
      <c r="G61" s="23">
        <f>'Annex-II'!O62</f>
        <v>40.29</v>
      </c>
      <c r="H61" s="23">
        <f>'Annex-II'!R62</f>
        <v>21</v>
      </c>
      <c r="I61" s="23">
        <f>'Annex-II'!U62</f>
        <v>0</v>
      </c>
      <c r="J61" s="23">
        <f>'Annex-II'!X62</f>
        <v>0</v>
      </c>
      <c r="K61" s="23">
        <f>'Annex-II'!AA62</f>
        <v>22.838899999999999</v>
      </c>
      <c r="L61" s="23">
        <f>'Annex-II'!AD62</f>
        <v>15.8711</v>
      </c>
      <c r="M61" s="538">
        <v>0.68</v>
      </c>
      <c r="N61" s="22">
        <f>M61*E61</f>
        <v>0</v>
      </c>
      <c r="O61" s="22">
        <f>M61*F61</f>
        <v>0</v>
      </c>
      <c r="P61" s="22">
        <f>M61*G61</f>
        <v>27.397200000000002</v>
      </c>
      <c r="Q61" s="22">
        <f>M61*H61</f>
        <v>14.280000000000001</v>
      </c>
      <c r="R61" s="22">
        <f>M61*I61</f>
        <v>0</v>
      </c>
      <c r="S61" s="22">
        <f>M61*J61</f>
        <v>0</v>
      </c>
      <c r="T61" s="22">
        <f>M61*K61</f>
        <v>15.530452</v>
      </c>
      <c r="U61" s="22">
        <f>M61*L61</f>
        <v>10.792348</v>
      </c>
      <c r="W61" s="590"/>
      <c r="X61" s="590"/>
      <c r="Y61" s="539"/>
    </row>
    <row r="62" spans="1:26" ht="17.25" customHeight="1">
      <c r="A62" s="27"/>
      <c r="B62" s="668">
        <f>'9.Detil Phasing'!B64</f>
        <v>6813</v>
      </c>
      <c r="C62" s="96" t="str">
        <f>'Annex-II'!C63</f>
        <v>Mechinary &amp; Other Equipment</v>
      </c>
      <c r="D62" s="22"/>
      <c r="E62" s="23">
        <f>'Annex-II'!I63</f>
        <v>0</v>
      </c>
      <c r="F62" s="23"/>
      <c r="G62" s="23"/>
      <c r="H62" s="23"/>
      <c r="I62" s="23"/>
      <c r="J62" s="23"/>
      <c r="K62" s="23"/>
      <c r="L62" s="23"/>
      <c r="M62" s="538"/>
      <c r="N62" s="22"/>
      <c r="O62" s="22"/>
      <c r="P62" s="22"/>
      <c r="Q62" s="22"/>
      <c r="R62" s="22"/>
      <c r="S62" s="22"/>
      <c r="T62" s="22"/>
      <c r="U62" s="22"/>
      <c r="W62" s="590"/>
      <c r="X62" s="590"/>
      <c r="Y62" s="539"/>
    </row>
    <row r="63" spans="1:26" ht="51.75" customHeight="1">
      <c r="A63" s="27"/>
      <c r="B63" s="624"/>
      <c r="C63" s="96" t="str">
        <f>'Annex-II'!C64</f>
        <v>Photocopier -7 nos (PMO 2 Nos.,Kishoreganj 1 No., Netrokona 1 No., Sunamganj 1 No., Habiganj 1No.&amp; Brahmanbaria 1 No).</v>
      </c>
      <c r="D63" s="22">
        <f>SUM(E63:L63)</f>
        <v>8.9700000000000006</v>
      </c>
      <c r="E63" s="23">
        <f>'Annex-II'!I64</f>
        <v>3.726</v>
      </c>
      <c r="F63" s="23">
        <f>'Annex-II'!L64</f>
        <v>2.7440000000000002</v>
      </c>
      <c r="G63" s="23">
        <f>'Annex-II'!O64</f>
        <v>2.48</v>
      </c>
      <c r="H63" s="23">
        <f>'Annex-II'!R64</f>
        <v>0</v>
      </c>
      <c r="I63" s="23">
        <f>'Annex-II'!U64</f>
        <v>0</v>
      </c>
      <c r="J63" s="23">
        <f>'Annex-II'!X64</f>
        <v>0</v>
      </c>
      <c r="K63" s="23">
        <f>'Annex-II'!AA64</f>
        <v>1.1399999999999759E-2</v>
      </c>
      <c r="L63" s="23">
        <f>'Annex-II'!AD64</f>
        <v>8.5999999999998161E-3</v>
      </c>
      <c r="M63" s="538">
        <v>0.81200000000000006</v>
      </c>
      <c r="N63" s="22">
        <f>M63*E63</f>
        <v>3.025512</v>
      </c>
      <c r="O63" s="22">
        <f>M63*F63</f>
        <v>2.2281280000000003</v>
      </c>
      <c r="P63" s="22">
        <f>M63*G63</f>
        <v>2.01376</v>
      </c>
      <c r="Q63" s="22">
        <f>M63*H63</f>
        <v>0</v>
      </c>
      <c r="R63" s="22">
        <f>M63*I63</f>
        <v>0</v>
      </c>
      <c r="S63" s="22">
        <f>M63*J63</f>
        <v>0</v>
      </c>
      <c r="T63" s="22">
        <f>M63*K63</f>
        <v>9.2567999999998048E-3</v>
      </c>
      <c r="U63" s="22">
        <f>M63*L63</f>
        <v>6.983199999999851E-3</v>
      </c>
      <c r="W63" s="590">
        <f>SUM(E63:L63)</f>
        <v>8.9700000000000006</v>
      </c>
      <c r="X63" s="590">
        <f>SUM(N63:U63)</f>
        <v>7.2836400000000001</v>
      </c>
      <c r="Y63" s="539">
        <f>M63</f>
        <v>0.81200000000000006</v>
      </c>
      <c r="Z63" s="588">
        <f>W63*Y63</f>
        <v>7.283640000000001</v>
      </c>
    </row>
    <row r="64" spans="1:26" ht="43.5" customHeight="1">
      <c r="A64" s="27"/>
      <c r="B64" s="625"/>
      <c r="C64" s="96" t="str">
        <f>'Annex-II'!C65</f>
        <v>Fax -7 nos (PMO 2 Nos.,Kishoreganj 1 No., Netrokona 1 No., Sunamganj 1 No., Habiganj 1No.&amp; Brahmanbaria 1 No).</v>
      </c>
      <c r="D64" s="22">
        <f>SUM(E64:L64)</f>
        <v>5</v>
      </c>
      <c r="E64" s="23">
        <f>'Annex-II'!I65</f>
        <v>0.79600000000000004</v>
      </c>
      <c r="F64" s="23">
        <f>'Annex-II'!L65</f>
        <v>0</v>
      </c>
      <c r="G64" s="23">
        <f>'Annex-II'!O65</f>
        <v>0</v>
      </c>
      <c r="H64" s="23">
        <f>'Annex-II'!R65</f>
        <v>0</v>
      </c>
      <c r="I64" s="23">
        <f>'Annex-II'!U65</f>
        <v>-6.0000000000000001E-3</v>
      </c>
      <c r="J64" s="23">
        <f>'Annex-II'!X65</f>
        <v>0</v>
      </c>
      <c r="K64" s="23">
        <f>'Annex-II'!AA65</f>
        <v>2.4418000000000002</v>
      </c>
      <c r="L64" s="23">
        <f>'Annex-II'!AD65</f>
        <v>1.7682</v>
      </c>
      <c r="M64" s="538">
        <v>0.81200000000000006</v>
      </c>
      <c r="N64" s="22">
        <f>M64*E64</f>
        <v>0.64635200000000004</v>
      </c>
      <c r="O64" s="22">
        <f>M64*F64</f>
        <v>0</v>
      </c>
      <c r="P64" s="22">
        <f>M64*G64</f>
        <v>0</v>
      </c>
      <c r="Q64" s="22">
        <f>M64*H64</f>
        <v>0</v>
      </c>
      <c r="R64" s="22">
        <f>M64*I64</f>
        <v>-4.8720000000000005E-3</v>
      </c>
      <c r="S64" s="22">
        <f>M64*J64</f>
        <v>0</v>
      </c>
      <c r="T64" s="22">
        <f>M64*K64</f>
        <v>1.9827416000000002</v>
      </c>
      <c r="U64" s="22">
        <f>M64*L64</f>
        <v>1.4357784</v>
      </c>
      <c r="W64" s="590">
        <f>SUM(E64:L64)</f>
        <v>5</v>
      </c>
      <c r="X64" s="590">
        <f>SUM(N64:U64)</f>
        <v>4.0600000000000005</v>
      </c>
      <c r="Y64" s="539">
        <f>M64</f>
        <v>0.81200000000000006</v>
      </c>
      <c r="Z64" s="588">
        <f>W64*Y64</f>
        <v>4.0600000000000005</v>
      </c>
    </row>
    <row r="65" spans="1:26" ht="16.5" customHeight="1">
      <c r="A65" s="27"/>
      <c r="B65" s="668">
        <f>'9.Detil Phasing'!B67</f>
        <v>6814</v>
      </c>
      <c r="C65" s="96" t="str">
        <f>'Annex-II'!C66</f>
        <v>Engineering Equipments</v>
      </c>
      <c r="D65" s="22"/>
      <c r="E65" s="23">
        <f>'Annex-II'!I66</f>
        <v>0</v>
      </c>
      <c r="F65" s="23"/>
      <c r="G65" s="23"/>
      <c r="H65" s="23"/>
      <c r="I65" s="23"/>
      <c r="J65" s="23"/>
      <c r="K65" s="23"/>
      <c r="L65" s="23"/>
      <c r="M65" s="538"/>
      <c r="N65" s="22"/>
      <c r="O65" s="22"/>
      <c r="P65" s="22"/>
      <c r="Q65" s="22"/>
      <c r="R65" s="22"/>
      <c r="S65" s="22"/>
      <c r="T65" s="22"/>
      <c r="U65" s="22"/>
      <c r="W65" s="590"/>
      <c r="X65" s="590"/>
      <c r="Y65" s="539"/>
    </row>
    <row r="66" spans="1:26" ht="39" customHeight="1">
      <c r="A66" s="27"/>
      <c r="B66" s="624"/>
      <c r="C66" s="96" t="str">
        <f>'Annex-II'!C67</f>
        <v>Survey Equipments (Digital leveling Instrument 5 nos., Total Station 2 nos. &amp; Hand Held GPS 10 Nos)</v>
      </c>
      <c r="D66" s="22">
        <f>SUM(E66:L66)</f>
        <v>20.5</v>
      </c>
      <c r="E66" s="23">
        <f>'Annex-II'!I67</f>
        <v>0</v>
      </c>
      <c r="F66" s="23">
        <f>'Annex-II'!L67</f>
        <v>5.55</v>
      </c>
      <c r="G66" s="23">
        <f>'Annex-II'!O67</f>
        <v>11.15</v>
      </c>
      <c r="H66" s="23">
        <f>'Annex-II'!R67</f>
        <v>3.48</v>
      </c>
      <c r="I66" s="23">
        <f>'Annex-II'!U67</f>
        <v>0</v>
      </c>
      <c r="J66" s="23">
        <f>'Annex-II'!X67</f>
        <v>0</v>
      </c>
      <c r="K66" s="23">
        <f>'Annex-II'!AA67</f>
        <v>0.18240000000000009</v>
      </c>
      <c r="L66" s="23">
        <f>'Annex-II'!AD67</f>
        <v>0.13760000000000011</v>
      </c>
      <c r="M66" s="538">
        <v>0.68</v>
      </c>
      <c r="N66" s="22">
        <f>M66*E66</f>
        <v>0</v>
      </c>
      <c r="O66" s="22">
        <f>M66*F66</f>
        <v>3.774</v>
      </c>
      <c r="P66" s="22">
        <f>M66*G66</f>
        <v>7.5820000000000007</v>
      </c>
      <c r="Q66" s="22">
        <f>M66*H66</f>
        <v>2.3664000000000001</v>
      </c>
      <c r="R66" s="22">
        <f>M66*I66</f>
        <v>0</v>
      </c>
      <c r="S66" s="22">
        <f>M66*J66</f>
        <v>0</v>
      </c>
      <c r="T66" s="22">
        <f>M66*K66</f>
        <v>0.12403200000000007</v>
      </c>
      <c r="U66" s="22">
        <f>M66*L66</f>
        <v>9.3568000000000082E-2</v>
      </c>
      <c r="W66" s="590">
        <f>SUM(E66:L66)</f>
        <v>20.5</v>
      </c>
      <c r="X66" s="590">
        <f>SUM(N66:U66)</f>
        <v>13.940000000000001</v>
      </c>
      <c r="Y66" s="539">
        <f>M66</f>
        <v>0.68</v>
      </c>
      <c r="Z66" s="588">
        <f>W66*Y66</f>
        <v>13.940000000000001</v>
      </c>
    </row>
    <row r="67" spans="1:26" ht="53.25" customHeight="1">
      <c r="A67" s="27"/>
      <c r="B67" s="624"/>
      <c r="C67" s="96" t="str">
        <f>'Annex-II'!C68</f>
        <v>Networking Equipment- 6 nos (PMO 1 No., Kishoreganj 1 No., Netrokona 1 No., Sunamganj 1 No., Habiganj 1No.&amp; Brahmanbaria 1 No)</v>
      </c>
      <c r="D67" s="22">
        <f>SUM(E67:L67)</f>
        <v>5.9999999999999991</v>
      </c>
      <c r="E67" s="23">
        <f>'Annex-II'!I68</f>
        <v>0</v>
      </c>
      <c r="F67" s="23">
        <f>'Annex-II'!L68</f>
        <v>0</v>
      </c>
      <c r="G67" s="23">
        <f>'Annex-II'!O68</f>
        <v>0</v>
      </c>
      <c r="H67" s="23">
        <f>'Annex-II'!R68</f>
        <v>2.13</v>
      </c>
      <c r="I67" s="23">
        <f>'Annex-II'!U68</f>
        <v>0</v>
      </c>
      <c r="J67" s="23">
        <f>'Annex-II'!X68</f>
        <v>0</v>
      </c>
      <c r="K67" s="23">
        <f>'Annex-II'!AA68</f>
        <v>2.4380999999999999</v>
      </c>
      <c r="L67" s="23">
        <f>'Annex-II'!AD68</f>
        <v>1.4319</v>
      </c>
      <c r="M67" s="538">
        <v>0.68</v>
      </c>
      <c r="N67" s="22">
        <f>M67*E67</f>
        <v>0</v>
      </c>
      <c r="O67" s="22">
        <f>M67*F67</f>
        <v>0</v>
      </c>
      <c r="P67" s="22">
        <f>M67*G67</f>
        <v>0</v>
      </c>
      <c r="Q67" s="22">
        <f>M67*H67</f>
        <v>1.4484000000000001</v>
      </c>
      <c r="R67" s="22">
        <f>M67*I67</f>
        <v>0</v>
      </c>
      <c r="S67" s="22">
        <f>M67*J67</f>
        <v>0</v>
      </c>
      <c r="T67" s="22">
        <f>M67*K67</f>
        <v>1.6579080000000002</v>
      </c>
      <c r="U67" s="22">
        <f>M67*L67</f>
        <v>0.973692</v>
      </c>
      <c r="W67" s="590">
        <f>SUM(E67:L67)</f>
        <v>5.9999999999999991</v>
      </c>
      <c r="X67" s="590">
        <f>SUM(N67:U67)</f>
        <v>4.08</v>
      </c>
      <c r="Y67" s="539">
        <f>M67</f>
        <v>0.68</v>
      </c>
      <c r="Z67" s="588">
        <f>W67*Y67</f>
        <v>4.08</v>
      </c>
    </row>
    <row r="68" spans="1:26" ht="16.5" customHeight="1">
      <c r="A68" s="27"/>
      <c r="B68" s="625"/>
      <c r="C68" s="96" t="str">
        <f>'Annex-II'!C69</f>
        <v>Engineering Laboratory Equipments for Kishoregonj WD Division</v>
      </c>
      <c r="D68" s="22">
        <f>SUM(E68:L68)</f>
        <v>50</v>
      </c>
      <c r="E68" s="23">
        <f>'Annex-II'!I69</f>
        <v>0</v>
      </c>
      <c r="F68" s="23">
        <f>'Annex-II'!L69</f>
        <v>0</v>
      </c>
      <c r="G68" s="23">
        <f>'Annex-II'!O69</f>
        <v>0</v>
      </c>
      <c r="H68" s="23">
        <f>'Annex-II'!R69</f>
        <v>7.89</v>
      </c>
      <c r="I68" s="23">
        <f>'Annex-II'!U69</f>
        <v>1.6</v>
      </c>
      <c r="J68" s="23">
        <f>'Annex-II'!X69</f>
        <v>5</v>
      </c>
      <c r="K68" s="23">
        <f>'Annex-II'!AA69</f>
        <v>19.5305</v>
      </c>
      <c r="L68" s="23">
        <f>'Annex-II'!AD69</f>
        <v>15.9795</v>
      </c>
      <c r="M68" s="538">
        <v>0.68</v>
      </c>
      <c r="N68" s="22">
        <f>M68*E68</f>
        <v>0</v>
      </c>
      <c r="O68" s="22">
        <f>M68*F68</f>
        <v>0</v>
      </c>
      <c r="P68" s="22">
        <f>M68*G68</f>
        <v>0</v>
      </c>
      <c r="Q68" s="22">
        <f>M68*H68</f>
        <v>5.3651999999999997</v>
      </c>
      <c r="R68" s="22">
        <f>M68*I68</f>
        <v>1.0880000000000001</v>
      </c>
      <c r="S68" s="22">
        <f>M68*J68</f>
        <v>3.4000000000000004</v>
      </c>
      <c r="T68" s="22">
        <f>M68*K68</f>
        <v>13.280740000000002</v>
      </c>
      <c r="U68" s="22">
        <f>M68*L68</f>
        <v>10.866060000000001</v>
      </c>
      <c r="W68" s="590">
        <f>SUM(E68:L68)</f>
        <v>50</v>
      </c>
      <c r="X68" s="590">
        <f>SUM(N68:U68)</f>
        <v>34</v>
      </c>
      <c r="Y68" s="539">
        <f>M68</f>
        <v>0.68</v>
      </c>
      <c r="Z68" s="588">
        <f>W68*Y68</f>
        <v>34</v>
      </c>
    </row>
    <row r="69" spans="1:26" ht="14.25" customHeight="1">
      <c r="A69" s="27"/>
      <c r="B69" s="668">
        <f>'9.Detil Phasing'!B71</f>
        <v>6815</v>
      </c>
      <c r="C69" s="96" t="str">
        <f>'Annex-II'!C70</f>
        <v>Computers &amp; Accessories</v>
      </c>
      <c r="D69" s="22"/>
      <c r="E69" s="23">
        <f>'Annex-II'!I70</f>
        <v>0</v>
      </c>
      <c r="F69" s="23"/>
      <c r="G69" s="23"/>
      <c r="H69" s="23"/>
      <c r="I69" s="23"/>
      <c r="J69" s="23"/>
      <c r="K69" s="23"/>
      <c r="L69" s="23"/>
      <c r="M69" s="538"/>
      <c r="N69" s="22"/>
      <c r="O69" s="22"/>
      <c r="P69" s="22"/>
      <c r="Q69" s="22"/>
      <c r="R69" s="22"/>
      <c r="S69" s="22"/>
      <c r="T69" s="22"/>
      <c r="U69" s="22"/>
      <c r="W69" s="590"/>
      <c r="X69" s="590"/>
      <c r="Y69" s="539"/>
    </row>
    <row r="70" spans="1:26" ht="52.5" customHeight="1">
      <c r="A70" s="27"/>
      <c r="B70" s="624"/>
      <c r="C70" s="96" t="str">
        <f>'Annex-II'!C71</f>
        <v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v>
      </c>
      <c r="D70" s="22">
        <f t="shared" ref="D70:D75" si="29">SUM(E70:L70)</f>
        <v>19.5</v>
      </c>
      <c r="E70" s="23">
        <f>'Annex-II'!I71</f>
        <v>3.879</v>
      </c>
      <c r="F70" s="23">
        <f>'Annex-II'!L71</f>
        <v>7.141</v>
      </c>
      <c r="G70" s="23">
        <f>'Annex-II'!O71</f>
        <v>6.18</v>
      </c>
      <c r="H70" s="23">
        <f>'Annex-II'!R71</f>
        <v>2.27</v>
      </c>
      <c r="I70" s="23">
        <f>'Annex-II'!U71</f>
        <v>0</v>
      </c>
      <c r="J70" s="23">
        <f>'Annex-II'!X71</f>
        <v>0</v>
      </c>
      <c r="K70" s="23">
        <f>'Annex-II'!AA71</f>
        <v>1.8000000000000679E-2</v>
      </c>
      <c r="L70" s="23">
        <f>'Annex-II'!AD71</f>
        <v>1.200000000000045E-2</v>
      </c>
      <c r="M70" s="538">
        <v>0.81200000000000006</v>
      </c>
      <c r="N70" s="22">
        <f t="shared" ref="N70:N75" si="30">M70*E70</f>
        <v>3.1497480000000002</v>
      </c>
      <c r="O70" s="22">
        <f t="shared" ref="O70:O75" si="31">M70*F70</f>
        <v>5.7984920000000004</v>
      </c>
      <c r="P70" s="22">
        <f t="shared" ref="P70:P75" si="32">M70*G70</f>
        <v>5.01816</v>
      </c>
      <c r="Q70" s="22">
        <f t="shared" ref="Q70:Q75" si="33">M70*H70</f>
        <v>1.8432400000000002</v>
      </c>
      <c r="R70" s="22">
        <f t="shared" ref="R70:R75" si="34">M70*I70</f>
        <v>0</v>
      </c>
      <c r="S70" s="22">
        <f t="shared" ref="S70:S75" si="35">M70*J70</f>
        <v>0</v>
      </c>
      <c r="T70" s="22">
        <f t="shared" ref="T70:T75" si="36">M70*K70</f>
        <v>1.4616000000000552E-2</v>
      </c>
      <c r="U70" s="22">
        <f t="shared" ref="U70:U75" si="37">M70*L70</f>
        <v>9.7440000000003652E-3</v>
      </c>
      <c r="W70" s="590">
        <f>SUM(E70:L70)</f>
        <v>19.5</v>
      </c>
      <c r="X70" s="590">
        <f>SUM(N70:U70)</f>
        <v>15.834</v>
      </c>
      <c r="Y70" s="539">
        <f>M70</f>
        <v>0.81200000000000006</v>
      </c>
      <c r="Z70" s="588">
        <f>W70*Y70</f>
        <v>15.834000000000001</v>
      </c>
    </row>
    <row r="71" spans="1:26" ht="51.75" customHeight="1">
      <c r="A71" s="27"/>
      <c r="B71" s="624"/>
      <c r="C71" s="96" t="str">
        <f>'Annex-II'!C72</f>
        <v>Laptop Computer -11 nos (PMO 6 Nos.,Kishoreganj 1 No., Netrokona 1 No., Sunamganj 1 No., Habiganj 1No.&amp; Brahmanbaria 1 No)</v>
      </c>
      <c r="D71" s="22">
        <f t="shared" si="29"/>
        <v>13.75</v>
      </c>
      <c r="E71" s="23">
        <f>'Annex-II'!I72</f>
        <v>3.7440000000000002</v>
      </c>
      <c r="F71" s="23">
        <f>'Annex-II'!L72</f>
        <v>0</v>
      </c>
      <c r="G71" s="23">
        <f>'Annex-II'!O72</f>
        <v>2.9860000000000002</v>
      </c>
      <c r="H71" s="23">
        <f>'Annex-II'!R72</f>
        <v>3.15</v>
      </c>
      <c r="I71" s="23">
        <f>'Annex-II'!U72</f>
        <v>0</v>
      </c>
      <c r="J71" s="23">
        <f>'Annex-II'!X72</f>
        <v>0</v>
      </c>
      <c r="K71" s="23">
        <f>'Annex-II'!AA72</f>
        <v>2.3994</v>
      </c>
      <c r="L71" s="23">
        <f>'Annex-II'!AD72</f>
        <v>1.4705999999999999</v>
      </c>
      <c r="M71" s="538">
        <v>0.81200000000000006</v>
      </c>
      <c r="N71" s="22">
        <f t="shared" si="30"/>
        <v>3.0401280000000002</v>
      </c>
      <c r="O71" s="22">
        <f t="shared" si="31"/>
        <v>0</v>
      </c>
      <c r="P71" s="22">
        <f t="shared" si="32"/>
        <v>2.4246320000000003</v>
      </c>
      <c r="Q71" s="22">
        <f t="shared" si="33"/>
        <v>2.5578000000000003</v>
      </c>
      <c r="R71" s="22">
        <f t="shared" si="34"/>
        <v>0</v>
      </c>
      <c r="S71" s="22">
        <f t="shared" si="35"/>
        <v>0</v>
      </c>
      <c r="T71" s="22">
        <f t="shared" si="36"/>
        <v>1.9483128000000001</v>
      </c>
      <c r="U71" s="22">
        <f t="shared" si="37"/>
        <v>1.1941272000000001</v>
      </c>
      <c r="W71" s="590">
        <f>SUM(E71:L71)</f>
        <v>13.75</v>
      </c>
      <c r="X71" s="590">
        <f>SUM(N71:U71)</f>
        <v>11.165000000000001</v>
      </c>
      <c r="Y71" s="539">
        <f>M71</f>
        <v>0.81200000000000006</v>
      </c>
      <c r="Z71" s="588">
        <f>W71*Y71</f>
        <v>11.165000000000001</v>
      </c>
    </row>
    <row r="72" spans="1:26" ht="19.5" customHeight="1">
      <c r="A72" s="27"/>
      <c r="B72" s="624"/>
      <c r="C72" s="96" t="str">
        <f>'Annex-II'!C73</f>
        <v xml:space="preserve">A3 Combo Printer 2 nos ( PMO) </v>
      </c>
      <c r="D72" s="22">
        <f t="shared" si="29"/>
        <v>1.5</v>
      </c>
      <c r="E72" s="23">
        <f>'Annex-II'!I73</f>
        <v>0</v>
      </c>
      <c r="F72" s="23">
        <f>'Annex-II'!L73</f>
        <v>0.2</v>
      </c>
      <c r="G72" s="23">
        <f>'Annex-II'!O73</f>
        <v>0</v>
      </c>
      <c r="H72" s="23">
        <f>'Annex-II'!R73</f>
        <v>0</v>
      </c>
      <c r="I72" s="23">
        <f>'Annex-II'!U73</f>
        <v>0</v>
      </c>
      <c r="J72" s="23">
        <f>'Annex-II'!X73</f>
        <v>0</v>
      </c>
      <c r="K72" s="23">
        <f>'Annex-II'!AA73</f>
        <v>0.71500000000000008</v>
      </c>
      <c r="L72" s="23">
        <f>'Annex-II'!AD73</f>
        <v>0.58500000000000008</v>
      </c>
      <c r="M72" s="538">
        <v>0.81200000000000006</v>
      </c>
      <c r="N72" s="22">
        <f t="shared" si="30"/>
        <v>0</v>
      </c>
      <c r="O72" s="22">
        <f t="shared" si="31"/>
        <v>0.16240000000000002</v>
      </c>
      <c r="P72" s="22">
        <f t="shared" si="32"/>
        <v>0</v>
      </c>
      <c r="Q72" s="22">
        <f t="shared" si="33"/>
        <v>0</v>
      </c>
      <c r="R72" s="22">
        <f t="shared" si="34"/>
        <v>0</v>
      </c>
      <c r="S72" s="22">
        <f t="shared" si="35"/>
        <v>0</v>
      </c>
      <c r="T72" s="22">
        <f t="shared" si="36"/>
        <v>0.5805800000000001</v>
      </c>
      <c r="U72" s="22">
        <f t="shared" si="37"/>
        <v>0.47502000000000011</v>
      </c>
      <c r="W72" s="590">
        <f>SUM(E72:L72)</f>
        <v>1.5</v>
      </c>
      <c r="X72" s="590">
        <f>SUM(N72:U72)</f>
        <v>1.2180000000000002</v>
      </c>
      <c r="Y72" s="539">
        <f>M72</f>
        <v>0.81200000000000006</v>
      </c>
      <c r="Z72" s="588">
        <f>W72*Y72</f>
        <v>1.218</v>
      </c>
    </row>
    <row r="73" spans="1:26" ht="52.5" customHeight="1">
      <c r="A73" s="27"/>
      <c r="B73" s="625"/>
      <c r="C73" s="96" t="str">
        <f>'Annex-II'!C74</f>
        <v>Laser Printer- 11 nos. (PMO 6 Nos.,Kishoreganj 1 No., Netrokona 1 No., Sunamganj 1 No., Habiganj 1No.&amp; Brahmanbaria 1 No.)</v>
      </c>
      <c r="D73" s="22">
        <f t="shared" si="29"/>
        <v>5.25</v>
      </c>
      <c r="E73" s="23">
        <f>'Annex-II'!I74</f>
        <v>2.97</v>
      </c>
      <c r="F73" s="23">
        <f>'Annex-II'!L74</f>
        <v>0.2</v>
      </c>
      <c r="G73" s="23">
        <f>'Annex-II'!O74</f>
        <v>0</v>
      </c>
      <c r="H73" s="23">
        <f>'Annex-II'!R74</f>
        <v>0.91</v>
      </c>
      <c r="I73" s="23">
        <f>'Annex-II'!U74</f>
        <v>0</v>
      </c>
      <c r="J73" s="23">
        <f>'Annex-II'!X74</f>
        <v>0</v>
      </c>
      <c r="K73" s="23">
        <f>'Annex-II'!AA74</f>
        <v>0.6552</v>
      </c>
      <c r="L73" s="23">
        <f>'Annex-II'!AD74</f>
        <v>0.51479999999999992</v>
      </c>
      <c r="M73" s="538">
        <v>0.81200000000000006</v>
      </c>
      <c r="N73" s="22">
        <f t="shared" si="30"/>
        <v>2.4116400000000002</v>
      </c>
      <c r="O73" s="22">
        <f t="shared" si="31"/>
        <v>0.16240000000000002</v>
      </c>
      <c r="P73" s="22">
        <f t="shared" si="32"/>
        <v>0</v>
      </c>
      <c r="Q73" s="22">
        <f t="shared" si="33"/>
        <v>0.73892000000000002</v>
      </c>
      <c r="R73" s="22">
        <f t="shared" si="34"/>
        <v>0</v>
      </c>
      <c r="S73" s="22">
        <f t="shared" si="35"/>
        <v>0</v>
      </c>
      <c r="T73" s="22">
        <f t="shared" si="36"/>
        <v>0.53202240000000001</v>
      </c>
      <c r="U73" s="22">
        <f t="shared" si="37"/>
        <v>0.41801759999999999</v>
      </c>
      <c r="W73" s="590"/>
      <c r="X73" s="590"/>
      <c r="Y73" s="539"/>
    </row>
    <row r="74" spans="1:26" ht="18" customHeight="1">
      <c r="A74" s="27"/>
      <c r="B74" s="98">
        <v>6821</v>
      </c>
      <c r="C74" s="96" t="str">
        <f>'Annex-II'!C75</f>
        <v>Furnitures &amp; Fixtures</v>
      </c>
      <c r="D74" s="22">
        <f t="shared" si="29"/>
        <v>50</v>
      </c>
      <c r="E74" s="23">
        <f>'Annex-II'!I75</f>
        <v>7.96</v>
      </c>
      <c r="F74" s="23">
        <f>'Annex-II'!L75</f>
        <v>8.44</v>
      </c>
      <c r="G74" s="23">
        <f>'Annex-II'!O75</f>
        <v>8.99</v>
      </c>
      <c r="H74" s="23">
        <f>'Annex-II'!R75</f>
        <v>9.9600000000000009</v>
      </c>
      <c r="I74" s="23">
        <f>'Annex-II'!U75</f>
        <v>9.9700000000000006</v>
      </c>
      <c r="J74" s="23">
        <f>'Annex-II'!X75</f>
        <v>0</v>
      </c>
      <c r="K74" s="23">
        <f>'Annex-II'!AA75</f>
        <v>2.9016000000000002</v>
      </c>
      <c r="L74" s="23">
        <f>'Annex-II'!AD75</f>
        <v>1.7784</v>
      </c>
      <c r="M74" s="538">
        <v>0.81200000000000006</v>
      </c>
      <c r="N74" s="22">
        <f t="shared" si="30"/>
        <v>6.4635200000000008</v>
      </c>
      <c r="O74" s="22">
        <f t="shared" si="31"/>
        <v>6.8532799999999998</v>
      </c>
      <c r="P74" s="22">
        <f t="shared" si="32"/>
        <v>7.2998800000000008</v>
      </c>
      <c r="Q74" s="22">
        <f t="shared" si="33"/>
        <v>8.0875200000000014</v>
      </c>
      <c r="R74" s="22">
        <f t="shared" si="34"/>
        <v>8.0956400000000013</v>
      </c>
      <c r="S74" s="22">
        <f t="shared" si="35"/>
        <v>0</v>
      </c>
      <c r="T74" s="22">
        <f t="shared" si="36"/>
        <v>2.3560992000000005</v>
      </c>
      <c r="U74" s="22">
        <f t="shared" si="37"/>
        <v>1.4440608000000001</v>
      </c>
      <c r="W74" s="590"/>
      <c r="X74" s="590"/>
      <c r="Y74" s="539"/>
    </row>
    <row r="75" spans="1:26" ht="15" customHeight="1">
      <c r="A75" s="27"/>
      <c r="B75" s="90">
        <v>6869</v>
      </c>
      <c r="C75" s="96" t="str">
        <f>'Annex-II'!C76</f>
        <v>Aircooler</v>
      </c>
      <c r="D75" s="22">
        <f t="shared" si="29"/>
        <v>15</v>
      </c>
      <c r="E75" s="23">
        <f>'Annex-II'!I76</f>
        <v>0</v>
      </c>
      <c r="F75" s="23">
        <f>'Annex-II'!L76</f>
        <v>0</v>
      </c>
      <c r="G75" s="23">
        <f>'Annex-II'!O76</f>
        <v>3.77</v>
      </c>
      <c r="H75" s="23">
        <f>'Annex-II'!R76</f>
        <v>2</v>
      </c>
      <c r="I75" s="23">
        <f>'Annex-II'!U76</f>
        <v>3.96</v>
      </c>
      <c r="J75" s="23">
        <f>'Annex-II'!X76</f>
        <v>4</v>
      </c>
      <c r="K75" s="23">
        <f>'Annex-II'!AA76</f>
        <v>0.77469999999999972</v>
      </c>
      <c r="L75" s="23">
        <f>'Annex-II'!AD76</f>
        <v>0.49529999999999991</v>
      </c>
      <c r="M75" s="538">
        <v>0.81200000000000006</v>
      </c>
      <c r="N75" s="22">
        <f t="shared" si="30"/>
        <v>0</v>
      </c>
      <c r="O75" s="22">
        <f t="shared" si="31"/>
        <v>0</v>
      </c>
      <c r="P75" s="22">
        <f t="shared" si="32"/>
        <v>3.0612400000000002</v>
      </c>
      <c r="Q75" s="22">
        <f t="shared" si="33"/>
        <v>1.6240000000000001</v>
      </c>
      <c r="R75" s="22">
        <f t="shared" si="34"/>
        <v>3.2155200000000002</v>
      </c>
      <c r="S75" s="22">
        <f t="shared" si="35"/>
        <v>3.2480000000000002</v>
      </c>
      <c r="T75" s="22">
        <f t="shared" si="36"/>
        <v>0.62905639999999985</v>
      </c>
      <c r="U75" s="22">
        <f t="shared" si="37"/>
        <v>0.40218359999999997</v>
      </c>
      <c r="W75" s="590"/>
      <c r="X75" s="590"/>
      <c r="Y75" s="539"/>
    </row>
    <row r="76" spans="1:26" ht="26.25" customHeight="1">
      <c r="A76" s="27"/>
      <c r="B76" s="97">
        <f>'Annex-II'!B77</f>
        <v>0</v>
      </c>
      <c r="C76" s="33" t="str">
        <f>'Annex-II'!C77</f>
        <v xml:space="preserve">Acquisition/Purchase of lands and  landed properties of Assets: </v>
      </c>
      <c r="D76" s="22"/>
      <c r="E76" s="23">
        <f>'Annex-II'!I77</f>
        <v>0</v>
      </c>
      <c r="F76" s="23"/>
      <c r="G76" s="23"/>
      <c r="H76" s="23"/>
      <c r="I76" s="23"/>
      <c r="J76" s="23"/>
      <c r="K76" s="23"/>
      <c r="L76" s="23"/>
      <c r="M76" s="538"/>
      <c r="N76" s="540"/>
      <c r="O76" s="540"/>
      <c r="P76" s="540"/>
      <c r="Q76" s="540"/>
      <c r="R76" s="22"/>
      <c r="S76" s="22"/>
      <c r="T76" s="22"/>
      <c r="U76" s="22"/>
      <c r="W76" s="590"/>
      <c r="X76" s="590"/>
      <c r="Y76" s="539"/>
    </row>
    <row r="77" spans="1:26" ht="17.25" customHeight="1">
      <c r="A77" s="28"/>
      <c r="B77" s="90">
        <f>'Annex-II'!B78</f>
        <v>4141101</v>
      </c>
      <c r="C77" s="96" t="str">
        <f>'Annex-II'!C78</f>
        <v>Land Acquisition ( 470 hectare)</v>
      </c>
      <c r="D77" s="22">
        <f>SUM(E77:L77)</f>
        <v>24000</v>
      </c>
      <c r="E77" s="23">
        <f>'Annex-II'!I78</f>
        <v>0</v>
      </c>
      <c r="F77" s="23">
        <f>'Annex-II'!L78</f>
        <v>0</v>
      </c>
      <c r="G77" s="23">
        <f>'Annex-II'!O78</f>
        <v>4649.6499999999996</v>
      </c>
      <c r="H77" s="23">
        <f>'Annex-II'!R78</f>
        <v>5794.05</v>
      </c>
      <c r="I77" s="23">
        <f>'Annex-II'!U78</f>
        <v>3879.9</v>
      </c>
      <c r="J77" s="23">
        <f>'Annex-II'!X78</f>
        <v>2049.42</v>
      </c>
      <c r="K77" s="23">
        <f>'Annex-II'!AA78</f>
        <v>4499.9181999999992</v>
      </c>
      <c r="L77" s="23">
        <f>'Annex-II'!AD78</f>
        <v>3127.061799999999</v>
      </c>
      <c r="M77" s="538">
        <v>0.90200000000000002</v>
      </c>
      <c r="N77" s="22">
        <f>M77*E77</f>
        <v>0</v>
      </c>
      <c r="O77" s="22">
        <f>M77*F77</f>
        <v>0</v>
      </c>
      <c r="P77" s="22">
        <f>M77*G77</f>
        <v>4193.9843000000001</v>
      </c>
      <c r="Q77" s="22">
        <f>M77*H77</f>
        <v>5226.2331000000004</v>
      </c>
      <c r="R77" s="22">
        <f>M77*I77</f>
        <v>3499.6698000000001</v>
      </c>
      <c r="S77" s="22">
        <f>M77*J77</f>
        <v>1848.5768400000002</v>
      </c>
      <c r="T77" s="22">
        <f>M77*K77</f>
        <v>4058.9262163999992</v>
      </c>
      <c r="U77" s="22">
        <f>M77*L77</f>
        <v>2820.6097435999991</v>
      </c>
      <c r="V77" s="590"/>
      <c r="W77" s="590">
        <f>SUM(E77:L77)</f>
        <v>24000</v>
      </c>
      <c r="X77" s="590">
        <f>SUM(N77:U77)</f>
        <v>21648</v>
      </c>
      <c r="Y77" s="539">
        <f>M77</f>
        <v>0.90200000000000002</v>
      </c>
      <c r="Z77" s="588">
        <f>W77*Y77</f>
        <v>21648</v>
      </c>
    </row>
    <row r="78" spans="1:26" ht="20.25" customHeight="1">
      <c r="A78" s="229"/>
      <c r="B78" s="97">
        <f>'Annex-II'!B79</f>
        <v>0</v>
      </c>
      <c r="C78" s="33" t="str">
        <f>'Annex-II'!C79</f>
        <v>Construction and Works:</v>
      </c>
      <c r="D78" s="22"/>
      <c r="E78" s="23">
        <f>'Annex-II'!I79</f>
        <v>0</v>
      </c>
      <c r="F78" s="23"/>
      <c r="G78" s="23"/>
      <c r="H78" s="23"/>
      <c r="I78" s="23"/>
      <c r="J78" s="23"/>
      <c r="K78" s="23"/>
      <c r="L78" s="23"/>
      <c r="M78" s="538"/>
      <c r="N78" s="22"/>
      <c r="O78" s="22"/>
      <c r="P78" s="22"/>
      <c r="Q78" s="22"/>
      <c r="R78" s="22"/>
      <c r="S78" s="22"/>
      <c r="T78" s="22"/>
      <c r="U78" s="22"/>
      <c r="W78" s="590"/>
      <c r="X78" s="590"/>
      <c r="Y78" s="539"/>
    </row>
    <row r="79" spans="1:26" ht="12.75" customHeight="1">
      <c r="A79" s="27"/>
      <c r="B79" s="499"/>
      <c r="C79" s="33" t="str">
        <f>'Annex-II'!C80</f>
        <v>Irrigation Infrastructurs :</v>
      </c>
      <c r="D79" s="22"/>
      <c r="E79" s="23">
        <f>'Annex-II'!I80</f>
        <v>0</v>
      </c>
      <c r="F79" s="23"/>
      <c r="G79" s="23"/>
      <c r="H79" s="23"/>
      <c r="I79" s="23"/>
      <c r="J79" s="23"/>
      <c r="K79" s="23"/>
      <c r="L79" s="23"/>
      <c r="M79" s="538"/>
      <c r="N79" s="22"/>
      <c r="O79" s="22"/>
      <c r="P79" s="22"/>
      <c r="Q79" s="22"/>
      <c r="R79" s="22"/>
      <c r="S79" s="22"/>
      <c r="T79" s="22"/>
      <c r="U79" s="22"/>
      <c r="W79" s="590">
        <f>SUM(E79:L79)</f>
        <v>0</v>
      </c>
      <c r="X79" s="590">
        <f>SUM(N79:U79)</f>
        <v>0</v>
      </c>
      <c r="Y79" s="539">
        <f>M79</f>
        <v>0</v>
      </c>
      <c r="Z79" s="588">
        <f>W79*Y79</f>
        <v>0</v>
      </c>
    </row>
    <row r="80" spans="1:26" ht="27" customHeight="1">
      <c r="A80" s="27"/>
      <c r="B80" s="499"/>
      <c r="C80" s="96" t="s">
        <v>110</v>
      </c>
      <c r="D80" s="22">
        <f>SUM(E80:L80)</f>
        <v>1243.55</v>
      </c>
      <c r="E80" s="23">
        <f>'Annex-II'!I81</f>
        <v>0</v>
      </c>
      <c r="F80" s="23">
        <f>'Annex-II'!L81</f>
        <v>0</v>
      </c>
      <c r="G80" s="23">
        <f>'Annex-II'!O81</f>
        <v>0</v>
      </c>
      <c r="H80" s="23">
        <f>'Annex-II'!R81</f>
        <v>0</v>
      </c>
      <c r="I80" s="23">
        <f>'Annex-II'!U81</f>
        <v>116.72</v>
      </c>
      <c r="J80" s="23">
        <f>'Annex-II'!X81</f>
        <v>490.33</v>
      </c>
      <c r="K80" s="23">
        <f>'Annex-II'!AA81</f>
        <v>350.07499999999999</v>
      </c>
      <c r="L80" s="23">
        <f>'Annex-II'!AD81</f>
        <v>286.42500000000001</v>
      </c>
      <c r="M80" s="538">
        <v>0.90200000000000002</v>
      </c>
      <c r="N80" s="22">
        <f>M80*E80</f>
        <v>0</v>
      </c>
      <c r="O80" s="22">
        <f>M80*F80</f>
        <v>0</v>
      </c>
      <c r="P80" s="22">
        <f>M80*G80</f>
        <v>0</v>
      </c>
      <c r="Q80" s="22">
        <f>M80*H80</f>
        <v>0</v>
      </c>
      <c r="R80" s="22">
        <f>M80*I80</f>
        <v>105.28144</v>
      </c>
      <c r="S80" s="22">
        <f>M80*J80</f>
        <v>442.27766000000003</v>
      </c>
      <c r="T80" s="22">
        <f>M80*K80</f>
        <v>315.76765</v>
      </c>
      <c r="U80" s="22">
        <f>M80*L80</f>
        <v>258.35535000000004</v>
      </c>
      <c r="W80" s="590">
        <v>1310</v>
      </c>
      <c r="X80" s="590">
        <v>996.91</v>
      </c>
      <c r="Y80" s="539">
        <v>0.76100000000000001</v>
      </c>
      <c r="Z80" s="588">
        <v>996.91</v>
      </c>
    </row>
    <row r="81" spans="1:26" ht="12.75" customHeight="1">
      <c r="A81" s="27"/>
      <c r="B81" s="500">
        <f>'Annex-II'!B82</f>
        <v>0</v>
      </c>
      <c r="C81" s="33" t="str">
        <f>'Annex-II'!C82</f>
        <v>Drainage Structures :</v>
      </c>
      <c r="D81" s="22"/>
      <c r="E81" s="23">
        <f>'Annex-II'!I82</f>
        <v>0</v>
      </c>
      <c r="F81" s="23"/>
      <c r="G81" s="23"/>
      <c r="H81" s="23"/>
      <c r="I81" s="23"/>
      <c r="J81" s="23"/>
      <c r="K81" s="23"/>
      <c r="L81" s="23"/>
      <c r="M81" s="538"/>
      <c r="N81" s="22"/>
      <c r="O81" s="22"/>
      <c r="P81" s="22"/>
      <c r="Q81" s="22"/>
      <c r="R81" s="22"/>
      <c r="S81" s="22"/>
      <c r="T81" s="22"/>
      <c r="U81" s="22"/>
      <c r="W81" s="590">
        <f>SUM(E81:L81)</f>
        <v>0</v>
      </c>
      <c r="X81" s="590">
        <f>SUM(N81:U81)</f>
        <v>0</v>
      </c>
      <c r="Y81" s="539">
        <f>M81</f>
        <v>0</v>
      </c>
      <c r="Z81" s="588">
        <f>W81*Y81</f>
        <v>0</v>
      </c>
    </row>
    <row r="82" spans="1:26" ht="38.25" customHeight="1">
      <c r="A82" s="27"/>
      <c r="B82" s="501"/>
      <c r="C82" s="96" t="str">
        <f>'Annex-II'!C83</f>
        <v xml:space="preserve"> Re-installation/Construction of Regulator/Causeway (Rehabilitation Sub-Projects)</v>
      </c>
      <c r="D82" s="22">
        <f>SUM(E82:L82)</f>
        <v>461.62</v>
      </c>
      <c r="E82" s="23">
        <f>'Annex-II'!I83</f>
        <v>0</v>
      </c>
      <c r="F82" s="23">
        <f>'Annex-II'!L83</f>
        <v>0</v>
      </c>
      <c r="G82" s="23">
        <f>'Annex-II'!O83</f>
        <v>0</v>
      </c>
      <c r="H82" s="23">
        <f>'Annex-II'!R83</f>
        <v>0</v>
      </c>
      <c r="I82" s="23">
        <f>'Annex-II'!U83</f>
        <v>0</v>
      </c>
      <c r="J82" s="23">
        <f>'Annex-II'!X83</f>
        <v>0</v>
      </c>
      <c r="K82" s="23">
        <f>'Annex-II'!AA83</f>
        <v>281.58819999999997</v>
      </c>
      <c r="L82" s="23">
        <f>'Annex-II'!AD83</f>
        <v>180.0318</v>
      </c>
      <c r="M82" s="538">
        <v>0.76500000000000001</v>
      </c>
      <c r="N82" s="22">
        <f>M82*E82</f>
        <v>0</v>
      </c>
      <c r="O82" s="22">
        <f>M82*F82</f>
        <v>0</v>
      </c>
      <c r="P82" s="22">
        <f>M82*G82</f>
        <v>0</v>
      </c>
      <c r="Q82" s="22">
        <f>M82*H82</f>
        <v>0</v>
      </c>
      <c r="R82" s="22">
        <f>M82*I82</f>
        <v>0</v>
      </c>
      <c r="S82" s="22">
        <f>M82*J82</f>
        <v>0</v>
      </c>
      <c r="T82" s="22">
        <f>M82*K82</f>
        <v>215.41497299999997</v>
      </c>
      <c r="U82" s="22">
        <f>M82*L82</f>
        <v>137.72432700000002</v>
      </c>
      <c r="W82" s="590">
        <f>SUM(E82:L82)</f>
        <v>461.62</v>
      </c>
      <c r="X82" s="590">
        <f>SUM(N82:U82)</f>
        <v>353.13929999999999</v>
      </c>
      <c r="Y82" s="539">
        <f>M82</f>
        <v>0.76500000000000001</v>
      </c>
      <c r="Z82" s="588">
        <f>W82*Y82</f>
        <v>353.13929999999999</v>
      </c>
    </row>
    <row r="83" spans="1:26" ht="43.5" customHeight="1">
      <c r="A83" s="27"/>
      <c r="B83" s="501"/>
      <c r="C83" s="96" t="str">
        <f>'Annex-II'!C84</f>
        <v xml:space="preserve"> Installation/Construction of New Regulators/Causeway/Bridge/Box Drainage Outlet) (New Haors)</v>
      </c>
      <c r="D83" s="22">
        <f>SUM(E83:L83)</f>
        <v>19083.949999999997</v>
      </c>
      <c r="E83" s="23">
        <f>'Annex-II'!I84</f>
        <v>0</v>
      </c>
      <c r="F83" s="23">
        <f>'Annex-II'!L84</f>
        <v>0</v>
      </c>
      <c r="G83" s="23">
        <f>'Annex-II'!O84</f>
        <v>293.14999999999998</v>
      </c>
      <c r="H83" s="23">
        <f>'Annex-II'!R84</f>
        <v>2773.9</v>
      </c>
      <c r="I83" s="23">
        <f>'Annex-II'!U84</f>
        <v>3076.61</v>
      </c>
      <c r="J83" s="23">
        <f>'Annex-II'!X84</f>
        <v>8105.58</v>
      </c>
      <c r="K83" s="23">
        <f>'Annex-II'!AA84</f>
        <v>2949.1731</v>
      </c>
      <c r="L83" s="23">
        <f>'Annex-II'!AD84</f>
        <v>1885.536900000001</v>
      </c>
      <c r="M83" s="538">
        <v>0.76500000000000001</v>
      </c>
      <c r="N83" s="22">
        <f>M83*E83</f>
        <v>0</v>
      </c>
      <c r="O83" s="22">
        <f>M83*F83</f>
        <v>0</v>
      </c>
      <c r="P83" s="22">
        <f>M83*G83</f>
        <v>224.25975</v>
      </c>
      <c r="Q83" s="22">
        <f>M83*H83</f>
        <v>2122.0335</v>
      </c>
      <c r="R83" s="22">
        <f>M83*I83</f>
        <v>2353.6066500000002</v>
      </c>
      <c r="S83" s="22">
        <f>M83*J83</f>
        <v>6200.7686999999996</v>
      </c>
      <c r="T83" s="22">
        <f>M83*K83</f>
        <v>2256.1174215000001</v>
      </c>
      <c r="U83" s="22">
        <f>M83*L83</f>
        <v>1442.4357285000008</v>
      </c>
      <c r="W83" s="590">
        <f>SUM(E83:L83)</f>
        <v>19083.949999999997</v>
      </c>
      <c r="X83" s="590">
        <f>SUM(N83:U83)</f>
        <v>14599.221750000001</v>
      </c>
      <c r="Y83" s="539">
        <f>M83</f>
        <v>0.76500000000000001</v>
      </c>
      <c r="Z83" s="588">
        <f>W83*Y83</f>
        <v>14599.221749999999</v>
      </c>
    </row>
    <row r="84" spans="1:26" ht="39.75" customHeight="1">
      <c r="A84" s="27"/>
      <c r="B84" s="501"/>
      <c r="C84" s="96" t="str">
        <f>'Annex-II'!C85</f>
        <v xml:space="preserve"> Re-excavation of Khal/River (New Haors) (Earth Volume: 68.97 Lakh cum)</v>
      </c>
      <c r="D84" s="22">
        <f>SUM(E84:L84)</f>
        <v>9948.16</v>
      </c>
      <c r="E84" s="23">
        <f>'Annex-II'!I85</f>
        <v>0</v>
      </c>
      <c r="F84" s="23">
        <f>'Annex-II'!L85</f>
        <v>0</v>
      </c>
      <c r="G84" s="23">
        <f>'Annex-II'!O85</f>
        <v>349.16</v>
      </c>
      <c r="H84" s="23">
        <f>'Annex-II'!R85</f>
        <v>840.8</v>
      </c>
      <c r="I84" s="23">
        <f>'Annex-II'!U85</f>
        <v>4821.5200000000004</v>
      </c>
      <c r="J84" s="23">
        <f>'Annex-II'!X85</f>
        <v>3936.68</v>
      </c>
      <c r="K84" s="23">
        <f>'Annex-II'!AA85</f>
        <v>0</v>
      </c>
      <c r="L84" s="23">
        <f>'Annex-II'!AD85</f>
        <v>0</v>
      </c>
      <c r="M84" s="538">
        <v>0.76100000000000001</v>
      </c>
      <c r="N84" s="22">
        <f>M84*E84</f>
        <v>0</v>
      </c>
      <c r="O84" s="22">
        <f>M84*F84</f>
        <v>0</v>
      </c>
      <c r="P84" s="22">
        <f>M84*G84</f>
        <v>265.71076000000005</v>
      </c>
      <c r="Q84" s="22">
        <f>M84*H84</f>
        <v>639.84879999999998</v>
      </c>
      <c r="R84" s="22">
        <f>M84*I84</f>
        <v>3669.1767200000004</v>
      </c>
      <c r="S84" s="22">
        <f>M84*J84</f>
        <v>2995.8134799999998</v>
      </c>
      <c r="T84" s="22">
        <f>M84*K84</f>
        <v>0</v>
      </c>
      <c r="U84" s="22">
        <f>M84*L84</f>
        <v>0</v>
      </c>
      <c r="W84" s="590">
        <f>SUM(E84:L84)</f>
        <v>9948.16</v>
      </c>
      <c r="X84" s="590">
        <f>SUM(N84:U84)</f>
        <v>7570.5497599999999</v>
      </c>
      <c r="Y84" s="539">
        <f>M84</f>
        <v>0.76100000000000001</v>
      </c>
      <c r="Z84" s="588">
        <f>W84*Y84</f>
        <v>7570.5497599999999</v>
      </c>
    </row>
    <row r="85" spans="1:26" ht="15" customHeight="1">
      <c r="A85" s="27"/>
      <c r="B85" s="666">
        <f>'Annex-II'!B86</f>
        <v>0</v>
      </c>
      <c r="C85" s="33" t="str">
        <f>'Annex-II'!C86</f>
        <v>Others:</v>
      </c>
      <c r="D85" s="22"/>
      <c r="E85" s="23">
        <f>'Annex-II'!I86</f>
        <v>0</v>
      </c>
      <c r="F85" s="23"/>
      <c r="G85" s="23"/>
      <c r="H85" s="23"/>
      <c r="I85" s="23"/>
      <c r="J85" s="23"/>
      <c r="K85" s="23"/>
      <c r="L85" s="23"/>
      <c r="M85" s="538"/>
      <c r="N85" s="22"/>
      <c r="O85" s="22"/>
      <c r="P85" s="22"/>
      <c r="Q85" s="22"/>
      <c r="R85" s="22"/>
      <c r="S85" s="22"/>
      <c r="T85" s="22"/>
      <c r="U85" s="22"/>
      <c r="W85" s="590"/>
      <c r="X85" s="590"/>
      <c r="Y85" s="539"/>
    </row>
    <row r="86" spans="1:26" ht="52.5" customHeight="1">
      <c r="A86" s="27"/>
      <c r="B86" s="624"/>
      <c r="C86" s="96" t="str">
        <f>'Annex-II'!C87</f>
        <v xml:space="preserve"> Re-excavation of Khal/River (Rehabilitation Sub-Projects) (Earth Volume: 28.01 Lakh cum)</v>
      </c>
      <c r="D86" s="22">
        <f t="shared" ref="D86:D94" si="38">SUM(E86:L86)</f>
        <v>3168.2299999999996</v>
      </c>
      <c r="E86" s="23">
        <f>'Annex-II'!I87</f>
        <v>0</v>
      </c>
      <c r="F86" s="23">
        <f>'Annex-II'!L87</f>
        <v>0</v>
      </c>
      <c r="G86" s="23">
        <f>'Annex-II'!O87</f>
        <v>0</v>
      </c>
      <c r="H86" s="23">
        <f>'Annex-II'!R87</f>
        <v>0</v>
      </c>
      <c r="I86" s="23">
        <f>'Annex-II'!U87</f>
        <v>455.04</v>
      </c>
      <c r="J86" s="23">
        <f>'Annex-II'!X87</f>
        <v>900.73</v>
      </c>
      <c r="K86" s="23">
        <f>'Annex-II'!AA87</f>
        <v>1033.1022</v>
      </c>
      <c r="L86" s="23">
        <f>'Annex-II'!AD87</f>
        <v>779.3578</v>
      </c>
      <c r="M86" s="538">
        <v>0.76100000000000001</v>
      </c>
      <c r="N86" s="22">
        <f t="shared" ref="N86:N94" si="39">M86*E86</f>
        <v>0</v>
      </c>
      <c r="O86" s="22">
        <f t="shared" ref="O86:O94" si="40">M86*F86</f>
        <v>0</v>
      </c>
      <c r="P86" s="22">
        <f t="shared" ref="P86:P94" si="41">M86*G86</f>
        <v>0</v>
      </c>
      <c r="Q86" s="22">
        <f t="shared" ref="Q86:Q94" si="42">M86*H86</f>
        <v>0</v>
      </c>
      <c r="R86" s="22">
        <f t="shared" ref="R86:R94" si="43">M86*I86</f>
        <v>346.28543999999999</v>
      </c>
      <c r="S86" s="22">
        <f t="shared" ref="S86:S94" si="44">M86*J86</f>
        <v>685.45553000000007</v>
      </c>
      <c r="T86" s="22">
        <f t="shared" ref="T86:T94" si="45">M86*K86</f>
        <v>786.19077420000008</v>
      </c>
      <c r="U86" s="22">
        <f t="shared" ref="U86:U94" si="46">M86*L86</f>
        <v>593.09128580000004</v>
      </c>
      <c r="W86" s="590">
        <f t="shared" ref="W86:W94" si="47">SUM(E86:L86)</f>
        <v>3168.2299999999996</v>
      </c>
      <c r="X86" s="590">
        <f t="shared" ref="X86:X94" si="48">SUM(N86:U86)</f>
        <v>2411.0230300000003</v>
      </c>
      <c r="Y86" s="539">
        <f t="shared" ref="Y86:Y94" si="49">M86</f>
        <v>0.76100000000000001</v>
      </c>
      <c r="Z86" s="588">
        <f t="shared" ref="Z86:Z94" si="50">W86*Y86</f>
        <v>2411.0230299999998</v>
      </c>
    </row>
    <row r="87" spans="1:26" ht="51.75" customHeight="1">
      <c r="A87" s="27"/>
      <c r="B87" s="624"/>
      <c r="C87" s="96" t="str">
        <f>'Annex-II'!C88</f>
        <v xml:space="preserve"> Rehabilitation of Full Embankment (Resection/construction) (Rehabilitation Sub-Projects) (Earth Volume: 10.63 lakh cum)</v>
      </c>
      <c r="D87" s="22">
        <f t="shared" si="38"/>
        <v>1752.0100000000002</v>
      </c>
      <c r="E87" s="23">
        <f>'Annex-II'!I88</f>
        <v>0</v>
      </c>
      <c r="F87" s="23">
        <f>'Annex-II'!L88</f>
        <v>0</v>
      </c>
      <c r="G87" s="23">
        <f>'Annex-II'!O88</f>
        <v>0</v>
      </c>
      <c r="H87" s="23">
        <f>'Annex-II'!R88</f>
        <v>0</v>
      </c>
      <c r="I87" s="23">
        <f>'Annex-II'!U88</f>
        <v>452.46</v>
      </c>
      <c r="J87" s="23">
        <f>'Annex-II'!X88</f>
        <v>913.26</v>
      </c>
      <c r="K87" s="23">
        <f>'Annex-II'!AA88</f>
        <v>220.18530000000001</v>
      </c>
      <c r="L87" s="23">
        <f>'Annex-II'!AD88</f>
        <v>166.10470000000001</v>
      </c>
      <c r="M87" s="538">
        <v>0.76100000000000001</v>
      </c>
      <c r="N87" s="22">
        <f t="shared" si="39"/>
        <v>0</v>
      </c>
      <c r="O87" s="22">
        <f t="shared" si="40"/>
        <v>0</v>
      </c>
      <c r="P87" s="22">
        <f t="shared" si="41"/>
        <v>0</v>
      </c>
      <c r="Q87" s="22">
        <f t="shared" si="42"/>
        <v>0</v>
      </c>
      <c r="R87" s="22">
        <f t="shared" si="43"/>
        <v>344.32205999999996</v>
      </c>
      <c r="S87" s="22">
        <f t="shared" si="44"/>
        <v>694.99086</v>
      </c>
      <c r="T87" s="22">
        <f t="shared" si="45"/>
        <v>167.56101330000001</v>
      </c>
      <c r="U87" s="22">
        <f t="shared" si="46"/>
        <v>126.40567670000001</v>
      </c>
      <c r="W87" s="590">
        <f t="shared" si="47"/>
        <v>1752.0100000000002</v>
      </c>
      <c r="X87" s="590">
        <f t="shared" si="48"/>
        <v>1333.2796099999998</v>
      </c>
      <c r="Y87" s="539">
        <f t="shared" si="49"/>
        <v>0.76100000000000001</v>
      </c>
      <c r="Z87" s="588">
        <f t="shared" si="50"/>
        <v>1333.2796100000003</v>
      </c>
    </row>
    <row r="88" spans="1:26" ht="52.5" customHeight="1">
      <c r="A88" s="27"/>
      <c r="B88" s="624"/>
      <c r="C88" s="96" t="str">
        <f>'Annex-II'!C89</f>
        <v xml:space="preserve"> Rehabilitation of Submergible Embankment  (Resection/construction)  (Rehabilitation Sub-Projects) (Earth Volume: 7.43 lakh cum)</v>
      </c>
      <c r="D88" s="22">
        <f t="shared" si="38"/>
        <v>1508.76</v>
      </c>
      <c r="E88" s="23">
        <f>'Annex-II'!I89</f>
        <v>0</v>
      </c>
      <c r="F88" s="23">
        <f>'Annex-II'!L89</f>
        <v>0</v>
      </c>
      <c r="G88" s="23">
        <f>'Annex-II'!O89</f>
        <v>0</v>
      </c>
      <c r="H88" s="23">
        <f>'Annex-II'!R89</f>
        <v>0</v>
      </c>
      <c r="I88" s="23">
        <f>'Annex-II'!U89</f>
        <v>341.85</v>
      </c>
      <c r="J88" s="23">
        <f>'Annex-II'!X89</f>
        <v>657.55</v>
      </c>
      <c r="K88" s="23">
        <f>'Annex-II'!AA89</f>
        <v>320.89679999999998</v>
      </c>
      <c r="L88" s="23">
        <f>'Annex-II'!AD89</f>
        <v>188.4632</v>
      </c>
      <c r="M88" s="538">
        <v>0.76100000000000001</v>
      </c>
      <c r="N88" s="22">
        <f t="shared" si="39"/>
        <v>0</v>
      </c>
      <c r="O88" s="22">
        <f t="shared" si="40"/>
        <v>0</v>
      </c>
      <c r="P88" s="22">
        <f t="shared" si="41"/>
        <v>0</v>
      </c>
      <c r="Q88" s="22">
        <f t="shared" si="42"/>
        <v>0</v>
      </c>
      <c r="R88" s="22">
        <f t="shared" si="43"/>
        <v>260.14785000000001</v>
      </c>
      <c r="S88" s="22">
        <f t="shared" si="44"/>
        <v>500.39554999999996</v>
      </c>
      <c r="T88" s="22">
        <f t="shared" si="45"/>
        <v>244.2024648</v>
      </c>
      <c r="U88" s="22">
        <f t="shared" si="46"/>
        <v>143.4204952</v>
      </c>
      <c r="W88" s="590">
        <f t="shared" si="47"/>
        <v>1508.76</v>
      </c>
      <c r="X88" s="590">
        <f t="shared" si="48"/>
        <v>1148.1663600000002</v>
      </c>
      <c r="Y88" s="539">
        <f t="shared" si="49"/>
        <v>0.76100000000000001</v>
      </c>
      <c r="Z88" s="588">
        <f t="shared" si="50"/>
        <v>1148.1663599999999</v>
      </c>
    </row>
    <row r="89" spans="1:26" ht="39" customHeight="1">
      <c r="A89" s="27"/>
      <c r="B89" s="624"/>
      <c r="C89" s="96" t="str">
        <f>'Annex-II'!C90</f>
        <v>Construction of Submersible Embankment (New Haors) (Earth Volume: 25.68 lakh cum)</v>
      </c>
      <c r="D89" s="22">
        <f t="shared" si="38"/>
        <v>10777.83</v>
      </c>
      <c r="E89" s="23">
        <f>'Annex-II'!I90</f>
        <v>0</v>
      </c>
      <c r="F89" s="23">
        <f>'Annex-II'!L90</f>
        <v>0</v>
      </c>
      <c r="G89" s="23">
        <f>'Annex-II'!O90</f>
        <v>336.91</v>
      </c>
      <c r="H89" s="23">
        <f>'Annex-II'!R90</f>
        <v>3910</v>
      </c>
      <c r="I89" s="23">
        <f>'Annex-II'!U90</f>
        <v>1880.15</v>
      </c>
      <c r="J89" s="23">
        <f>'Annex-II'!X90</f>
        <v>4650.7700000000004</v>
      </c>
      <c r="K89" s="23">
        <f>'Annex-II'!AA90</f>
        <v>0</v>
      </c>
      <c r="L89" s="23">
        <f>'Annex-II'!AD90</f>
        <v>0</v>
      </c>
      <c r="M89" s="538">
        <v>0.76100000000000001</v>
      </c>
      <c r="N89" s="22">
        <f t="shared" si="39"/>
        <v>0</v>
      </c>
      <c r="O89" s="22">
        <f t="shared" si="40"/>
        <v>0</v>
      </c>
      <c r="P89" s="22">
        <f t="shared" si="41"/>
        <v>256.38851</v>
      </c>
      <c r="Q89" s="22">
        <f t="shared" si="42"/>
        <v>2975.51</v>
      </c>
      <c r="R89" s="22">
        <f t="shared" si="43"/>
        <v>1430.7941500000002</v>
      </c>
      <c r="S89" s="22">
        <f t="shared" si="44"/>
        <v>3539.2359700000002</v>
      </c>
      <c r="T89" s="22">
        <f t="shared" si="45"/>
        <v>0</v>
      </c>
      <c r="U89" s="22">
        <f t="shared" si="46"/>
        <v>0</v>
      </c>
      <c r="W89" s="590">
        <f t="shared" si="47"/>
        <v>10777.83</v>
      </c>
      <c r="X89" s="590">
        <f t="shared" si="48"/>
        <v>8201.9286300000003</v>
      </c>
      <c r="Y89" s="539">
        <f t="shared" si="49"/>
        <v>0.76100000000000001</v>
      </c>
      <c r="Z89" s="588">
        <f t="shared" si="50"/>
        <v>8201.9286300000003</v>
      </c>
    </row>
    <row r="90" spans="1:26" ht="18" customHeight="1">
      <c r="A90" s="27"/>
      <c r="B90" s="624"/>
      <c r="C90" s="96" t="str">
        <f>'Annex-II'!C91</f>
        <v xml:space="preserve"> Rehabilitation of Regulator (New Haors)</v>
      </c>
      <c r="D90" s="22">
        <f t="shared" si="38"/>
        <v>154.12</v>
      </c>
      <c r="E90" s="23">
        <f>'Annex-II'!I91</f>
        <v>0</v>
      </c>
      <c r="F90" s="23">
        <f>'Annex-II'!L91</f>
        <v>0</v>
      </c>
      <c r="G90" s="23">
        <f>'Annex-II'!O91</f>
        <v>0</v>
      </c>
      <c r="H90" s="23">
        <f>'Annex-II'!R91</f>
        <v>0</v>
      </c>
      <c r="I90" s="23">
        <f>'Annex-II'!U91</f>
        <v>73.260000000000005</v>
      </c>
      <c r="J90" s="23">
        <f>'Annex-II'!X91</f>
        <v>0</v>
      </c>
      <c r="K90" s="23">
        <f>'Annex-II'!AA91</f>
        <v>50.133200000000002</v>
      </c>
      <c r="L90" s="23">
        <f>'Annex-II'!AD91</f>
        <v>30.726800000000001</v>
      </c>
      <c r="M90" s="538">
        <v>0.76100000000000001</v>
      </c>
      <c r="N90" s="22">
        <f t="shared" si="39"/>
        <v>0</v>
      </c>
      <c r="O90" s="22">
        <f t="shared" si="40"/>
        <v>0</v>
      </c>
      <c r="P90" s="22">
        <f t="shared" si="41"/>
        <v>0</v>
      </c>
      <c r="Q90" s="22">
        <f t="shared" si="42"/>
        <v>0</v>
      </c>
      <c r="R90" s="22">
        <f t="shared" si="43"/>
        <v>55.750860000000003</v>
      </c>
      <c r="S90" s="22">
        <f t="shared" si="44"/>
        <v>0</v>
      </c>
      <c r="T90" s="22">
        <f t="shared" si="45"/>
        <v>38.151365200000001</v>
      </c>
      <c r="U90" s="22">
        <f t="shared" si="46"/>
        <v>23.383094800000002</v>
      </c>
      <c r="W90" s="590">
        <f t="shared" si="47"/>
        <v>154.12</v>
      </c>
      <c r="X90" s="590">
        <f t="shared" si="48"/>
        <v>117.28532000000001</v>
      </c>
      <c r="Y90" s="539">
        <f t="shared" si="49"/>
        <v>0.76100000000000001</v>
      </c>
      <c r="Z90" s="588">
        <f t="shared" si="50"/>
        <v>117.28532</v>
      </c>
    </row>
    <row r="91" spans="1:26" s="614" customFormat="1" ht="18" customHeight="1">
      <c r="A91" s="27"/>
      <c r="B91" s="624"/>
      <c r="C91" s="96"/>
      <c r="D91" s="22"/>
      <c r="E91" s="23"/>
      <c r="F91" s="23"/>
      <c r="G91" s="23"/>
      <c r="H91" s="23"/>
      <c r="I91" s="23"/>
      <c r="J91" s="23"/>
      <c r="K91" s="23"/>
      <c r="L91" s="23"/>
      <c r="M91" s="538"/>
      <c r="N91" s="22"/>
      <c r="O91" s="22"/>
      <c r="P91" s="22"/>
      <c r="Q91" s="22"/>
      <c r="R91" s="22"/>
      <c r="S91" s="22"/>
      <c r="T91" s="22"/>
      <c r="U91" s="22"/>
      <c r="W91" s="615"/>
      <c r="X91" s="615"/>
      <c r="Y91" s="539"/>
    </row>
    <row r="92" spans="1:26" s="614" customFormat="1" ht="18" customHeight="1">
      <c r="A92" s="27"/>
      <c r="B92" s="624"/>
      <c r="C92" s="96"/>
      <c r="D92" s="22"/>
      <c r="E92" s="23"/>
      <c r="F92" s="23"/>
      <c r="G92" s="23"/>
      <c r="H92" s="23"/>
      <c r="I92" s="23"/>
      <c r="J92" s="23"/>
      <c r="K92" s="23"/>
      <c r="L92" s="23"/>
      <c r="M92" s="538"/>
      <c r="N92" s="22"/>
      <c r="O92" s="22"/>
      <c r="P92" s="22"/>
      <c r="Q92" s="22"/>
      <c r="R92" s="22"/>
      <c r="S92" s="22"/>
      <c r="T92" s="22"/>
      <c r="U92" s="22"/>
      <c r="W92" s="615"/>
      <c r="X92" s="615"/>
      <c r="Y92" s="539"/>
    </row>
    <row r="93" spans="1:26" ht="16.5" customHeight="1">
      <c r="A93" s="27"/>
      <c r="B93" s="624"/>
      <c r="C93" s="96" t="str">
        <f>'Annex-II'!C94</f>
        <v>Construction of WMG Office</v>
      </c>
      <c r="D93" s="22">
        <f t="shared" si="38"/>
        <v>2100</v>
      </c>
      <c r="E93" s="23">
        <f>'Annex-II'!I94</f>
        <v>0</v>
      </c>
      <c r="F93" s="23">
        <f>'Annex-II'!L94</f>
        <v>0</v>
      </c>
      <c r="G93" s="23">
        <f>'Annex-II'!O94</f>
        <v>0</v>
      </c>
      <c r="H93" s="23">
        <f>'Annex-II'!R94</f>
        <v>0</v>
      </c>
      <c r="I93" s="23">
        <f>'Annex-II'!U94</f>
        <v>42.09</v>
      </c>
      <c r="J93" s="23">
        <f>'Annex-II'!X94</f>
        <v>348.14</v>
      </c>
      <c r="K93" s="23">
        <f>'Annex-II'!AA94</f>
        <v>1008.7643</v>
      </c>
      <c r="L93" s="23">
        <f>'Annex-II'!AD94</f>
        <v>701.00569999999993</v>
      </c>
      <c r="M93" s="538">
        <v>0.76500000000000001</v>
      </c>
      <c r="N93" s="22">
        <f t="shared" si="39"/>
        <v>0</v>
      </c>
      <c r="O93" s="22">
        <f t="shared" si="40"/>
        <v>0</v>
      </c>
      <c r="P93" s="22">
        <f t="shared" si="41"/>
        <v>0</v>
      </c>
      <c r="Q93" s="22">
        <f t="shared" si="42"/>
        <v>0</v>
      </c>
      <c r="R93" s="22">
        <f t="shared" si="43"/>
        <v>32.19885</v>
      </c>
      <c r="S93" s="22">
        <f t="shared" si="44"/>
        <v>266.32709999999997</v>
      </c>
      <c r="T93" s="22">
        <f t="shared" si="45"/>
        <v>771.70468950000009</v>
      </c>
      <c r="U93" s="22">
        <f t="shared" si="46"/>
        <v>536.26936049999995</v>
      </c>
      <c r="W93" s="590">
        <f t="shared" si="47"/>
        <v>2100</v>
      </c>
      <c r="X93" s="590">
        <f t="shared" si="48"/>
        <v>1606.5</v>
      </c>
      <c r="Y93" s="539">
        <f t="shared" si="49"/>
        <v>0.76500000000000001</v>
      </c>
      <c r="Z93" s="588">
        <f t="shared" si="50"/>
        <v>1606.5</v>
      </c>
    </row>
    <row r="94" spans="1:26" ht="16.5" customHeight="1">
      <c r="A94" s="27"/>
      <c r="B94" s="625"/>
      <c r="C94" s="96" t="str">
        <f>'Annex-II'!C95</f>
        <v>O &amp; M during Construction</v>
      </c>
      <c r="D94" s="22">
        <f t="shared" si="38"/>
        <v>200</v>
      </c>
      <c r="E94" s="23">
        <f>'Annex-II'!I95</f>
        <v>0</v>
      </c>
      <c r="F94" s="23">
        <f>'Annex-II'!L95</f>
        <v>0</v>
      </c>
      <c r="G94" s="23">
        <f>'Annex-II'!O95</f>
        <v>0</v>
      </c>
      <c r="H94" s="23">
        <f>'Annex-II'!R95</f>
        <v>0</v>
      </c>
      <c r="I94" s="23">
        <f>'Annex-II'!U95</f>
        <v>0</v>
      </c>
      <c r="J94" s="23">
        <f>'Annex-II'!X95</f>
        <v>0</v>
      </c>
      <c r="K94" s="23">
        <f>'Annex-II'!AA95</f>
        <v>114</v>
      </c>
      <c r="L94" s="23">
        <f>'Annex-II'!AD95</f>
        <v>86</v>
      </c>
      <c r="M94" s="538">
        <v>0.76100000000000001</v>
      </c>
      <c r="N94" s="22">
        <f t="shared" si="39"/>
        <v>0</v>
      </c>
      <c r="O94" s="22">
        <f t="shared" si="40"/>
        <v>0</v>
      </c>
      <c r="P94" s="22">
        <f t="shared" si="41"/>
        <v>0</v>
      </c>
      <c r="Q94" s="22">
        <f t="shared" si="42"/>
        <v>0</v>
      </c>
      <c r="R94" s="22">
        <f t="shared" si="43"/>
        <v>0</v>
      </c>
      <c r="S94" s="22">
        <f t="shared" si="44"/>
        <v>0</v>
      </c>
      <c r="T94" s="22">
        <f t="shared" si="45"/>
        <v>86.754000000000005</v>
      </c>
      <c r="U94" s="22">
        <f t="shared" si="46"/>
        <v>65.445999999999998</v>
      </c>
      <c r="W94" s="590">
        <f t="shared" si="47"/>
        <v>200</v>
      </c>
      <c r="X94" s="590">
        <f t="shared" si="48"/>
        <v>152.19999999999999</v>
      </c>
      <c r="Y94" s="539">
        <f t="shared" si="49"/>
        <v>0.76100000000000001</v>
      </c>
      <c r="Z94" s="588">
        <f t="shared" si="50"/>
        <v>152.19999999999999</v>
      </c>
    </row>
    <row r="95" spans="1:26" s="368" customFormat="1" ht="17.25" customHeight="1">
      <c r="A95" s="660" t="s">
        <v>165</v>
      </c>
      <c r="B95" s="617"/>
      <c r="C95" s="618"/>
      <c r="D95" s="459">
        <f>'Annex-II'!G96</f>
        <v>81586.87999999999</v>
      </c>
      <c r="E95" s="23">
        <f>'Annex-II'!I96</f>
        <v>375.20000000000005</v>
      </c>
      <c r="F95" s="458">
        <f>'Annex-II'!L96</f>
        <v>189.18999999999997</v>
      </c>
      <c r="G95" s="458">
        <f>'Annex-II'!O96</f>
        <v>5714.7959999999994</v>
      </c>
      <c r="H95" s="458">
        <f>'Annex-II'!R96</f>
        <v>13501.539999999999</v>
      </c>
      <c r="I95" s="458">
        <f>'Annex-II'!U96</f>
        <v>15155.124000000002</v>
      </c>
      <c r="J95" s="458">
        <f>'Annex-II'!X96</f>
        <v>22157.059999999998</v>
      </c>
      <c r="K95" s="458">
        <f>'Annex-II'!AA96</f>
        <v>14366.400900000001</v>
      </c>
      <c r="L95" s="458">
        <f>'Annex-II'!AD96</f>
        <v>10127.569099999999</v>
      </c>
      <c r="M95" s="326"/>
      <c r="N95" s="459">
        <f t="shared" ref="N95:U95" si="51">SUM(N57:N94)</f>
        <v>258.18190000000004</v>
      </c>
      <c r="O95" s="459">
        <f t="shared" si="51"/>
        <v>131.12090000000001</v>
      </c>
      <c r="P95" s="459">
        <f t="shared" si="51"/>
        <v>5001.994592</v>
      </c>
      <c r="Q95" s="459">
        <f t="shared" si="51"/>
        <v>11090.336880000001</v>
      </c>
      <c r="R95" s="459">
        <f t="shared" si="51"/>
        <v>12109.628108000001</v>
      </c>
      <c r="S95" s="459">
        <f t="shared" si="51"/>
        <v>17245.49769</v>
      </c>
      <c r="T95" s="459">
        <f t="shared" si="51"/>
        <v>8986.3022091000003</v>
      </c>
      <c r="U95" s="459">
        <f t="shared" si="51"/>
        <v>6180.6472209000003</v>
      </c>
    </row>
    <row r="96" spans="1:26" s="368" customFormat="1" ht="15" customHeight="1">
      <c r="A96" s="660" t="s">
        <v>126</v>
      </c>
      <c r="B96" s="617"/>
      <c r="C96" s="618"/>
      <c r="D96" s="459">
        <f>'Annex-II'!G97</f>
        <v>101175.65</v>
      </c>
      <c r="E96" s="23">
        <f>'Annex-II'!I97</f>
        <v>1456.29</v>
      </c>
      <c r="F96" s="458">
        <f>'Annex-II'!L97</f>
        <v>2652.9300000000003</v>
      </c>
      <c r="G96" s="458">
        <f>'Annex-II'!O97</f>
        <v>7942.6659999999993</v>
      </c>
      <c r="H96" s="458">
        <f>'Annex-II'!R97</f>
        <v>15866.399999999998</v>
      </c>
      <c r="I96" s="458">
        <f>'Annex-II'!U97</f>
        <v>17642.414000000001</v>
      </c>
      <c r="J96" s="458">
        <f>'Annex-II'!X97</f>
        <v>24717.059999999998</v>
      </c>
      <c r="K96" s="458">
        <f>'Annex-II'!AA97</f>
        <v>18202.627700000001</v>
      </c>
      <c r="L96" s="458">
        <f>'Annex-II'!AD97</f>
        <v>12695.262299999999</v>
      </c>
      <c r="M96" s="326"/>
      <c r="N96" s="459">
        <f t="shared" ref="N96:U96" si="52">N95+N54</f>
        <v>1212.686584</v>
      </c>
      <c r="O96" s="459">
        <f t="shared" si="52"/>
        <v>2302.3045159999997</v>
      </c>
      <c r="P96" s="459">
        <f t="shared" si="52"/>
        <v>6957.1234519999998</v>
      </c>
      <c r="Q96" s="459">
        <f t="shared" si="52"/>
        <v>13167.244570000001</v>
      </c>
      <c r="R96" s="459">
        <f t="shared" si="52"/>
        <v>14304.003588</v>
      </c>
      <c r="S96" s="459">
        <f t="shared" si="52"/>
        <v>19492.77549</v>
      </c>
      <c r="T96" s="459">
        <f t="shared" si="52"/>
        <v>12355.3557595</v>
      </c>
      <c r="U96" s="459">
        <f t="shared" si="52"/>
        <v>8432.8017805000018</v>
      </c>
    </row>
    <row r="97" spans="1:24" s="368" customFormat="1" ht="18.75" customHeight="1">
      <c r="A97" s="660" t="str">
        <f>'9.Detil Phasing'!A99:C99</f>
        <v>(c) Physical Contingency ( Lump sum):</v>
      </c>
      <c r="B97" s="617"/>
      <c r="C97" s="618"/>
      <c r="D97" s="459">
        <f>'Annex-II'!G98</f>
        <v>258</v>
      </c>
      <c r="E97" s="23">
        <f>'Annex-II'!I98</f>
        <v>0</v>
      </c>
      <c r="F97" s="458">
        <f>'Annex-II'!L98</f>
        <v>0</v>
      </c>
      <c r="G97" s="458">
        <f>'Annex-II'!O98</f>
        <v>0</v>
      </c>
      <c r="H97" s="458">
        <f>'Annex-II'!R98</f>
        <v>0</v>
      </c>
      <c r="I97" s="458">
        <f>'Annex-II'!U98</f>
        <v>0</v>
      </c>
      <c r="J97" s="458">
        <f>'Annex-II'!X98</f>
        <v>0</v>
      </c>
      <c r="K97" s="458">
        <f>'Annex-II'!AA98</f>
        <v>162.54</v>
      </c>
      <c r="L97" s="458">
        <f>'Annex-II'!AD98</f>
        <v>95.46</v>
      </c>
      <c r="M97" s="538">
        <v>0.76500000000000001</v>
      </c>
      <c r="N97" s="22">
        <f>M97*E97</f>
        <v>0</v>
      </c>
      <c r="O97" s="22">
        <f>M97*F97</f>
        <v>0</v>
      </c>
      <c r="P97" s="22">
        <f>M97*G97</f>
        <v>0</v>
      </c>
      <c r="Q97" s="22">
        <f>M97*H97</f>
        <v>0</v>
      </c>
      <c r="R97" s="22">
        <f>M97*I97</f>
        <v>0</v>
      </c>
      <c r="S97" s="22">
        <f>M97*J97</f>
        <v>0</v>
      </c>
      <c r="T97" s="22">
        <f>M97*K97</f>
        <v>124.34309999999999</v>
      </c>
      <c r="U97" s="22">
        <f>M97*L97</f>
        <v>73.026899999999998</v>
      </c>
    </row>
    <row r="98" spans="1:24" s="368" customFormat="1" ht="18.75" customHeight="1">
      <c r="A98" s="660" t="str">
        <f>'9.Detil Phasing'!A100:C100</f>
        <v>(d) Price Contingency (Lump sum):</v>
      </c>
      <c r="B98" s="617"/>
      <c r="C98" s="618"/>
      <c r="D98" s="459">
        <f>'Annex-II'!G99</f>
        <v>402.14</v>
      </c>
      <c r="E98" s="23">
        <f>'Annex-II'!I99</f>
        <v>0</v>
      </c>
      <c r="F98" s="458">
        <f>'Annex-II'!L99</f>
        <v>0</v>
      </c>
      <c r="G98" s="458">
        <f>'Annex-II'!O99</f>
        <v>0</v>
      </c>
      <c r="H98" s="458">
        <f>'Annex-II'!R99</f>
        <v>0</v>
      </c>
      <c r="I98" s="458">
        <f>'Annex-II'!U99</f>
        <v>0</v>
      </c>
      <c r="J98" s="458">
        <f>'Annex-II'!X99</f>
        <v>0</v>
      </c>
      <c r="K98" s="458">
        <f>'Annex-II'!AA99</f>
        <v>221.17699999999999</v>
      </c>
      <c r="L98" s="458">
        <f>'Annex-II'!AD99</f>
        <v>180.96299999999999</v>
      </c>
      <c r="M98" s="538">
        <v>0</v>
      </c>
      <c r="N98" s="22">
        <f>M98*E98</f>
        <v>0</v>
      </c>
      <c r="O98" s="22">
        <f>M98*F98</f>
        <v>0</v>
      </c>
      <c r="P98" s="22">
        <f>M98*G98</f>
        <v>0</v>
      </c>
      <c r="Q98" s="22">
        <f>M98*H98</f>
        <v>0</v>
      </c>
      <c r="R98" s="22">
        <f>M98*I98</f>
        <v>0</v>
      </c>
      <c r="S98" s="22">
        <f>M98*J98</f>
        <v>0</v>
      </c>
      <c r="T98" s="22">
        <f>M98*K98</f>
        <v>0</v>
      </c>
      <c r="U98" s="22">
        <f>M98*L98</f>
        <v>0</v>
      </c>
    </row>
    <row r="99" spans="1:24" s="368" customFormat="1" ht="20.25" customHeight="1">
      <c r="A99" s="660" t="s">
        <v>129</v>
      </c>
      <c r="B99" s="617"/>
      <c r="C99" s="618"/>
      <c r="D99" s="459">
        <f>'Annex-II'!G100</f>
        <v>101835.79</v>
      </c>
      <c r="E99" s="458">
        <f>'Annex-II'!I100</f>
        <v>1456.29</v>
      </c>
      <c r="F99" s="458">
        <f>'Annex-II'!L100</f>
        <v>2652.9300000000003</v>
      </c>
      <c r="G99" s="458">
        <f>'Annex-II'!O100</f>
        <v>7942.6659999999993</v>
      </c>
      <c r="H99" s="458">
        <f>'Annex-II'!R100</f>
        <v>15866.399999999998</v>
      </c>
      <c r="I99" s="458">
        <f>'Annex-II'!U100</f>
        <v>17642.414000000001</v>
      </c>
      <c r="J99" s="458">
        <f>'Annex-II'!X100</f>
        <v>24717.059999999998</v>
      </c>
      <c r="K99" s="458">
        <f>'Annex-II'!AA100</f>
        <v>18586.344700000001</v>
      </c>
      <c r="L99" s="458">
        <f>'Annex-II'!AD100</f>
        <v>12971.685299999997</v>
      </c>
      <c r="M99" s="326"/>
      <c r="N99" s="459">
        <f t="shared" ref="N99:U99" si="53">SUM(N96:N98)</f>
        <v>1212.686584</v>
      </c>
      <c r="O99" s="459">
        <f t="shared" si="53"/>
        <v>2302.3045159999997</v>
      </c>
      <c r="P99" s="459">
        <f t="shared" si="53"/>
        <v>6957.1234519999998</v>
      </c>
      <c r="Q99" s="459">
        <f t="shared" si="53"/>
        <v>13167.244570000001</v>
      </c>
      <c r="R99" s="459">
        <f t="shared" si="53"/>
        <v>14304.003588</v>
      </c>
      <c r="S99" s="459">
        <f t="shared" si="53"/>
        <v>19492.77549</v>
      </c>
      <c r="T99" s="459">
        <f t="shared" si="53"/>
        <v>12479.6988595</v>
      </c>
      <c r="U99" s="459">
        <f t="shared" si="53"/>
        <v>8505.8286805000025</v>
      </c>
      <c r="W99" s="358">
        <f>SUM(N99:U99)</f>
        <v>78421.665739999997</v>
      </c>
      <c r="X99" s="358">
        <f>SUM(E99:L99)</f>
        <v>101835.79</v>
      </c>
    </row>
    <row r="101" spans="1:24">
      <c r="O101" s="590">
        <f>SUM(N99:U99)</f>
        <v>78421.665739999997</v>
      </c>
    </row>
    <row r="102" spans="1:24">
      <c r="D102" s="590">
        <f>SUM(E99:L99)</f>
        <v>101835.79</v>
      </c>
    </row>
  </sheetData>
  <mergeCells count="26">
    <mergeCell ref="B69:B73"/>
    <mergeCell ref="A1:U1"/>
    <mergeCell ref="A3:C3"/>
    <mergeCell ref="M5:M6"/>
    <mergeCell ref="D2:U2"/>
    <mergeCell ref="D3:U3"/>
    <mergeCell ref="D5:D6"/>
    <mergeCell ref="T4:U4"/>
    <mergeCell ref="N5:U5"/>
    <mergeCell ref="E5:L5"/>
    <mergeCell ref="A99:C99"/>
    <mergeCell ref="A5:A6"/>
    <mergeCell ref="B5:B6"/>
    <mergeCell ref="C5:C6"/>
    <mergeCell ref="A7:H7"/>
    <mergeCell ref="A97:C97"/>
    <mergeCell ref="A95:C95"/>
    <mergeCell ref="B55:C55"/>
    <mergeCell ref="B54:C54"/>
    <mergeCell ref="A98:C98"/>
    <mergeCell ref="A96:C96"/>
    <mergeCell ref="B50:B51"/>
    <mergeCell ref="B85:B94"/>
    <mergeCell ref="B60:B61"/>
    <mergeCell ref="B62:B64"/>
    <mergeCell ref="B65:B68"/>
  </mergeCells>
  <printOptions horizontalCentered="1"/>
  <pageMargins left="0.15748031496063" right="0.23622047244094499" top="0.59055118110236204" bottom="3.9370078740157501E-2" header="0" footer="0"/>
  <pageSetup paperSize="9" scale="65" firstPageNumber="49" orientation="landscape" useFirstPageNumber="1"/>
  <headerFooter alignWithMargins="0">
    <oddFooter>&amp;C&amp;18 P - &amp;P</oddFooter>
  </headerFooter>
  <rowBreaks count="3" manualBreakCount="3">
    <brk id="32" max="20" man="1"/>
    <brk id="54" max="20" man="1"/>
    <brk id="77" max="2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7"/>
  <sheetViews>
    <sheetView topLeftCell="A50" workbookViewId="0">
      <selection activeCell="K22" sqref="K22"/>
    </sheetView>
  </sheetViews>
  <sheetFormatPr defaultColWidth="12.42578125" defaultRowHeight="18" customHeight="1"/>
  <cols>
    <col min="1" max="1" width="5.5703125" style="595" customWidth="1"/>
    <col min="2" max="3" width="10.85546875" style="595" customWidth="1"/>
    <col min="4" max="4" width="9.5703125" style="595" customWidth="1"/>
    <col min="5" max="5" width="11.85546875" style="595" customWidth="1"/>
    <col min="6" max="6" width="11.7109375" style="595" customWidth="1"/>
    <col min="7" max="7" width="9" style="595" customWidth="1"/>
    <col min="8" max="8" width="10.7109375" style="595" customWidth="1"/>
    <col min="9" max="9" width="10.42578125" style="595" customWidth="1"/>
    <col min="10" max="18" width="12.42578125" style="595" customWidth="1"/>
    <col min="19" max="16384" width="12.42578125" style="595"/>
  </cols>
  <sheetData>
    <row r="1" spans="1:14" ht="16.5" customHeight="1">
      <c r="A1" s="34"/>
      <c r="B1" s="34"/>
      <c r="C1" s="35"/>
      <c r="D1" s="36"/>
      <c r="E1" s="37" t="s">
        <v>197</v>
      </c>
      <c r="F1" s="34"/>
      <c r="G1" s="34"/>
      <c r="H1" s="34"/>
    </row>
    <row r="2" spans="1:14" ht="6.75" customHeight="1">
      <c r="A2" s="34"/>
      <c r="B2" s="34"/>
      <c r="C2" s="34"/>
      <c r="D2" s="34"/>
      <c r="E2" s="37"/>
      <c r="F2" s="34"/>
      <c r="G2" s="34"/>
      <c r="H2" s="34"/>
    </row>
    <row r="3" spans="1:14" ht="14.25" customHeight="1">
      <c r="A3" s="34"/>
      <c r="E3" s="37" t="s">
        <v>198</v>
      </c>
    </row>
    <row r="4" spans="1:14" ht="10.5" customHeight="1">
      <c r="A4" s="34"/>
      <c r="B4" s="34"/>
      <c r="C4" s="34"/>
      <c r="D4" s="34"/>
      <c r="E4" s="34"/>
      <c r="F4" s="34"/>
      <c r="G4" s="34"/>
      <c r="H4" s="38"/>
      <c r="I4" s="61"/>
    </row>
    <row r="5" spans="1:14" ht="18" customHeight="1">
      <c r="A5" s="39" t="s">
        <v>199</v>
      </c>
      <c r="B5" s="40"/>
    </row>
    <row r="6" spans="1:14" ht="8.25" customHeight="1">
      <c r="B6" s="41"/>
    </row>
    <row r="7" spans="1:14" ht="18" customHeight="1">
      <c r="A7" s="42" t="s">
        <v>200</v>
      </c>
      <c r="B7" s="42"/>
      <c r="C7" s="42" t="s">
        <v>201</v>
      </c>
      <c r="D7" s="42" t="s">
        <v>202</v>
      </c>
      <c r="E7" s="42" t="s">
        <v>12</v>
      </c>
      <c r="F7" s="43" t="s">
        <v>203</v>
      </c>
      <c r="G7" s="42"/>
      <c r="H7" s="44" t="s">
        <v>204</v>
      </c>
      <c r="I7" s="45"/>
    </row>
    <row r="8" spans="1:14" ht="15.75" customHeight="1">
      <c r="A8" s="46" t="s">
        <v>102</v>
      </c>
      <c r="B8" s="46" t="s">
        <v>205</v>
      </c>
      <c r="C8" s="46" t="s">
        <v>206</v>
      </c>
      <c r="D8" s="46" t="s">
        <v>207</v>
      </c>
      <c r="E8" s="46" t="s">
        <v>208</v>
      </c>
      <c r="F8" s="42" t="s">
        <v>186</v>
      </c>
      <c r="G8" s="42" t="s">
        <v>188</v>
      </c>
      <c r="H8" s="42" t="s">
        <v>186</v>
      </c>
      <c r="I8" s="47" t="s">
        <v>188</v>
      </c>
      <c r="J8" s="595" t="s">
        <v>209</v>
      </c>
      <c r="K8" s="595" t="s">
        <v>210</v>
      </c>
      <c r="L8" s="595" t="s">
        <v>211</v>
      </c>
      <c r="M8" s="595" t="s">
        <v>212</v>
      </c>
      <c r="N8" s="595" t="s">
        <v>213</v>
      </c>
    </row>
    <row r="9" spans="1:14" s="50" customFormat="1" ht="15.75" customHeight="1">
      <c r="A9" s="60" t="s">
        <v>214</v>
      </c>
      <c r="B9" s="72" t="s">
        <v>215</v>
      </c>
      <c r="C9" s="48">
        <v>47000</v>
      </c>
      <c r="D9" s="595">
        <v>3.5</v>
      </c>
      <c r="E9" s="595">
        <f>D9*C9</f>
        <v>164500</v>
      </c>
      <c r="F9" s="595">
        <v>10000</v>
      </c>
      <c r="G9" s="595">
        <f>F9*1.005</f>
        <v>10049.999999999998</v>
      </c>
      <c r="H9" s="595">
        <f>+(E9*F9)/100000</f>
        <v>16450</v>
      </c>
      <c r="I9" s="595">
        <f>+(E9*G9)/100000</f>
        <v>16532.249999999996</v>
      </c>
      <c r="J9" s="49">
        <f>C9*115</f>
        <v>5405000</v>
      </c>
      <c r="K9" s="49">
        <f>C9*40</f>
        <v>1880000</v>
      </c>
      <c r="L9" s="49">
        <f>C9*200</f>
        <v>9400000</v>
      </c>
      <c r="M9" s="49">
        <f>L9*0.8</f>
        <v>7520000</v>
      </c>
      <c r="N9" s="49">
        <f>L9*0.5</f>
        <v>4700000</v>
      </c>
    </row>
    <row r="10" spans="1:14" s="50" customFormat="1" ht="15.75" customHeight="1">
      <c r="A10" s="60" t="s">
        <v>216</v>
      </c>
      <c r="B10" s="72" t="s">
        <v>217</v>
      </c>
      <c r="C10" s="48">
        <v>125000</v>
      </c>
      <c r="D10" s="595">
        <v>4</v>
      </c>
      <c r="E10" s="595">
        <f>D10*C10</f>
        <v>500000</v>
      </c>
      <c r="F10" s="595">
        <v>11000</v>
      </c>
      <c r="G10" s="595">
        <f>F10*1.005</f>
        <v>11054.999999999998</v>
      </c>
      <c r="H10" s="595">
        <f>+(E10*F10)/100000</f>
        <v>55000</v>
      </c>
      <c r="I10" s="595">
        <f>+(E10*G10)/100000</f>
        <v>55274.999999999993</v>
      </c>
      <c r="J10" s="49">
        <f>C10*150</f>
        <v>18750000</v>
      </c>
      <c r="K10" s="49">
        <f>C10*40</f>
        <v>5000000</v>
      </c>
      <c r="L10" s="49">
        <f>C10*300</f>
        <v>37500000</v>
      </c>
      <c r="M10" s="49">
        <f>L10*0.8</f>
        <v>30000000</v>
      </c>
      <c r="N10" s="49">
        <f>L10*0.5</f>
        <v>18750000</v>
      </c>
    </row>
    <row r="11" spans="1:14" ht="15.75" customHeight="1">
      <c r="A11" s="45"/>
      <c r="B11" s="51" t="s">
        <v>218</v>
      </c>
      <c r="C11" s="52">
        <f>SUM(C9:C10)</f>
        <v>172000</v>
      </c>
      <c r="D11" s="53" t="s">
        <v>155</v>
      </c>
      <c r="E11" s="53" t="s">
        <v>155</v>
      </c>
      <c r="F11" s="53" t="s">
        <v>155</v>
      </c>
      <c r="G11" s="53" t="s">
        <v>155</v>
      </c>
      <c r="H11" s="53">
        <f>SUM(H9:H10)</f>
        <v>71450</v>
      </c>
      <c r="I11" s="53">
        <f>SUM(I9:I10)</f>
        <v>71807.249999999985</v>
      </c>
      <c r="J11" s="49">
        <f>SUM(J9:J10)</f>
        <v>24155000</v>
      </c>
      <c r="K11" s="49">
        <f>SUM(K9:K10)</f>
        <v>6880000</v>
      </c>
      <c r="L11" s="49">
        <f>SUM(L9:L10)</f>
        <v>46900000</v>
      </c>
      <c r="M11" s="49">
        <f>L11*0.8</f>
        <v>37520000</v>
      </c>
      <c r="N11" s="49">
        <f>L11*0.5</f>
        <v>23450000</v>
      </c>
    </row>
    <row r="12" spans="1:14" ht="7.5" customHeight="1"/>
    <row r="13" spans="1:14" ht="15.75" customHeight="1">
      <c r="A13" s="61"/>
      <c r="B13" s="61"/>
      <c r="C13" s="595" t="s">
        <v>219</v>
      </c>
      <c r="E13" s="54">
        <f>C11/156392</f>
        <v>1.0998005013044145</v>
      </c>
      <c r="F13" s="72"/>
      <c r="G13" s="61"/>
      <c r="H13" s="61"/>
      <c r="I13" s="61"/>
    </row>
    <row r="14" spans="1:14" ht="6" customHeight="1"/>
    <row r="15" spans="1:14" ht="15.75" customHeight="1">
      <c r="C15" s="595" t="s">
        <v>220</v>
      </c>
      <c r="F15" s="595">
        <f>SUM(E9:E10)</f>
        <v>664500</v>
      </c>
      <c r="G15" s="595" t="s">
        <v>221</v>
      </c>
    </row>
    <row r="16" spans="1:14" ht="15.75" customHeight="1"/>
    <row r="17" spans="2:8" ht="15.75" customHeight="1"/>
    <row r="18" spans="2:8" ht="15.75" customHeight="1"/>
    <row r="19" spans="2:8" ht="15.75" customHeight="1"/>
    <row r="20" spans="2:8" ht="15.75" customHeight="1"/>
    <row r="21" spans="2:8" ht="15.75" customHeight="1"/>
    <row r="22" spans="2:8" ht="15.75" customHeight="1"/>
    <row r="23" spans="2:8" ht="15.75" customHeight="1"/>
    <row r="24" spans="2:8" ht="15.75" customHeight="1"/>
    <row r="25" spans="2:8" ht="15.75" customHeight="1"/>
    <row r="26" spans="2:8" ht="15.75" customHeight="1"/>
    <row r="27" spans="2:8" ht="11.25" customHeight="1"/>
    <row r="28" spans="2:8" ht="11.25" customHeight="1"/>
    <row r="29" spans="2:8" ht="16.5" customHeight="1">
      <c r="B29" s="34"/>
      <c r="C29" s="35"/>
      <c r="D29" s="36"/>
      <c r="E29" s="37" t="s">
        <v>197</v>
      </c>
      <c r="F29" s="34"/>
      <c r="G29" s="34"/>
      <c r="H29" s="34"/>
    </row>
    <row r="30" spans="2:8" ht="6.75" customHeight="1">
      <c r="B30" s="34"/>
      <c r="C30" s="34"/>
      <c r="D30" s="34"/>
      <c r="E30" s="37"/>
      <c r="F30" s="34"/>
      <c r="G30" s="34"/>
      <c r="H30" s="34"/>
    </row>
    <row r="31" spans="2:8" ht="14.25" customHeight="1">
      <c r="B31" s="34"/>
      <c r="C31" s="35"/>
      <c r="D31" s="35"/>
      <c r="E31" s="37" t="s">
        <v>198</v>
      </c>
      <c r="F31" s="34"/>
      <c r="G31" s="34"/>
      <c r="H31" s="34"/>
    </row>
    <row r="32" spans="2:8" ht="14.25" customHeight="1">
      <c r="B32" s="34"/>
      <c r="C32" s="35"/>
      <c r="D32" s="35"/>
      <c r="E32" s="37"/>
      <c r="F32" s="34"/>
      <c r="G32" s="34"/>
      <c r="H32" s="34"/>
    </row>
    <row r="33" spans="1:14" ht="18" customHeight="1">
      <c r="A33" s="39" t="s">
        <v>222</v>
      </c>
      <c r="B33" s="41"/>
    </row>
    <row r="34" spans="1:14" ht="8.25" customHeight="1">
      <c r="B34" s="41"/>
    </row>
    <row r="35" spans="1:14" ht="18" customHeight="1">
      <c r="A35" s="42" t="s">
        <v>200</v>
      </c>
      <c r="B35" s="42"/>
      <c r="C35" s="42" t="s">
        <v>201</v>
      </c>
      <c r="D35" s="42" t="s">
        <v>202</v>
      </c>
      <c r="E35" s="42" t="s">
        <v>12</v>
      </c>
      <c r="F35" s="43" t="s">
        <v>203</v>
      </c>
      <c r="G35" s="42"/>
      <c r="H35" s="44" t="s">
        <v>204</v>
      </c>
      <c r="I35" s="45"/>
    </row>
    <row r="36" spans="1:14" ht="15.75" customHeight="1">
      <c r="A36" s="46" t="s">
        <v>102</v>
      </c>
      <c r="B36" s="46" t="s">
        <v>205</v>
      </c>
      <c r="C36" s="46" t="s">
        <v>206</v>
      </c>
      <c r="D36" s="46" t="s">
        <v>207</v>
      </c>
      <c r="E36" s="46" t="s">
        <v>208</v>
      </c>
      <c r="F36" s="42" t="s">
        <v>186</v>
      </c>
      <c r="G36" s="42" t="s">
        <v>188</v>
      </c>
      <c r="H36" s="42" t="s">
        <v>186</v>
      </c>
      <c r="I36" s="47" t="s">
        <v>188</v>
      </c>
    </row>
    <row r="37" spans="1:14" ht="15.75" customHeight="1">
      <c r="A37" s="60" t="s">
        <v>214</v>
      </c>
      <c r="B37" s="72" t="s">
        <v>217</v>
      </c>
      <c r="C37" s="48">
        <v>280500</v>
      </c>
      <c r="D37" s="595">
        <v>5.5</v>
      </c>
      <c r="E37" s="595">
        <f>D37*C37</f>
        <v>1542750</v>
      </c>
      <c r="F37" s="595">
        <v>10000</v>
      </c>
      <c r="G37" s="595">
        <f>F37*1.005</f>
        <v>10049.999999999998</v>
      </c>
      <c r="H37" s="595">
        <f>+(E37*F37)/100000</f>
        <v>154275</v>
      </c>
      <c r="I37" s="595">
        <f>+(E37*G37)/100000</f>
        <v>155046.37499999997</v>
      </c>
      <c r="J37" s="49">
        <f>C37*155</f>
        <v>43477500</v>
      </c>
      <c r="K37" s="49">
        <f>C37*40</f>
        <v>11220000</v>
      </c>
      <c r="L37" s="49">
        <f>C37*300</f>
        <v>84150000</v>
      </c>
      <c r="M37" s="49">
        <f>L37*0.8</f>
        <v>67320000</v>
      </c>
      <c r="N37" s="49">
        <f>L37*0.5</f>
        <v>42075000</v>
      </c>
    </row>
    <row r="38" spans="1:14" ht="15.75" customHeight="1">
      <c r="A38" s="45"/>
      <c r="B38" s="51" t="s">
        <v>218</v>
      </c>
      <c r="C38" s="52">
        <f>SUM(C37:C37)</f>
        <v>280500</v>
      </c>
      <c r="D38" s="53" t="s">
        <v>155</v>
      </c>
      <c r="E38" s="53" t="s">
        <v>155</v>
      </c>
      <c r="F38" s="53" t="s">
        <v>155</v>
      </c>
      <c r="G38" s="53" t="s">
        <v>155</v>
      </c>
      <c r="H38" s="53">
        <f t="shared" ref="H38:N38" si="0">SUM(H37:H37)</f>
        <v>154275</v>
      </c>
      <c r="I38" s="53">
        <f t="shared" si="0"/>
        <v>155046.37499999997</v>
      </c>
      <c r="J38" s="48">
        <f t="shared" si="0"/>
        <v>43477500</v>
      </c>
      <c r="K38" s="48">
        <f t="shared" si="0"/>
        <v>11220000</v>
      </c>
      <c r="L38" s="48">
        <f t="shared" si="0"/>
        <v>84150000</v>
      </c>
      <c r="M38" s="48">
        <f t="shared" si="0"/>
        <v>67320000</v>
      </c>
      <c r="N38" s="48">
        <f t="shared" si="0"/>
        <v>42075000</v>
      </c>
    </row>
    <row r="39" spans="1:14" ht="18.75" customHeight="1">
      <c r="A39" s="61"/>
      <c r="B39" s="61"/>
      <c r="C39" s="595" t="s">
        <v>219</v>
      </c>
      <c r="E39" s="48">
        <f>+(C38*100)/156392</f>
        <v>179.35700035807457</v>
      </c>
      <c r="F39" s="72" t="s">
        <v>223</v>
      </c>
      <c r="G39" s="61"/>
      <c r="H39" s="61"/>
      <c r="I39" s="61"/>
    </row>
    <row r="40" spans="1:14" ht="18.75" customHeight="1">
      <c r="C40" s="595" t="s">
        <v>220</v>
      </c>
      <c r="F40" s="595">
        <f>SUM(E37:E37)</f>
        <v>1542750</v>
      </c>
      <c r="G40" s="595" t="s">
        <v>221</v>
      </c>
    </row>
    <row r="41" spans="1:14" ht="15" customHeight="1">
      <c r="C41" s="595" t="s">
        <v>224</v>
      </c>
      <c r="F41" s="595">
        <f>SUM(F40-F15)</f>
        <v>878250</v>
      </c>
      <c r="G41" s="595" t="s">
        <v>221</v>
      </c>
    </row>
    <row r="42" spans="1:14" ht="15" customHeight="1"/>
    <row r="43" spans="1:14" ht="15" customHeight="1"/>
    <row r="44" spans="1:14" ht="15" customHeight="1"/>
    <row r="45" spans="1:14" ht="15" customHeight="1"/>
    <row r="46" spans="1:14" ht="15" customHeight="1"/>
    <row r="47" spans="1:14" ht="15" customHeight="1"/>
    <row r="48" spans="1:14" ht="15" customHeight="1"/>
    <row r="49" spans="1:10" ht="18" customHeight="1">
      <c r="C49" s="34"/>
      <c r="D49" s="34"/>
      <c r="E49" s="37" t="s">
        <v>225</v>
      </c>
      <c r="F49" s="34"/>
      <c r="G49" s="34"/>
    </row>
    <row r="50" spans="1:10" ht="4.5" customHeight="1"/>
    <row r="51" spans="1:10" ht="18" customHeight="1">
      <c r="A51" s="39" t="s">
        <v>199</v>
      </c>
      <c r="B51" s="40"/>
      <c r="C51" s="61"/>
    </row>
    <row r="52" spans="1:10" ht="3" customHeight="1">
      <c r="B52" s="41"/>
      <c r="C52" s="61"/>
    </row>
    <row r="53" spans="1:10" ht="18" customHeight="1">
      <c r="A53" s="55" t="s">
        <v>200</v>
      </c>
      <c r="B53" s="55" t="s">
        <v>226</v>
      </c>
      <c r="C53" s="55" t="s">
        <v>9</v>
      </c>
      <c r="D53" s="55" t="s">
        <v>146</v>
      </c>
      <c r="E53" s="56" t="s">
        <v>227</v>
      </c>
      <c r="F53" s="56"/>
      <c r="G53" s="56" t="s">
        <v>228</v>
      </c>
      <c r="H53" s="57"/>
    </row>
    <row r="54" spans="1:10" ht="18" customHeight="1">
      <c r="A54" s="46" t="s">
        <v>102</v>
      </c>
      <c r="B54" s="46"/>
      <c r="C54" s="46"/>
      <c r="D54" s="46"/>
      <c r="E54" s="46" t="s">
        <v>186</v>
      </c>
      <c r="F54" s="46" t="s">
        <v>188</v>
      </c>
      <c r="G54" s="46" t="s">
        <v>186</v>
      </c>
      <c r="H54" s="58" t="s">
        <v>188</v>
      </c>
      <c r="I54" s="61"/>
    </row>
    <row r="55" spans="1:10" ht="18" customHeight="1">
      <c r="A55" s="60" t="s">
        <v>214</v>
      </c>
      <c r="B55" s="59" t="s">
        <v>229</v>
      </c>
      <c r="C55" s="595" t="s">
        <v>230</v>
      </c>
      <c r="D55" s="48">
        <f>J11*1</f>
        <v>24155000</v>
      </c>
      <c r="E55" s="595">
        <v>100</v>
      </c>
      <c r="F55" s="595">
        <v>75</v>
      </c>
      <c r="G55" s="595">
        <f>+D55*E55/100000</f>
        <v>24155</v>
      </c>
      <c r="H55" s="595">
        <f>+D55*F55/100000</f>
        <v>18116.25</v>
      </c>
      <c r="J55" s="48"/>
    </row>
    <row r="56" spans="1:10" ht="18" customHeight="1">
      <c r="A56" s="60" t="s">
        <v>216</v>
      </c>
      <c r="B56" s="59" t="s">
        <v>231</v>
      </c>
      <c r="C56" s="595" t="s">
        <v>155</v>
      </c>
      <c r="D56" s="48" t="s">
        <v>155</v>
      </c>
      <c r="E56" s="595" t="s">
        <v>155</v>
      </c>
      <c r="F56" s="595" t="s">
        <v>155</v>
      </c>
      <c r="G56" s="595">
        <f>4000*C11/100000</f>
        <v>6880</v>
      </c>
      <c r="H56" s="595">
        <f>G56*0.902</f>
        <v>6205.76</v>
      </c>
      <c r="J56" s="48"/>
    </row>
    <row r="57" spans="1:10" ht="18" customHeight="1">
      <c r="A57" s="60" t="s">
        <v>232</v>
      </c>
      <c r="B57" s="62" t="s">
        <v>233</v>
      </c>
      <c r="C57" s="61"/>
      <c r="D57" s="48"/>
      <c r="J57" s="48"/>
    </row>
    <row r="58" spans="1:10" ht="14.25" customHeight="1">
      <c r="A58" s="595" t="s">
        <v>234</v>
      </c>
      <c r="B58" s="72" t="s">
        <v>235</v>
      </c>
      <c r="C58" s="595" t="s">
        <v>221</v>
      </c>
      <c r="D58" s="48">
        <f>K11/1000</f>
        <v>6880</v>
      </c>
      <c r="E58" s="595">
        <v>30000</v>
      </c>
      <c r="F58" s="595">
        <f>+E58*0.902</f>
        <v>27060</v>
      </c>
      <c r="G58" s="595">
        <f>+D58*E58/100000</f>
        <v>2064</v>
      </c>
      <c r="H58" s="595">
        <f>+D58*F58/100000</f>
        <v>1861.7280000000001</v>
      </c>
      <c r="J58" s="48"/>
    </row>
    <row r="59" spans="1:10" ht="14.25" customHeight="1">
      <c r="A59" s="595" t="s">
        <v>236</v>
      </c>
      <c r="B59" s="72" t="s">
        <v>237</v>
      </c>
      <c r="C59" s="595" t="s">
        <v>221</v>
      </c>
      <c r="D59" s="48">
        <v>0</v>
      </c>
      <c r="E59" s="595">
        <v>30000</v>
      </c>
      <c r="F59" s="595">
        <f>+E59*0.902</f>
        <v>27060</v>
      </c>
      <c r="G59" s="595">
        <f>+D59*E59/100000</f>
        <v>0</v>
      </c>
      <c r="H59" s="595">
        <f>+D59*F59/100000</f>
        <v>0</v>
      </c>
      <c r="J59" s="48"/>
    </row>
    <row r="60" spans="1:10" ht="14.25" customHeight="1">
      <c r="A60" s="595" t="s">
        <v>238</v>
      </c>
      <c r="B60" s="72" t="s">
        <v>239</v>
      </c>
      <c r="C60" s="595" t="s">
        <v>221</v>
      </c>
      <c r="D60" s="48">
        <v>0</v>
      </c>
      <c r="E60" s="595">
        <v>50000</v>
      </c>
      <c r="F60" s="595">
        <f>+E60*0.902</f>
        <v>45100</v>
      </c>
      <c r="G60" s="595">
        <f>+D60*E60/100000</f>
        <v>0</v>
      </c>
      <c r="H60" s="595">
        <f>+D60*F60/100000</f>
        <v>0</v>
      </c>
      <c r="J60" s="48"/>
    </row>
    <row r="61" spans="1:10" ht="14.25" customHeight="1">
      <c r="A61" s="60" t="s">
        <v>240</v>
      </c>
      <c r="B61" s="62" t="s">
        <v>241</v>
      </c>
      <c r="D61" s="48"/>
      <c r="J61" s="48"/>
    </row>
    <row r="62" spans="1:10" ht="14.25" customHeight="1">
      <c r="A62" s="595" t="s">
        <v>234</v>
      </c>
      <c r="B62" s="72" t="s">
        <v>211</v>
      </c>
      <c r="C62" s="595" t="s">
        <v>221</v>
      </c>
      <c r="D62" s="48">
        <f>L11/1000</f>
        <v>46900</v>
      </c>
      <c r="E62" s="595">
        <v>8000</v>
      </c>
      <c r="F62" s="595">
        <f>E62*1.5</f>
        <v>12000</v>
      </c>
      <c r="G62" s="595">
        <f>+D62*E62/100000</f>
        <v>3752</v>
      </c>
      <c r="H62" s="595">
        <f>+D62*F62/100000</f>
        <v>5628</v>
      </c>
      <c r="J62" s="48"/>
    </row>
    <row r="63" spans="1:10" ht="14.25" customHeight="1">
      <c r="A63" s="595" t="s">
        <v>242</v>
      </c>
      <c r="B63" s="72" t="s">
        <v>243</v>
      </c>
      <c r="C63" s="595" t="s">
        <v>221</v>
      </c>
      <c r="D63" s="48">
        <f>M11/1000</f>
        <v>37520</v>
      </c>
      <c r="E63" s="595">
        <v>22000</v>
      </c>
      <c r="F63" s="595">
        <f>E63*1.5</f>
        <v>33000</v>
      </c>
      <c r="G63" s="595">
        <f>+D63*E63/100000</f>
        <v>8254.4</v>
      </c>
      <c r="H63" s="595">
        <f>+D63*F63/100000</f>
        <v>12381.6</v>
      </c>
      <c r="J63" s="48"/>
    </row>
    <row r="64" spans="1:10" ht="14.25" customHeight="1">
      <c r="A64" s="595" t="s">
        <v>244</v>
      </c>
      <c r="B64" s="72" t="s">
        <v>245</v>
      </c>
      <c r="C64" s="595" t="s">
        <v>221</v>
      </c>
      <c r="D64" s="48">
        <f>N11/1000</f>
        <v>23450</v>
      </c>
      <c r="E64" s="595">
        <v>18000</v>
      </c>
      <c r="F64" s="595">
        <f>E64*1.5</f>
        <v>27000</v>
      </c>
      <c r="G64" s="595">
        <f>+D64*E64/100000</f>
        <v>4221</v>
      </c>
      <c r="H64" s="595">
        <f>+D64*F64/100000</f>
        <v>6331.5</v>
      </c>
      <c r="J64" s="48"/>
    </row>
    <row r="65" spans="1:10" ht="14.25" customHeight="1">
      <c r="A65" s="60" t="s">
        <v>246</v>
      </c>
      <c r="B65" s="59" t="s">
        <v>247</v>
      </c>
      <c r="C65" s="595" t="s">
        <v>155</v>
      </c>
      <c r="D65" s="48" t="s">
        <v>155</v>
      </c>
      <c r="E65" s="595" t="s">
        <v>155</v>
      </c>
      <c r="F65" s="595" t="s">
        <v>155</v>
      </c>
      <c r="G65" s="595">
        <v>200</v>
      </c>
      <c r="H65" s="595">
        <f>G65*0.902</f>
        <v>180.4</v>
      </c>
      <c r="J65" s="48"/>
    </row>
    <row r="66" spans="1:10" ht="14.25" customHeight="1">
      <c r="A66" s="60" t="s">
        <v>248</v>
      </c>
      <c r="B66" s="59" t="s">
        <v>249</v>
      </c>
      <c r="C66" s="595" t="s">
        <v>155</v>
      </c>
      <c r="D66" s="48" t="s">
        <v>155</v>
      </c>
      <c r="E66" s="595" t="s">
        <v>155</v>
      </c>
      <c r="F66" s="595" t="s">
        <v>155</v>
      </c>
      <c r="G66" s="595">
        <v>500</v>
      </c>
      <c r="H66" s="595">
        <f>G66*1.5</f>
        <v>750</v>
      </c>
    </row>
    <row r="67" spans="1:10" ht="18" customHeight="1">
      <c r="A67" s="63"/>
      <c r="B67" s="53" t="s">
        <v>12</v>
      </c>
      <c r="C67" s="53" t="s">
        <v>155</v>
      </c>
      <c r="D67" s="53" t="s">
        <v>155</v>
      </c>
      <c r="E67" s="53" t="s">
        <v>155</v>
      </c>
      <c r="F67" s="53" t="s">
        <v>155</v>
      </c>
      <c r="G67" s="53">
        <f>SUM(G55:G65)</f>
        <v>49526.400000000001</v>
      </c>
      <c r="H67" s="45">
        <f>SUM(H55:H65)</f>
        <v>50705.238000000005</v>
      </c>
    </row>
    <row r="68" spans="1:10" ht="18" customHeight="1">
      <c r="A68" s="39" t="s">
        <v>222</v>
      </c>
      <c r="B68" s="41"/>
    </row>
    <row r="69" spans="1:10" ht="6" customHeight="1">
      <c r="B69" s="41"/>
    </row>
    <row r="70" spans="1:10" ht="18" customHeight="1">
      <c r="A70" s="55" t="s">
        <v>200</v>
      </c>
      <c r="B70" s="55" t="s">
        <v>226</v>
      </c>
      <c r="C70" s="55" t="s">
        <v>9</v>
      </c>
      <c r="D70" s="55" t="s">
        <v>146</v>
      </c>
      <c r="E70" s="55" t="s">
        <v>227</v>
      </c>
      <c r="F70" s="55"/>
      <c r="G70" s="55" t="s">
        <v>228</v>
      </c>
      <c r="H70" s="64"/>
    </row>
    <row r="71" spans="1:10" ht="18" customHeight="1">
      <c r="A71" s="46" t="s">
        <v>102</v>
      </c>
      <c r="B71" s="46"/>
      <c r="C71" s="46"/>
      <c r="D71" s="46"/>
      <c r="E71" s="46" t="s">
        <v>186</v>
      </c>
      <c r="F71" s="46" t="s">
        <v>188</v>
      </c>
      <c r="G71" s="46" t="s">
        <v>186</v>
      </c>
      <c r="H71" s="58" t="s">
        <v>188</v>
      </c>
    </row>
    <row r="72" spans="1:10" ht="18" customHeight="1">
      <c r="A72" s="60" t="s">
        <v>214</v>
      </c>
      <c r="B72" s="59" t="s">
        <v>229</v>
      </c>
      <c r="C72" s="595" t="s">
        <v>230</v>
      </c>
      <c r="D72" s="48">
        <f>J38</f>
        <v>43477500</v>
      </c>
      <c r="E72" s="595">
        <v>100</v>
      </c>
      <c r="F72" s="595">
        <v>75</v>
      </c>
      <c r="G72" s="595">
        <f>+D72*E72/100000</f>
        <v>43477.5</v>
      </c>
      <c r="H72" s="595">
        <f>+D72*F72/100000</f>
        <v>32608.125</v>
      </c>
      <c r="I72" s="48"/>
    </row>
    <row r="73" spans="1:10" ht="18" customHeight="1">
      <c r="A73" s="60" t="s">
        <v>216</v>
      </c>
      <c r="B73" s="59" t="s">
        <v>231</v>
      </c>
      <c r="C73" s="595" t="s">
        <v>155</v>
      </c>
      <c r="D73" s="48" t="s">
        <v>155</v>
      </c>
      <c r="E73" s="595" t="s">
        <v>155</v>
      </c>
      <c r="F73" s="595" t="s">
        <v>155</v>
      </c>
      <c r="G73" s="595">
        <f>4000*C38/100000</f>
        <v>11220</v>
      </c>
      <c r="H73" s="595">
        <f>G73*0.902</f>
        <v>10120.44</v>
      </c>
      <c r="I73" s="48"/>
    </row>
    <row r="74" spans="1:10" ht="15" customHeight="1">
      <c r="A74" s="60" t="s">
        <v>232</v>
      </c>
      <c r="B74" s="62" t="s">
        <v>233</v>
      </c>
      <c r="C74" s="61"/>
      <c r="D74" s="48"/>
      <c r="I74" s="48"/>
    </row>
    <row r="75" spans="1:10" ht="17.25" customHeight="1">
      <c r="A75" s="595" t="s">
        <v>234</v>
      </c>
      <c r="B75" s="72" t="s">
        <v>235</v>
      </c>
      <c r="C75" s="595" t="s">
        <v>221</v>
      </c>
      <c r="D75" s="48">
        <f>K38/1000</f>
        <v>11220</v>
      </c>
      <c r="E75" s="595">
        <v>30000</v>
      </c>
      <c r="F75" s="595">
        <f>+E75*0.902</f>
        <v>27060</v>
      </c>
      <c r="G75" s="595">
        <f>+D75*E75/100000</f>
        <v>3366</v>
      </c>
      <c r="H75" s="595">
        <f>+D75*F75/100000</f>
        <v>3036.1320000000001</v>
      </c>
      <c r="I75" s="48"/>
    </row>
    <row r="76" spans="1:10" ht="14.25" customHeight="1">
      <c r="A76" s="595" t="s">
        <v>236</v>
      </c>
      <c r="B76" s="72" t="s">
        <v>237</v>
      </c>
      <c r="C76" s="595" t="s">
        <v>221</v>
      </c>
      <c r="D76" s="48">
        <v>0</v>
      </c>
      <c r="E76" s="595">
        <v>30000</v>
      </c>
      <c r="F76" s="595">
        <f>+E76*0.902</f>
        <v>27060</v>
      </c>
      <c r="G76" s="595">
        <f>+D76*E76/100000</f>
        <v>0</v>
      </c>
      <c r="H76" s="595">
        <f>+D76*F76/100000</f>
        <v>0</v>
      </c>
      <c r="J76" s="48"/>
    </row>
    <row r="77" spans="1:10" ht="17.25" customHeight="1">
      <c r="A77" s="595" t="s">
        <v>244</v>
      </c>
      <c r="B77" s="72" t="s">
        <v>250</v>
      </c>
      <c r="C77" s="595" t="s">
        <v>221</v>
      </c>
      <c r="D77" s="48">
        <v>0</v>
      </c>
      <c r="E77" s="595">
        <v>50000</v>
      </c>
      <c r="F77" s="595">
        <f>+E77*0.902</f>
        <v>45100</v>
      </c>
      <c r="G77" s="595">
        <f>+D77*E77/100000</f>
        <v>0</v>
      </c>
      <c r="H77" s="595">
        <f>+D77*F77/100000</f>
        <v>0</v>
      </c>
      <c r="I77" s="48"/>
    </row>
    <row r="78" spans="1:10" ht="17.25" customHeight="1">
      <c r="A78" s="595" t="s">
        <v>238</v>
      </c>
      <c r="B78" s="72" t="s">
        <v>251</v>
      </c>
      <c r="C78" s="595" t="s">
        <v>221</v>
      </c>
      <c r="D78" s="48">
        <v>0</v>
      </c>
      <c r="E78" s="595">
        <v>50000</v>
      </c>
      <c r="F78" s="595">
        <f>+E78*0.902</f>
        <v>45100</v>
      </c>
      <c r="G78" s="595">
        <f>+D78*E78/100000</f>
        <v>0</v>
      </c>
      <c r="H78" s="595">
        <f>+D78*F78/100000</f>
        <v>0</v>
      </c>
      <c r="I78" s="48"/>
    </row>
    <row r="79" spans="1:10" ht="17.25" customHeight="1">
      <c r="A79" s="595" t="s">
        <v>252</v>
      </c>
      <c r="B79" s="72" t="s">
        <v>253</v>
      </c>
      <c r="C79" s="595" t="s">
        <v>221</v>
      </c>
      <c r="D79" s="48">
        <v>0</v>
      </c>
      <c r="E79" s="595">
        <v>20000</v>
      </c>
      <c r="F79" s="595">
        <f>+E79*0.902</f>
        <v>18040</v>
      </c>
      <c r="G79" s="595">
        <f>+D79*E79/100000</f>
        <v>0</v>
      </c>
      <c r="H79" s="595">
        <f>+D79*F79/100000</f>
        <v>0</v>
      </c>
      <c r="I79" s="48"/>
    </row>
    <row r="80" spans="1:10" ht="17.25" customHeight="1">
      <c r="A80" s="60" t="s">
        <v>240</v>
      </c>
      <c r="B80" s="62" t="s">
        <v>241</v>
      </c>
      <c r="D80" s="48"/>
      <c r="I80" s="48"/>
    </row>
    <row r="81" spans="1:9" ht="18" customHeight="1">
      <c r="A81" s="595" t="s">
        <v>234</v>
      </c>
      <c r="B81" s="72" t="s">
        <v>211</v>
      </c>
      <c r="C81" s="595" t="s">
        <v>221</v>
      </c>
      <c r="D81" s="48">
        <f>L38/1000</f>
        <v>84150</v>
      </c>
      <c r="E81" s="595">
        <v>8000</v>
      </c>
      <c r="F81" s="595">
        <f>E81*1.5</f>
        <v>12000</v>
      </c>
      <c r="G81" s="595">
        <f>+D81*E81/100000</f>
        <v>6732</v>
      </c>
      <c r="H81" s="595">
        <f>+D81*F81/100000</f>
        <v>10098</v>
      </c>
      <c r="I81" s="48"/>
    </row>
    <row r="82" spans="1:9" ht="2.25" customHeight="1">
      <c r="A82" s="60"/>
      <c r="B82" s="72"/>
      <c r="C82" s="595" t="s">
        <v>221</v>
      </c>
      <c r="D82" s="48">
        <v>34.61</v>
      </c>
      <c r="E82" s="595">
        <v>22000</v>
      </c>
      <c r="F82" s="595">
        <f>+E82*0.902</f>
        <v>19844</v>
      </c>
      <c r="G82" s="595">
        <f>+D82*E82/100000</f>
        <v>7.6142000000000003</v>
      </c>
      <c r="H82" s="595">
        <f>+D82*F82/100000</f>
        <v>6.8680083999999999</v>
      </c>
      <c r="I82" s="48"/>
    </row>
    <row r="83" spans="1:9" ht="18" customHeight="1">
      <c r="A83" s="595" t="s">
        <v>242</v>
      </c>
      <c r="B83" s="72" t="s">
        <v>243</v>
      </c>
      <c r="C83" s="595" t="s">
        <v>221</v>
      </c>
      <c r="D83" s="48">
        <f>M38/1000</f>
        <v>67320</v>
      </c>
      <c r="E83" s="595">
        <v>22000</v>
      </c>
      <c r="F83" s="595">
        <f>E83*1.5</f>
        <v>33000</v>
      </c>
      <c r="G83" s="595">
        <f>+D83*E83/100000</f>
        <v>14810.4</v>
      </c>
      <c r="H83" s="595">
        <f>+D83*F83/100000</f>
        <v>22215.599999999999</v>
      </c>
      <c r="I83" s="48"/>
    </row>
    <row r="84" spans="1:9" ht="3" customHeight="1">
      <c r="A84" s="60"/>
      <c r="B84" s="72"/>
      <c r="C84" s="595" t="s">
        <v>221</v>
      </c>
      <c r="D84" s="48">
        <v>34.61</v>
      </c>
      <c r="E84" s="595">
        <v>200</v>
      </c>
      <c r="F84" s="595">
        <f>+E84*0.902</f>
        <v>180.4</v>
      </c>
      <c r="G84" s="595">
        <f>+D84*E84/100000</f>
        <v>6.9220000000000004E-2</v>
      </c>
      <c r="H84" s="595">
        <f>+D84*F84/100000</f>
        <v>6.2436440000000003E-2</v>
      </c>
      <c r="I84" s="48"/>
    </row>
    <row r="85" spans="1:9" ht="18" customHeight="1">
      <c r="A85" s="595" t="s">
        <v>244</v>
      </c>
      <c r="B85" s="72" t="s">
        <v>245</v>
      </c>
      <c r="C85" s="595" t="s">
        <v>221</v>
      </c>
      <c r="D85" s="48">
        <f>N38/1000</f>
        <v>42075</v>
      </c>
      <c r="E85" s="595">
        <v>18000</v>
      </c>
      <c r="F85" s="595">
        <f>E85*1.5</f>
        <v>27000</v>
      </c>
      <c r="G85" s="595">
        <f>+D85*E85/100000</f>
        <v>7573.5</v>
      </c>
      <c r="H85" s="595">
        <f>+D85*F85/100000</f>
        <v>11360.25</v>
      </c>
      <c r="I85" s="48"/>
    </row>
    <row r="86" spans="1:9" ht="2.25" customHeight="1">
      <c r="A86" s="60"/>
      <c r="B86" s="72"/>
      <c r="C86" s="61"/>
      <c r="D86" s="48">
        <v>0</v>
      </c>
      <c r="E86" s="595" t="s">
        <v>155</v>
      </c>
      <c r="F86" s="595" t="s">
        <v>155</v>
      </c>
      <c r="I86" s="48"/>
    </row>
    <row r="87" spans="1:9" ht="3.75" hidden="1" customHeight="1">
      <c r="A87" s="60"/>
      <c r="B87" s="72"/>
      <c r="C87" s="61"/>
      <c r="D87" s="48">
        <v>0</v>
      </c>
      <c r="F87" s="595">
        <f>+E87*0.902</f>
        <v>0</v>
      </c>
      <c r="G87" s="595">
        <f>+D87*E87/100000</f>
        <v>0</v>
      </c>
      <c r="H87" s="595">
        <f>+D87*F87/100000</f>
        <v>0</v>
      </c>
      <c r="I87" s="48"/>
    </row>
    <row r="88" spans="1:9" ht="18" customHeight="1">
      <c r="A88" s="60" t="s">
        <v>246</v>
      </c>
      <c r="B88" s="59" t="s">
        <v>247</v>
      </c>
      <c r="C88" s="595" t="s">
        <v>155</v>
      </c>
      <c r="D88" s="48" t="s">
        <v>155</v>
      </c>
      <c r="E88" s="595" t="s">
        <v>155</v>
      </c>
      <c r="F88" s="595" t="s">
        <v>155</v>
      </c>
      <c r="G88" s="595">
        <v>500</v>
      </c>
      <c r="H88" s="595">
        <f>G88*0.902</f>
        <v>451</v>
      </c>
      <c r="I88" s="48"/>
    </row>
    <row r="89" spans="1:9" ht="20.25" customHeight="1">
      <c r="A89" s="60" t="s">
        <v>248</v>
      </c>
      <c r="B89" s="59" t="s">
        <v>249</v>
      </c>
      <c r="C89" s="595" t="s">
        <v>155</v>
      </c>
      <c r="D89" s="48" t="s">
        <v>155</v>
      </c>
      <c r="E89" s="595" t="s">
        <v>155</v>
      </c>
      <c r="F89" s="595" t="s">
        <v>155</v>
      </c>
      <c r="G89" s="595">
        <v>1000</v>
      </c>
      <c r="H89" s="595">
        <f>G89*1.5</f>
        <v>1500</v>
      </c>
      <c r="I89" s="48"/>
    </row>
    <row r="90" spans="1:9" ht="18" customHeight="1">
      <c r="A90" s="63"/>
      <c r="B90" s="53" t="s">
        <v>12</v>
      </c>
      <c r="C90" s="53" t="s">
        <v>155</v>
      </c>
      <c r="D90" s="53" t="s">
        <v>155</v>
      </c>
      <c r="E90" s="53" t="s">
        <v>155</v>
      </c>
      <c r="F90" s="53"/>
      <c r="G90" s="53">
        <f>SUM(G72:G89)</f>
        <v>88687.08342000001</v>
      </c>
      <c r="H90" s="45">
        <f>SUM(H72:H89)</f>
        <v>91396.477444839998</v>
      </c>
    </row>
    <row r="91" spans="1:9" ht="6" customHeight="1"/>
    <row r="92" spans="1:9" ht="18" customHeight="1">
      <c r="B92" s="72" t="s">
        <v>254</v>
      </c>
      <c r="D92" s="48">
        <f>+D72-D55</f>
        <v>19322500</v>
      </c>
      <c r="E92" s="595" t="s">
        <v>255</v>
      </c>
    </row>
    <row r="93" spans="1:9" ht="23.25" hidden="1" customHeight="1">
      <c r="E93" s="65" t="s">
        <v>256</v>
      </c>
    </row>
    <row r="94" spans="1:9" ht="18" hidden="1" customHeight="1">
      <c r="A94" s="66" t="s">
        <v>257</v>
      </c>
      <c r="B94" s="67" t="s">
        <v>258</v>
      </c>
    </row>
    <row r="95" spans="1:9" ht="18" hidden="1" customHeight="1">
      <c r="B95" s="41"/>
    </row>
    <row r="96" spans="1:9" ht="15" hidden="1" customHeight="1">
      <c r="A96" s="56" t="s">
        <v>200</v>
      </c>
      <c r="B96" s="57" t="s">
        <v>226</v>
      </c>
      <c r="C96" s="56"/>
      <c r="D96" s="57"/>
      <c r="E96" s="57" t="s">
        <v>186</v>
      </c>
      <c r="F96" s="56"/>
      <c r="G96" s="57"/>
      <c r="H96" s="57" t="s">
        <v>188</v>
      </c>
      <c r="I96" s="57"/>
    </row>
    <row r="97" spans="1:9" ht="13.5" hidden="1" customHeight="1">
      <c r="A97" s="68" t="s">
        <v>102</v>
      </c>
      <c r="B97" s="69"/>
      <c r="C97" s="68"/>
      <c r="D97" s="69"/>
      <c r="E97" s="69"/>
      <c r="F97" s="68"/>
      <c r="G97" s="69"/>
      <c r="H97" s="69"/>
      <c r="I97" s="69"/>
    </row>
    <row r="98" spans="1:9" ht="18" hidden="1" customHeight="1">
      <c r="A98" s="70" t="s">
        <v>214</v>
      </c>
      <c r="B98" s="72" t="s">
        <v>259</v>
      </c>
    </row>
    <row r="99" spans="1:9" ht="18" hidden="1" customHeight="1">
      <c r="A99" s="60" t="s">
        <v>216</v>
      </c>
      <c r="B99" s="72" t="s">
        <v>260</v>
      </c>
    </row>
    <row r="100" spans="1:9" ht="18" hidden="1" customHeight="1">
      <c r="A100" s="60" t="s">
        <v>232</v>
      </c>
      <c r="B100" s="72" t="s">
        <v>261</v>
      </c>
    </row>
    <row r="101" spans="1:9" ht="18" hidden="1" customHeight="1">
      <c r="A101" s="60" t="s">
        <v>240</v>
      </c>
      <c r="B101" s="72" t="s">
        <v>16</v>
      </c>
    </row>
    <row r="102" spans="1:9" ht="18" hidden="1" customHeight="1">
      <c r="A102" s="45" t="s">
        <v>262</v>
      </c>
      <c r="B102" s="71"/>
      <c r="C102" s="45"/>
      <c r="D102" s="63"/>
      <c r="E102" s="45">
        <f>SUM(E98:E101)</f>
        <v>0</v>
      </c>
      <c r="F102" s="53"/>
      <c r="G102" s="45"/>
      <c r="H102" s="45">
        <f>SUM(H98:H101)</f>
        <v>0</v>
      </c>
      <c r="I102" s="45"/>
    </row>
    <row r="103" spans="1:9" ht="18" hidden="1" customHeight="1">
      <c r="A103" s="72" t="s">
        <v>263</v>
      </c>
      <c r="B103" s="73"/>
      <c r="C103" s="74"/>
      <c r="D103" s="75"/>
      <c r="E103" s="74"/>
      <c r="F103" s="76"/>
      <c r="G103" s="74"/>
      <c r="H103" s="74"/>
    </row>
    <row r="104" spans="1:9" ht="18" hidden="1" customHeight="1">
      <c r="B104" s="69" t="s">
        <v>264</v>
      </c>
      <c r="C104" s="69"/>
      <c r="D104" s="77"/>
      <c r="E104" s="69">
        <f>+E102*74800*0.00001</f>
        <v>0</v>
      </c>
      <c r="F104" s="68"/>
      <c r="G104" s="69"/>
      <c r="H104" s="69">
        <f>+H102*74800*0.00001</f>
        <v>0</v>
      </c>
      <c r="I104" s="69"/>
    </row>
    <row r="105" spans="1:9" ht="12" hidden="1" customHeight="1"/>
    <row r="106" spans="1:9" ht="18" hidden="1" customHeight="1">
      <c r="A106" s="66" t="s">
        <v>265</v>
      </c>
      <c r="B106" s="67" t="s">
        <v>266</v>
      </c>
    </row>
    <row r="107" spans="1:9" ht="18" hidden="1" customHeight="1">
      <c r="B107" s="41"/>
    </row>
    <row r="108" spans="1:9" ht="15" hidden="1" customHeight="1">
      <c r="A108" s="56" t="s">
        <v>200</v>
      </c>
      <c r="B108" s="57" t="s">
        <v>226</v>
      </c>
      <c r="C108" s="56"/>
      <c r="D108" s="57"/>
      <c r="E108" s="57" t="s">
        <v>186</v>
      </c>
      <c r="F108" s="56"/>
      <c r="G108" s="57"/>
      <c r="H108" s="57" t="s">
        <v>188</v>
      </c>
      <c r="I108" s="57"/>
    </row>
    <row r="109" spans="1:9" ht="14.25" hidden="1" customHeight="1">
      <c r="A109" s="68" t="s">
        <v>102</v>
      </c>
      <c r="B109" s="69"/>
      <c r="C109" s="68"/>
      <c r="D109" s="69"/>
      <c r="E109" s="69"/>
      <c r="F109" s="68"/>
      <c r="G109" s="69"/>
      <c r="H109" s="69"/>
      <c r="I109" s="69"/>
    </row>
    <row r="110" spans="1:9" ht="18" hidden="1" customHeight="1">
      <c r="A110" s="70" t="s">
        <v>214</v>
      </c>
      <c r="B110" s="72" t="s">
        <v>259</v>
      </c>
    </row>
    <row r="111" spans="1:9" ht="18" hidden="1" customHeight="1">
      <c r="A111" s="60" t="s">
        <v>216</v>
      </c>
      <c r="B111" s="72" t="s">
        <v>260</v>
      </c>
    </row>
    <row r="112" spans="1:9" ht="18" hidden="1" customHeight="1">
      <c r="A112" s="60" t="s">
        <v>232</v>
      </c>
      <c r="B112" s="72" t="s">
        <v>261</v>
      </c>
    </row>
    <row r="113" spans="1:9" ht="18" hidden="1" customHeight="1">
      <c r="A113" s="60" t="s">
        <v>240</v>
      </c>
      <c r="B113" s="72" t="s">
        <v>16</v>
      </c>
    </row>
    <row r="114" spans="1:9" ht="18" hidden="1" customHeight="1">
      <c r="A114" s="45" t="s">
        <v>262</v>
      </c>
      <c r="B114" s="71"/>
      <c r="C114" s="45"/>
      <c r="D114" s="63"/>
      <c r="E114" s="45">
        <f>SUM(E110:E113)</f>
        <v>0</v>
      </c>
      <c r="F114" s="53"/>
      <c r="G114" s="45"/>
      <c r="H114" s="45">
        <f>SUM(H110:H113)</f>
        <v>0</v>
      </c>
      <c r="I114" s="45"/>
    </row>
    <row r="115" spans="1:9" ht="18" hidden="1" customHeight="1">
      <c r="A115" s="72" t="s">
        <v>263</v>
      </c>
      <c r="B115" s="73"/>
      <c r="C115" s="74"/>
      <c r="D115" s="75"/>
      <c r="E115" s="74"/>
      <c r="F115" s="76"/>
      <c r="G115" s="74"/>
      <c r="H115" s="74"/>
    </row>
    <row r="116" spans="1:9" ht="18" hidden="1" customHeight="1">
      <c r="B116" s="69" t="s">
        <v>264</v>
      </c>
      <c r="C116" s="69"/>
      <c r="D116" s="77"/>
      <c r="E116" s="69">
        <f>+E114*74800*0.00001</f>
        <v>0</v>
      </c>
      <c r="F116" s="68"/>
      <c r="G116" s="69"/>
      <c r="H116" s="69">
        <f>+H114*74800*0.00001</f>
        <v>0</v>
      </c>
      <c r="I116" s="69"/>
    </row>
    <row r="117" spans="1:9" ht="15.75" customHeight="1"/>
    <row r="118" spans="1:9" ht="15.75" customHeight="1"/>
    <row r="119" spans="1:9" ht="15.75" customHeight="1"/>
    <row r="120" spans="1:9" ht="15.75" customHeight="1"/>
    <row r="121" spans="1:9" ht="15.75" customHeight="1"/>
    <row r="122" spans="1:9" ht="15.75" customHeight="1"/>
    <row r="123" spans="1:9" ht="15.75" customHeight="1"/>
    <row r="124" spans="1:9" ht="27.75" customHeight="1">
      <c r="A124" s="683" t="s">
        <v>267</v>
      </c>
      <c r="B124" s="682"/>
      <c r="C124" s="682"/>
      <c r="D124" s="682"/>
      <c r="E124" s="682"/>
      <c r="F124" s="682"/>
      <c r="G124" s="682"/>
      <c r="H124" s="682"/>
    </row>
    <row r="125" spans="1:9" ht="6" customHeight="1"/>
    <row r="126" spans="1:9" ht="15" customHeight="1">
      <c r="A126" s="66" t="s">
        <v>257</v>
      </c>
      <c r="B126" s="39" t="s">
        <v>222</v>
      </c>
    </row>
    <row r="127" spans="1:9" ht="3.75" customHeight="1"/>
    <row r="128" spans="1:9" ht="16.5" customHeight="1">
      <c r="A128" s="66"/>
      <c r="B128" s="39"/>
      <c r="E128" s="69" t="s">
        <v>186</v>
      </c>
      <c r="F128" s="78"/>
      <c r="H128" s="69" t="s">
        <v>188</v>
      </c>
    </row>
    <row r="129" spans="1:8" ht="6" customHeight="1"/>
    <row r="130" spans="1:8" ht="15" customHeight="1">
      <c r="A130" s="60" t="s">
        <v>214</v>
      </c>
      <c r="B130" s="72" t="s">
        <v>268</v>
      </c>
      <c r="E130" s="595">
        <f>+H38</f>
        <v>154275</v>
      </c>
      <c r="H130" s="595">
        <f>+I38</f>
        <v>155046.37499999997</v>
      </c>
    </row>
    <row r="131" spans="1:8" ht="5.25" customHeight="1"/>
    <row r="132" spans="1:8" ht="18" customHeight="1">
      <c r="A132" s="60" t="s">
        <v>216</v>
      </c>
      <c r="B132" s="79" t="s">
        <v>269</v>
      </c>
    </row>
    <row r="133" spans="1:8" ht="5.25" customHeight="1"/>
    <row r="134" spans="1:8" ht="15" customHeight="1">
      <c r="B134" s="72" t="s">
        <v>270</v>
      </c>
      <c r="E134" s="595">
        <f>+G90</f>
        <v>88687.08342000001</v>
      </c>
      <c r="H134" s="595">
        <f>+H90</f>
        <v>91396.477444839998</v>
      </c>
    </row>
    <row r="135" spans="1:8" ht="18" customHeight="1">
      <c r="B135" s="72" t="s">
        <v>271</v>
      </c>
      <c r="E135" s="595">
        <f>+E116*1</f>
        <v>0</v>
      </c>
      <c r="H135" s="595">
        <f>+H116*1</f>
        <v>0</v>
      </c>
    </row>
    <row r="136" spans="1:8" ht="2.25" customHeight="1"/>
    <row r="137" spans="1:8" ht="15" customHeight="1">
      <c r="A137" s="60" t="s">
        <v>232</v>
      </c>
      <c r="B137" s="72" t="s">
        <v>272</v>
      </c>
      <c r="E137" s="595">
        <f>E130-E134</f>
        <v>65587.91657999999</v>
      </c>
      <c r="H137" s="595">
        <f>H130-H134</f>
        <v>63649.897555159972</v>
      </c>
    </row>
    <row r="138" spans="1:8" ht="12" customHeight="1"/>
    <row r="139" spans="1:8" ht="18" customHeight="1">
      <c r="A139" s="66" t="s">
        <v>265</v>
      </c>
      <c r="B139" s="80" t="s">
        <v>199</v>
      </c>
    </row>
    <row r="140" spans="1:8" ht="3.75" customHeight="1"/>
    <row r="141" spans="1:8" ht="15.75" customHeight="1">
      <c r="A141" s="60" t="s">
        <v>214</v>
      </c>
      <c r="B141" s="72" t="s">
        <v>268</v>
      </c>
      <c r="E141" s="595">
        <f>+H11*1</f>
        <v>71450</v>
      </c>
      <c r="H141" s="595">
        <f>+I11*1</f>
        <v>71807.249999999985</v>
      </c>
    </row>
    <row r="142" spans="1:8" ht="5.25" customHeight="1"/>
    <row r="143" spans="1:8" ht="15.75" customHeight="1">
      <c r="A143" s="60" t="s">
        <v>216</v>
      </c>
      <c r="B143" s="79" t="s">
        <v>269</v>
      </c>
      <c r="E143" s="81"/>
      <c r="F143" s="74"/>
      <c r="G143" s="74"/>
      <c r="H143" s="74"/>
    </row>
    <row r="144" spans="1:8" ht="5.25" customHeight="1"/>
    <row r="145" spans="1:10" ht="15.75" customHeight="1">
      <c r="B145" s="72" t="s">
        <v>270</v>
      </c>
      <c r="E145" s="595">
        <f>+G67*1</f>
        <v>49526.400000000001</v>
      </c>
      <c r="H145" s="595">
        <f>+H67*1</f>
        <v>50705.238000000005</v>
      </c>
    </row>
    <row r="146" spans="1:10" ht="15.75" customHeight="1">
      <c r="B146" s="72" t="s">
        <v>271</v>
      </c>
      <c r="E146" s="595">
        <f>+E104*1</f>
        <v>0</v>
      </c>
      <c r="H146" s="595">
        <f>+H104*1</f>
        <v>0</v>
      </c>
    </row>
    <row r="147" spans="1:10" ht="6" customHeight="1"/>
    <row r="148" spans="1:10" ht="15.75" customHeight="1">
      <c r="A148" s="60" t="s">
        <v>232</v>
      </c>
      <c r="B148" s="72" t="s">
        <v>273</v>
      </c>
      <c r="E148" s="595">
        <f>E141-E145</f>
        <v>21923.599999999999</v>
      </c>
      <c r="H148" s="595">
        <f>H141-H145</f>
        <v>21102.011999999981</v>
      </c>
    </row>
    <row r="149" spans="1:10" ht="6" customHeight="1"/>
    <row r="150" spans="1:10" ht="31.5" customHeight="1">
      <c r="A150" s="82" t="s">
        <v>274</v>
      </c>
      <c r="B150" s="681" t="s">
        <v>275</v>
      </c>
      <c r="C150" s="682"/>
      <c r="D150" s="682"/>
      <c r="E150" s="82">
        <f>+E137-E148</f>
        <v>43664.316579999992</v>
      </c>
      <c r="F150" s="82"/>
      <c r="G150" s="82"/>
      <c r="H150" s="82">
        <f>+H137-H148</f>
        <v>42547.885555159992</v>
      </c>
      <c r="J150" s="82"/>
    </row>
    <row r="151" spans="1:10" ht="15.75" customHeight="1">
      <c r="A151" s="82"/>
      <c r="B151" s="59"/>
      <c r="C151" s="82"/>
      <c r="D151" s="82"/>
      <c r="E151" s="82"/>
      <c r="F151" s="82"/>
      <c r="G151" s="82"/>
      <c r="H151" s="82"/>
      <c r="J151" s="82"/>
    </row>
    <row r="152" spans="1:10" ht="15.75" customHeight="1">
      <c r="A152" s="82"/>
      <c r="B152" s="59"/>
      <c r="C152" s="82"/>
      <c r="D152" s="82"/>
      <c r="E152" s="82"/>
      <c r="F152" s="82"/>
      <c r="G152" s="82"/>
      <c r="H152" s="82"/>
      <c r="J152" s="82"/>
    </row>
    <row r="153" spans="1:10" ht="15.75" customHeight="1">
      <c r="A153" s="82"/>
      <c r="B153" s="59"/>
      <c r="C153" s="82"/>
      <c r="D153" s="82"/>
      <c r="E153" s="82"/>
      <c r="F153" s="82"/>
      <c r="G153" s="82"/>
      <c r="H153" s="82"/>
      <c r="J153" s="82"/>
    </row>
    <row r="154" spans="1:10" ht="18" customHeight="1">
      <c r="A154" s="48"/>
    </row>
    <row r="155" spans="1:10" ht="18" customHeight="1">
      <c r="A155" s="48"/>
    </row>
    <row r="156" spans="1:10" ht="18" customHeight="1">
      <c r="A156" s="48"/>
    </row>
    <row r="157" spans="1:10" ht="18" customHeight="1">
      <c r="A157" s="48"/>
    </row>
    <row r="158" spans="1:10" ht="18" customHeight="1">
      <c r="A158" s="48"/>
    </row>
    <row r="159" spans="1:10" ht="18" customHeight="1">
      <c r="A159" s="48"/>
    </row>
    <row r="160" spans="1:10" ht="18" customHeight="1">
      <c r="A160" s="48"/>
    </row>
    <row r="161" spans="1:1" ht="18" customHeight="1">
      <c r="A161" s="48"/>
    </row>
    <row r="162" spans="1:1" ht="18" customHeight="1">
      <c r="A162" s="48"/>
    </row>
    <row r="163" spans="1:1" ht="18" customHeight="1">
      <c r="A163" s="48"/>
    </row>
    <row r="164" spans="1:1" ht="18" customHeight="1">
      <c r="A164" s="48"/>
    </row>
    <row r="165" spans="1:1" ht="18" customHeight="1">
      <c r="A165" s="48"/>
    </row>
    <row r="166" spans="1:1" ht="18" customHeight="1">
      <c r="A166" s="48"/>
    </row>
    <row r="167" spans="1:1" ht="18" customHeight="1">
      <c r="A167" s="48"/>
    </row>
    <row r="168" spans="1:1" ht="18" customHeight="1">
      <c r="A168" s="48"/>
    </row>
    <row r="169" spans="1:1" ht="18" customHeight="1">
      <c r="A169" s="48"/>
    </row>
    <row r="170" spans="1:1" ht="18" customHeight="1">
      <c r="A170" s="48"/>
    </row>
    <row r="171" spans="1:1" ht="18" customHeight="1">
      <c r="A171" s="48"/>
    </row>
    <row r="172" spans="1:1" ht="18" customHeight="1">
      <c r="A172" s="48"/>
    </row>
    <row r="173" spans="1:1" ht="18" customHeight="1">
      <c r="A173" s="48"/>
    </row>
    <row r="174" spans="1:1" ht="18" customHeight="1">
      <c r="A174" s="48"/>
    </row>
    <row r="175" spans="1:1" ht="18" customHeight="1">
      <c r="A175" s="48"/>
    </row>
    <row r="176" spans="1:1" ht="18" customHeight="1">
      <c r="A176" s="48"/>
    </row>
    <row r="177" spans="1:1" ht="18" customHeight="1">
      <c r="A177" s="48"/>
    </row>
    <row r="178" spans="1:1" ht="18" customHeight="1">
      <c r="A178" s="48"/>
    </row>
    <row r="179" spans="1:1" ht="18" customHeight="1">
      <c r="A179" s="48"/>
    </row>
    <row r="180" spans="1:1" ht="18" customHeight="1">
      <c r="A180" s="48"/>
    </row>
    <row r="181" spans="1:1" ht="18" customHeight="1">
      <c r="A181" s="48"/>
    </row>
    <row r="182" spans="1:1" ht="18" customHeight="1">
      <c r="A182" s="48"/>
    </row>
    <row r="183" spans="1:1" ht="18" customHeight="1">
      <c r="A183" s="48"/>
    </row>
    <row r="184" spans="1:1" ht="18" customHeight="1">
      <c r="A184" s="48"/>
    </row>
    <row r="185" spans="1:1" ht="18" customHeight="1">
      <c r="A185" s="48"/>
    </row>
    <row r="186" spans="1:1" ht="18" customHeight="1">
      <c r="A186" s="48"/>
    </row>
    <row r="187" spans="1:1" ht="18" customHeight="1">
      <c r="A187" s="48"/>
    </row>
    <row r="188" spans="1:1" ht="18" customHeight="1">
      <c r="A188" s="48"/>
    </row>
    <row r="189" spans="1:1" ht="18" customHeight="1">
      <c r="A189" s="48"/>
    </row>
    <row r="190" spans="1:1" ht="18" customHeight="1">
      <c r="A190" s="48"/>
    </row>
    <row r="191" spans="1:1" ht="18" customHeight="1">
      <c r="A191" s="48"/>
    </row>
    <row r="192" spans="1:1" ht="18" customHeight="1">
      <c r="A192" s="48"/>
    </row>
    <row r="193" spans="1:1" ht="18" customHeight="1">
      <c r="A193" s="48"/>
    </row>
    <row r="194" spans="1:1" ht="18" customHeight="1">
      <c r="A194" s="48"/>
    </row>
    <row r="195" spans="1:1" ht="18" customHeight="1">
      <c r="A195" s="48"/>
    </row>
    <row r="196" spans="1:1" ht="18" customHeight="1">
      <c r="A196" s="48"/>
    </row>
    <row r="197" spans="1:1" ht="18" customHeight="1">
      <c r="A197" s="48"/>
    </row>
    <row r="198" spans="1:1" ht="18" customHeight="1">
      <c r="A198" s="48"/>
    </row>
    <row r="199" spans="1:1" ht="18" customHeight="1">
      <c r="A199" s="48"/>
    </row>
    <row r="200" spans="1:1" ht="18" customHeight="1">
      <c r="A200" s="48"/>
    </row>
    <row r="201" spans="1:1" ht="18" customHeight="1">
      <c r="A201" s="48"/>
    </row>
    <row r="202" spans="1:1" ht="18" customHeight="1">
      <c r="A202" s="48"/>
    </row>
    <row r="203" spans="1:1" ht="18" customHeight="1">
      <c r="A203" s="48"/>
    </row>
    <row r="204" spans="1:1" ht="18" customHeight="1">
      <c r="A204" s="48"/>
    </row>
    <row r="205" spans="1:1" ht="18" customHeight="1">
      <c r="A205" s="48"/>
    </row>
    <row r="206" spans="1:1" ht="18" customHeight="1">
      <c r="A206" s="48"/>
    </row>
    <row r="207" spans="1:1" ht="18" customHeight="1">
      <c r="A207" s="48"/>
    </row>
    <row r="208" spans="1:1" ht="18" customHeight="1">
      <c r="A208" s="48"/>
    </row>
    <row r="209" spans="1:1" ht="18" customHeight="1">
      <c r="A209" s="48"/>
    </row>
    <row r="210" spans="1:1" ht="18" customHeight="1">
      <c r="A210" s="48"/>
    </row>
    <row r="211" spans="1:1" ht="18" customHeight="1">
      <c r="A211" s="48"/>
    </row>
    <row r="212" spans="1:1" ht="18" customHeight="1">
      <c r="A212" s="48"/>
    </row>
    <row r="213" spans="1:1" ht="18" customHeight="1">
      <c r="A213" s="48"/>
    </row>
    <row r="214" spans="1:1" ht="18" customHeight="1">
      <c r="A214" s="48"/>
    </row>
    <row r="215" spans="1:1" ht="18" customHeight="1">
      <c r="A215" s="48"/>
    </row>
    <row r="216" spans="1:1" ht="18" customHeight="1">
      <c r="A216" s="48"/>
    </row>
    <row r="217" spans="1:1" ht="18" customHeight="1">
      <c r="A217" s="48"/>
    </row>
    <row r="218" spans="1:1" ht="18" customHeight="1">
      <c r="A218" s="48"/>
    </row>
    <row r="219" spans="1:1" ht="18" customHeight="1">
      <c r="A219" s="48"/>
    </row>
    <row r="220" spans="1:1" ht="18" customHeight="1">
      <c r="A220" s="48"/>
    </row>
    <row r="221" spans="1:1" ht="18" customHeight="1">
      <c r="A221" s="48"/>
    </row>
    <row r="222" spans="1:1" ht="18" customHeight="1">
      <c r="A222" s="48"/>
    </row>
    <row r="223" spans="1:1" ht="18" customHeight="1">
      <c r="A223" s="48"/>
    </row>
    <row r="224" spans="1:1" ht="18" customHeight="1">
      <c r="A224" s="48"/>
    </row>
    <row r="225" spans="1:1" ht="18" customHeight="1">
      <c r="A225" s="48"/>
    </row>
    <row r="226" spans="1:1" ht="18" customHeight="1">
      <c r="A226" s="48"/>
    </row>
    <row r="227" spans="1:1" ht="18" customHeight="1">
      <c r="A227" s="48"/>
    </row>
    <row r="228" spans="1:1" ht="18" customHeight="1">
      <c r="A228" s="48"/>
    </row>
    <row r="229" spans="1:1" ht="18" customHeight="1">
      <c r="A229" s="48"/>
    </row>
    <row r="230" spans="1:1" ht="18" customHeight="1">
      <c r="A230" s="48"/>
    </row>
    <row r="231" spans="1:1" ht="18" customHeight="1">
      <c r="A231" s="48"/>
    </row>
    <row r="232" spans="1:1" ht="18" customHeight="1">
      <c r="A232" s="48"/>
    </row>
    <row r="233" spans="1:1" ht="18" customHeight="1">
      <c r="A233" s="48"/>
    </row>
    <row r="234" spans="1:1" ht="18" customHeight="1">
      <c r="A234" s="48"/>
    </row>
    <row r="235" spans="1:1" ht="18" customHeight="1">
      <c r="A235" s="48"/>
    </row>
    <row r="236" spans="1:1" ht="18" customHeight="1">
      <c r="A236" s="48"/>
    </row>
    <row r="237" spans="1:1" ht="18" customHeight="1">
      <c r="A237" s="48"/>
    </row>
    <row r="238" spans="1:1" ht="18" customHeight="1">
      <c r="A238" s="48"/>
    </row>
    <row r="239" spans="1:1" ht="18" customHeight="1">
      <c r="A239" s="48"/>
    </row>
    <row r="240" spans="1:1" ht="18" customHeight="1">
      <c r="A240" s="48"/>
    </row>
    <row r="241" spans="1:1" ht="18" customHeight="1">
      <c r="A241" s="48"/>
    </row>
    <row r="242" spans="1:1" ht="18" customHeight="1">
      <c r="A242" s="48"/>
    </row>
    <row r="243" spans="1:1" ht="18" customHeight="1">
      <c r="A243" s="48"/>
    </row>
    <row r="244" spans="1:1" ht="18" customHeight="1">
      <c r="A244" s="48"/>
    </row>
    <row r="245" spans="1:1" ht="18" customHeight="1">
      <c r="A245" s="48"/>
    </row>
    <row r="246" spans="1:1" ht="18" customHeight="1">
      <c r="A246" s="48"/>
    </row>
    <row r="247" spans="1:1" ht="18" customHeight="1">
      <c r="A247" s="48"/>
    </row>
    <row r="248" spans="1:1" ht="18" customHeight="1">
      <c r="A248" s="48"/>
    </row>
    <row r="249" spans="1:1" ht="18" customHeight="1">
      <c r="A249" s="48"/>
    </row>
    <row r="250" spans="1:1" ht="18" customHeight="1">
      <c r="A250" s="48"/>
    </row>
    <row r="251" spans="1:1" ht="18" customHeight="1">
      <c r="A251" s="48"/>
    </row>
    <row r="252" spans="1:1" ht="18" customHeight="1">
      <c r="A252" s="48"/>
    </row>
    <row r="253" spans="1:1" ht="18" customHeight="1">
      <c r="A253" s="48"/>
    </row>
    <row r="254" spans="1:1" ht="18" customHeight="1">
      <c r="A254" s="48"/>
    </row>
    <row r="255" spans="1:1" ht="18" customHeight="1">
      <c r="A255" s="48"/>
    </row>
    <row r="256" spans="1:1" ht="18" customHeight="1">
      <c r="A256" s="48"/>
    </row>
    <row r="257" spans="1:1" ht="18" customHeight="1">
      <c r="A257" s="48"/>
    </row>
    <row r="258" spans="1:1" ht="18" customHeight="1">
      <c r="A258" s="48"/>
    </row>
    <row r="259" spans="1:1" ht="18" customHeight="1">
      <c r="A259" s="48"/>
    </row>
    <row r="260" spans="1:1" ht="18" customHeight="1">
      <c r="A260" s="48"/>
    </row>
    <row r="261" spans="1:1" ht="18" customHeight="1">
      <c r="A261" s="48"/>
    </row>
    <row r="262" spans="1:1" ht="18" customHeight="1">
      <c r="A262" s="48"/>
    </row>
    <row r="263" spans="1:1" ht="18" customHeight="1">
      <c r="A263" s="48"/>
    </row>
    <row r="264" spans="1:1" ht="18" customHeight="1">
      <c r="A264" s="48"/>
    </row>
    <row r="265" spans="1:1" ht="18" customHeight="1">
      <c r="A265" s="48"/>
    </row>
    <row r="266" spans="1:1" ht="18" customHeight="1">
      <c r="A266" s="48"/>
    </row>
    <row r="267" spans="1:1" ht="18" customHeight="1">
      <c r="A267" s="48"/>
    </row>
    <row r="268" spans="1:1" ht="18" customHeight="1">
      <c r="A268" s="48"/>
    </row>
    <row r="269" spans="1:1" ht="18" customHeight="1">
      <c r="A269" s="48"/>
    </row>
    <row r="270" spans="1:1" ht="18" customHeight="1">
      <c r="A270" s="48"/>
    </row>
    <row r="271" spans="1:1" ht="18" customHeight="1">
      <c r="A271" s="48"/>
    </row>
    <row r="272" spans="1:1" ht="18" customHeight="1">
      <c r="A272" s="48"/>
    </row>
    <row r="273" spans="1:1" ht="18" customHeight="1">
      <c r="A273" s="48"/>
    </row>
    <row r="274" spans="1:1" ht="18" customHeight="1">
      <c r="A274" s="48"/>
    </row>
    <row r="275" spans="1:1" ht="18" customHeight="1">
      <c r="A275" s="48"/>
    </row>
    <row r="276" spans="1:1" ht="18" customHeight="1">
      <c r="A276" s="48"/>
    </row>
    <row r="277" spans="1:1" ht="18" customHeight="1">
      <c r="A277" s="48"/>
    </row>
    <row r="278" spans="1:1" ht="18" customHeight="1">
      <c r="A278" s="48"/>
    </row>
    <row r="279" spans="1:1" ht="18" customHeight="1">
      <c r="A279" s="48"/>
    </row>
    <row r="280" spans="1:1" ht="18" customHeight="1">
      <c r="A280" s="48"/>
    </row>
    <row r="281" spans="1:1" ht="18" customHeight="1">
      <c r="A281" s="48"/>
    </row>
    <row r="282" spans="1:1" ht="18" customHeight="1">
      <c r="A282" s="48"/>
    </row>
    <row r="283" spans="1:1" ht="18" customHeight="1">
      <c r="A283" s="48"/>
    </row>
    <row r="284" spans="1:1" ht="18" customHeight="1">
      <c r="A284" s="48"/>
    </row>
    <row r="285" spans="1:1" ht="18" customHeight="1">
      <c r="A285" s="48"/>
    </row>
    <row r="286" spans="1:1" ht="18" customHeight="1">
      <c r="A286" s="48"/>
    </row>
    <row r="287" spans="1:1" ht="18" customHeight="1">
      <c r="A287" s="48"/>
    </row>
    <row r="288" spans="1:1" ht="18" customHeight="1">
      <c r="A288" s="48"/>
    </row>
    <row r="289" spans="1:1" ht="18" customHeight="1">
      <c r="A289" s="48"/>
    </row>
    <row r="290" spans="1:1" ht="18" customHeight="1">
      <c r="A290" s="48"/>
    </row>
    <row r="291" spans="1:1" ht="18" customHeight="1">
      <c r="A291" s="48"/>
    </row>
    <row r="292" spans="1:1" ht="18" customHeight="1">
      <c r="A292" s="48"/>
    </row>
    <row r="293" spans="1:1" ht="18" customHeight="1">
      <c r="A293" s="48"/>
    </row>
    <row r="294" spans="1:1" ht="18" customHeight="1">
      <c r="A294" s="48"/>
    </row>
    <row r="295" spans="1:1" ht="18" customHeight="1">
      <c r="A295" s="48"/>
    </row>
    <row r="296" spans="1:1" ht="18" customHeight="1">
      <c r="A296" s="48"/>
    </row>
    <row r="297" spans="1:1" ht="18" customHeight="1">
      <c r="A297" s="48"/>
    </row>
  </sheetData>
  <mergeCells count="2">
    <mergeCell ref="B150:D150"/>
    <mergeCell ref="A124:H124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view="pageBreakPreview" topLeftCell="A4" zoomScaleNormal="100" zoomScaleSheetLayoutView="100" workbookViewId="0">
      <selection activeCell="B15" sqref="B15"/>
    </sheetView>
  </sheetViews>
  <sheetFormatPr defaultRowHeight="15"/>
  <cols>
    <col min="1" max="1" width="12" style="596" customWidth="1"/>
    <col min="2" max="2" width="9.85546875" style="596" bestFit="1" customWidth="1"/>
    <col min="3" max="3" width="9.28515625" style="596" bestFit="1" customWidth="1"/>
    <col min="4" max="4" width="11" style="596" customWidth="1"/>
    <col min="5" max="5" width="10.42578125" style="596" customWidth="1"/>
    <col min="6" max="7" width="11" style="596" customWidth="1"/>
    <col min="8" max="8" width="11.7109375" style="596" customWidth="1"/>
    <col min="10" max="10" width="11.28515625" style="596" customWidth="1"/>
  </cols>
  <sheetData>
    <row r="2" spans="1:8" ht="15.75" customHeight="1">
      <c r="F2" s="688"/>
      <c r="G2" s="685"/>
      <c r="H2" s="685"/>
    </row>
    <row r="4" spans="1:8" ht="18.75" customHeight="1">
      <c r="A4" s="684" t="s">
        <v>276</v>
      </c>
      <c r="B4" s="685"/>
      <c r="C4" s="685"/>
      <c r="D4" s="685"/>
      <c r="E4" s="685"/>
      <c r="F4" s="685"/>
      <c r="G4" s="685"/>
      <c r="H4" s="685"/>
    </row>
    <row r="5" spans="1:8" ht="18.75" customHeight="1">
      <c r="A5" s="684" t="s">
        <v>277</v>
      </c>
      <c r="B5" s="685"/>
      <c r="C5" s="685"/>
      <c r="D5" s="685"/>
      <c r="E5" s="685"/>
      <c r="F5" s="685"/>
      <c r="G5" s="685"/>
      <c r="H5" s="685"/>
    </row>
    <row r="6" spans="1:8" ht="15.75" customHeight="1" thickBot="1">
      <c r="G6" s="686" t="s">
        <v>278</v>
      </c>
      <c r="H6" s="687"/>
    </row>
    <row r="7" spans="1:8" ht="46.5" customHeight="1" thickTop="1" thickBot="1">
      <c r="A7" s="1" t="s">
        <v>279</v>
      </c>
      <c r="B7" s="19" t="s">
        <v>280</v>
      </c>
      <c r="C7" s="19" t="s">
        <v>281</v>
      </c>
      <c r="D7" s="2" t="s">
        <v>282</v>
      </c>
      <c r="E7" s="19" t="s">
        <v>283</v>
      </c>
      <c r="F7" s="19" t="s">
        <v>284</v>
      </c>
      <c r="G7" s="19" t="s">
        <v>285</v>
      </c>
      <c r="H7" s="3" t="s">
        <v>286</v>
      </c>
    </row>
    <row r="8" spans="1:8" ht="15.75" customHeight="1" thickTop="1">
      <c r="A8" s="4">
        <v>1</v>
      </c>
      <c r="B8" s="5">
        <f>+Inves._Cost!E99</f>
        <v>1456.29</v>
      </c>
      <c r="C8" s="5">
        <v>0</v>
      </c>
      <c r="D8" s="5">
        <f t="shared" ref="D8:D37" si="0">SUM(B8:C8)</f>
        <v>1456.29</v>
      </c>
      <c r="E8" s="20">
        <f>EIRR!E8/0.902</f>
        <v>0</v>
      </c>
      <c r="F8" s="5">
        <v>0</v>
      </c>
      <c r="G8" s="5">
        <f t="shared" ref="G8:G37" si="1">+E8+F8</f>
        <v>0</v>
      </c>
      <c r="H8" s="6">
        <f t="shared" ref="H8:H37" si="2">+G8-D8</f>
        <v>-1456.29</v>
      </c>
    </row>
    <row r="9" spans="1:8">
      <c r="A9" s="7">
        <f t="shared" ref="A9:A37" si="3">+A8+1</f>
        <v>2</v>
      </c>
      <c r="B9" s="20">
        <f>+Inves._Cost!F99</f>
        <v>2652.9300000000003</v>
      </c>
      <c r="C9" s="20">
        <v>0</v>
      </c>
      <c r="D9" s="5">
        <f t="shared" si="0"/>
        <v>2652.9300000000003</v>
      </c>
      <c r="E9" s="20">
        <v>0</v>
      </c>
      <c r="F9" s="5">
        <v>0</v>
      </c>
      <c r="G9" s="5">
        <f t="shared" si="1"/>
        <v>0</v>
      </c>
      <c r="H9" s="6">
        <f t="shared" si="2"/>
        <v>-2652.9300000000003</v>
      </c>
    </row>
    <row r="10" spans="1:8">
      <c r="A10" s="7">
        <f t="shared" si="3"/>
        <v>3</v>
      </c>
      <c r="B10" s="20">
        <f>Inves._Cost!G99</f>
        <v>7942.6659999999993</v>
      </c>
      <c r="C10" s="20">
        <v>0</v>
      </c>
      <c r="D10" s="5">
        <f t="shared" si="0"/>
        <v>7942.6659999999993</v>
      </c>
      <c r="E10" s="20">
        <v>0</v>
      </c>
      <c r="F10" s="5">
        <v>0</v>
      </c>
      <c r="G10" s="5">
        <f t="shared" si="1"/>
        <v>0</v>
      </c>
      <c r="H10" s="6">
        <f t="shared" si="2"/>
        <v>-7942.6659999999993</v>
      </c>
    </row>
    <row r="11" spans="1:8">
      <c r="A11" s="7">
        <f t="shared" si="3"/>
        <v>4</v>
      </c>
      <c r="B11" s="8">
        <f>Inves._Cost!H99</f>
        <v>15866.399999999998</v>
      </c>
      <c r="C11" s="20">
        <v>0</v>
      </c>
      <c r="D11" s="5">
        <f t="shared" si="0"/>
        <v>15866.399999999998</v>
      </c>
      <c r="E11" s="20">
        <v>0</v>
      </c>
      <c r="F11" s="5">
        <v>0</v>
      </c>
      <c r="G11" s="5">
        <f t="shared" si="1"/>
        <v>0</v>
      </c>
      <c r="H11" s="6">
        <f t="shared" si="2"/>
        <v>-15866.399999999998</v>
      </c>
    </row>
    <row r="12" spans="1:8">
      <c r="A12" s="7">
        <f t="shared" si="3"/>
        <v>5</v>
      </c>
      <c r="B12" s="8">
        <f>Inves._Cost!I99</f>
        <v>17642.414000000001</v>
      </c>
      <c r="C12" s="20">
        <v>0</v>
      </c>
      <c r="D12" s="5">
        <f t="shared" si="0"/>
        <v>17642.414000000001</v>
      </c>
      <c r="E12" s="20">
        <v>0</v>
      </c>
      <c r="F12" s="20">
        <f>EIRR!F12/0.902</f>
        <v>0</v>
      </c>
      <c r="G12" s="5">
        <f t="shared" si="1"/>
        <v>0</v>
      </c>
      <c r="H12" s="6">
        <f t="shared" si="2"/>
        <v>-17642.414000000001</v>
      </c>
    </row>
    <row r="13" spans="1:8">
      <c r="A13" s="7">
        <f t="shared" si="3"/>
        <v>6</v>
      </c>
      <c r="B13" s="8">
        <f>Inves._Cost!J99</f>
        <v>24717.059999999998</v>
      </c>
      <c r="C13" s="20">
        <v>0</v>
      </c>
      <c r="D13" s="5">
        <f t="shared" si="0"/>
        <v>24717.059999999998</v>
      </c>
      <c r="E13" s="20">
        <f>E17*0.5</f>
        <v>21832.158289999996</v>
      </c>
      <c r="F13" s="20">
        <f>EIRR!F13/0.902</f>
        <v>0</v>
      </c>
      <c r="G13" s="5">
        <f t="shared" si="1"/>
        <v>21832.158289999996</v>
      </c>
      <c r="H13" s="6">
        <f t="shared" si="2"/>
        <v>-2884.9017100000019</v>
      </c>
    </row>
    <row r="14" spans="1:8">
      <c r="A14" s="7">
        <f t="shared" si="3"/>
        <v>7</v>
      </c>
      <c r="B14" s="8">
        <f>Inves._Cost!K99</f>
        <v>18586.344700000001</v>
      </c>
      <c r="C14" s="20">
        <v>0</v>
      </c>
      <c r="D14" s="5">
        <f t="shared" si="0"/>
        <v>18586.344700000001</v>
      </c>
      <c r="E14" s="20">
        <f>E17*0.6</f>
        <v>26198.589947999993</v>
      </c>
      <c r="F14" s="20">
        <f>EIRR!F14/0.902</f>
        <v>0</v>
      </c>
      <c r="G14" s="5">
        <f t="shared" si="1"/>
        <v>26198.589947999993</v>
      </c>
      <c r="H14" s="6">
        <f t="shared" si="2"/>
        <v>7612.245247999992</v>
      </c>
    </row>
    <row r="15" spans="1:8">
      <c r="A15" s="7">
        <f t="shared" si="3"/>
        <v>8</v>
      </c>
      <c r="B15" s="8">
        <f>Inves._Cost!L99</f>
        <v>12971.685299999997</v>
      </c>
      <c r="C15" s="20">
        <v>0</v>
      </c>
      <c r="D15" s="5">
        <f t="shared" si="0"/>
        <v>12971.685299999997</v>
      </c>
      <c r="E15" s="20">
        <f>E17*0.7</f>
        <v>30565.021605999991</v>
      </c>
      <c r="F15" s="20">
        <f>EIRR!F15/0.902</f>
        <v>0</v>
      </c>
      <c r="G15" s="5">
        <f t="shared" si="1"/>
        <v>30565.021605999991</v>
      </c>
      <c r="H15" s="6">
        <f t="shared" si="2"/>
        <v>17593.336305999994</v>
      </c>
    </row>
    <row r="16" spans="1:8">
      <c r="A16" s="7">
        <f t="shared" si="3"/>
        <v>9</v>
      </c>
      <c r="B16" s="8"/>
      <c r="C16" s="20">
        <v>670</v>
      </c>
      <c r="D16" s="5">
        <f t="shared" si="0"/>
        <v>670</v>
      </c>
      <c r="E16" s="20">
        <f>E17*0.8</f>
        <v>34931.453263999996</v>
      </c>
      <c r="F16" s="20">
        <f>EIRR!F16/0.902</f>
        <v>0</v>
      </c>
      <c r="G16" s="5">
        <f t="shared" si="1"/>
        <v>34931.453263999996</v>
      </c>
      <c r="H16" s="6">
        <f t="shared" si="2"/>
        <v>34261.453263999996</v>
      </c>
    </row>
    <row r="17" spans="1:10">
      <c r="A17" s="7">
        <f t="shared" si="3"/>
        <v>10</v>
      </c>
      <c r="B17" s="8"/>
      <c r="C17" s="20">
        <f>670</f>
        <v>670</v>
      </c>
      <c r="D17" s="5">
        <f t="shared" si="0"/>
        <v>670</v>
      </c>
      <c r="E17" s="20">
        <f>'Crop. Pattern'!E150</f>
        <v>43664.316579999992</v>
      </c>
      <c r="F17" s="20">
        <f>EIRR!F17/0.902</f>
        <v>0</v>
      </c>
      <c r="G17" s="5">
        <f t="shared" si="1"/>
        <v>43664.316579999992</v>
      </c>
      <c r="H17" s="6">
        <f t="shared" si="2"/>
        <v>42994.316579999992</v>
      </c>
      <c r="J17" s="16"/>
    </row>
    <row r="18" spans="1:10">
      <c r="A18" s="7">
        <f t="shared" si="3"/>
        <v>11</v>
      </c>
      <c r="B18" s="8"/>
      <c r="C18" s="20">
        <f t="shared" ref="C18:C37" si="4">C17</f>
        <v>670</v>
      </c>
      <c r="D18" s="5">
        <f t="shared" si="0"/>
        <v>670</v>
      </c>
      <c r="E18" s="20">
        <f t="shared" ref="E18:E37" si="5">E17</f>
        <v>43664.316579999992</v>
      </c>
      <c r="F18" s="20">
        <f>EIRR!F18/0.902</f>
        <v>0</v>
      </c>
      <c r="G18" s="5">
        <f t="shared" si="1"/>
        <v>43664.316579999992</v>
      </c>
      <c r="H18" s="6">
        <f t="shared" si="2"/>
        <v>42994.316579999992</v>
      </c>
    </row>
    <row r="19" spans="1:10">
      <c r="A19" s="7">
        <f t="shared" si="3"/>
        <v>12</v>
      </c>
      <c r="B19" s="8"/>
      <c r="C19" s="20">
        <f t="shared" si="4"/>
        <v>670</v>
      </c>
      <c r="D19" s="5">
        <f t="shared" si="0"/>
        <v>670</v>
      </c>
      <c r="E19" s="20">
        <f t="shared" si="5"/>
        <v>43664.316579999992</v>
      </c>
      <c r="F19" s="20">
        <f>EIRR!F19/0.902</f>
        <v>0</v>
      </c>
      <c r="G19" s="5">
        <f t="shared" si="1"/>
        <v>43664.316579999992</v>
      </c>
      <c r="H19" s="6">
        <f t="shared" si="2"/>
        <v>42994.316579999992</v>
      </c>
    </row>
    <row r="20" spans="1:10">
      <c r="A20" s="7">
        <f t="shared" si="3"/>
        <v>13</v>
      </c>
      <c r="B20" s="8"/>
      <c r="C20" s="20">
        <f t="shared" si="4"/>
        <v>670</v>
      </c>
      <c r="D20" s="5">
        <f t="shared" si="0"/>
        <v>670</v>
      </c>
      <c r="E20" s="20">
        <f t="shared" si="5"/>
        <v>43664.316579999992</v>
      </c>
      <c r="F20" s="20">
        <f>EIRR!F20/0.902</f>
        <v>0</v>
      </c>
      <c r="G20" s="5">
        <f t="shared" si="1"/>
        <v>43664.316579999992</v>
      </c>
      <c r="H20" s="6">
        <f t="shared" si="2"/>
        <v>42994.316579999992</v>
      </c>
    </row>
    <row r="21" spans="1:10">
      <c r="A21" s="7">
        <f t="shared" si="3"/>
        <v>14</v>
      </c>
      <c r="B21" s="8"/>
      <c r="C21" s="20">
        <f t="shared" si="4"/>
        <v>670</v>
      </c>
      <c r="D21" s="5">
        <f t="shared" si="0"/>
        <v>670</v>
      </c>
      <c r="E21" s="20">
        <f t="shared" si="5"/>
        <v>43664.316579999992</v>
      </c>
      <c r="F21" s="20">
        <f>EIRR!F21/0.902</f>
        <v>0</v>
      </c>
      <c r="G21" s="5">
        <f t="shared" si="1"/>
        <v>43664.316579999992</v>
      </c>
      <c r="H21" s="6">
        <f t="shared" si="2"/>
        <v>42994.316579999992</v>
      </c>
    </row>
    <row r="22" spans="1:10">
      <c r="A22" s="7">
        <f t="shared" si="3"/>
        <v>15</v>
      </c>
      <c r="B22" s="8"/>
      <c r="C22" s="20">
        <f t="shared" si="4"/>
        <v>670</v>
      </c>
      <c r="D22" s="5">
        <f t="shared" si="0"/>
        <v>670</v>
      </c>
      <c r="E22" s="20">
        <f t="shared" si="5"/>
        <v>43664.316579999992</v>
      </c>
      <c r="F22" s="20">
        <f>EIRR!F22/0.902</f>
        <v>0</v>
      </c>
      <c r="G22" s="5">
        <f t="shared" si="1"/>
        <v>43664.316579999992</v>
      </c>
      <c r="H22" s="6">
        <f t="shared" si="2"/>
        <v>42994.316579999992</v>
      </c>
    </row>
    <row r="23" spans="1:10">
      <c r="A23" s="7">
        <f t="shared" si="3"/>
        <v>16</v>
      </c>
      <c r="B23" s="8"/>
      <c r="C23" s="20">
        <f t="shared" si="4"/>
        <v>670</v>
      </c>
      <c r="D23" s="5">
        <f t="shared" si="0"/>
        <v>670</v>
      </c>
      <c r="E23" s="20">
        <f t="shared" si="5"/>
        <v>43664.316579999992</v>
      </c>
      <c r="F23" s="20">
        <f>EIRR!F23/0.902</f>
        <v>0</v>
      </c>
      <c r="G23" s="5">
        <f t="shared" si="1"/>
        <v>43664.316579999992</v>
      </c>
      <c r="H23" s="6">
        <f t="shared" si="2"/>
        <v>42994.316579999992</v>
      </c>
    </row>
    <row r="24" spans="1:10">
      <c r="A24" s="7">
        <f t="shared" si="3"/>
        <v>17</v>
      </c>
      <c r="B24" s="8"/>
      <c r="C24" s="20">
        <f t="shared" si="4"/>
        <v>670</v>
      </c>
      <c r="D24" s="5">
        <f t="shared" si="0"/>
        <v>670</v>
      </c>
      <c r="E24" s="20">
        <f t="shared" si="5"/>
        <v>43664.316579999992</v>
      </c>
      <c r="F24" s="20">
        <f>EIRR!F24/0.902</f>
        <v>0</v>
      </c>
      <c r="G24" s="5">
        <f t="shared" si="1"/>
        <v>43664.316579999992</v>
      </c>
      <c r="H24" s="6">
        <f t="shared" si="2"/>
        <v>42994.316579999992</v>
      </c>
    </row>
    <row r="25" spans="1:10">
      <c r="A25" s="7">
        <f t="shared" si="3"/>
        <v>18</v>
      </c>
      <c r="B25" s="8"/>
      <c r="C25" s="20">
        <f t="shared" si="4"/>
        <v>670</v>
      </c>
      <c r="D25" s="5">
        <f t="shared" si="0"/>
        <v>670</v>
      </c>
      <c r="E25" s="20">
        <f t="shared" si="5"/>
        <v>43664.316579999992</v>
      </c>
      <c r="F25" s="20">
        <f>EIRR!F25/0.902</f>
        <v>0</v>
      </c>
      <c r="G25" s="5">
        <f t="shared" si="1"/>
        <v>43664.316579999992</v>
      </c>
      <c r="H25" s="6">
        <f t="shared" si="2"/>
        <v>42994.316579999992</v>
      </c>
    </row>
    <row r="26" spans="1:10">
      <c r="A26" s="7">
        <f t="shared" si="3"/>
        <v>19</v>
      </c>
      <c r="B26" s="8"/>
      <c r="C26" s="20">
        <f t="shared" si="4"/>
        <v>670</v>
      </c>
      <c r="D26" s="5">
        <f t="shared" si="0"/>
        <v>670</v>
      </c>
      <c r="E26" s="20">
        <f t="shared" si="5"/>
        <v>43664.316579999992</v>
      </c>
      <c r="F26" s="20">
        <f>EIRR!F26/0.902</f>
        <v>0</v>
      </c>
      <c r="G26" s="5">
        <f t="shared" si="1"/>
        <v>43664.316579999992</v>
      </c>
      <c r="H26" s="6">
        <f t="shared" si="2"/>
        <v>42994.316579999992</v>
      </c>
    </row>
    <row r="27" spans="1:10">
      <c r="A27" s="7">
        <f t="shared" si="3"/>
        <v>20</v>
      </c>
      <c r="B27" s="8"/>
      <c r="C27" s="20">
        <f t="shared" si="4"/>
        <v>670</v>
      </c>
      <c r="D27" s="5">
        <f t="shared" si="0"/>
        <v>670</v>
      </c>
      <c r="E27" s="20">
        <f t="shared" si="5"/>
        <v>43664.316579999992</v>
      </c>
      <c r="F27" s="20">
        <f>EIRR!F27/0.902</f>
        <v>0</v>
      </c>
      <c r="G27" s="5">
        <f t="shared" si="1"/>
        <v>43664.316579999992</v>
      </c>
      <c r="H27" s="6">
        <f t="shared" si="2"/>
        <v>42994.316579999992</v>
      </c>
    </row>
    <row r="28" spans="1:10">
      <c r="A28" s="7">
        <f t="shared" si="3"/>
        <v>21</v>
      </c>
      <c r="B28" s="8"/>
      <c r="C28" s="20">
        <f t="shared" si="4"/>
        <v>670</v>
      </c>
      <c r="D28" s="5">
        <f t="shared" si="0"/>
        <v>670</v>
      </c>
      <c r="E28" s="20">
        <f t="shared" si="5"/>
        <v>43664.316579999992</v>
      </c>
      <c r="F28" s="20">
        <f>EIRR!F28/0.902</f>
        <v>0</v>
      </c>
      <c r="G28" s="5">
        <f t="shared" si="1"/>
        <v>43664.316579999992</v>
      </c>
      <c r="H28" s="6">
        <f t="shared" si="2"/>
        <v>42994.316579999992</v>
      </c>
    </row>
    <row r="29" spans="1:10">
      <c r="A29" s="7">
        <f t="shared" si="3"/>
        <v>22</v>
      </c>
      <c r="B29" s="8"/>
      <c r="C29" s="20">
        <f t="shared" si="4"/>
        <v>670</v>
      </c>
      <c r="D29" s="5">
        <f t="shared" si="0"/>
        <v>670</v>
      </c>
      <c r="E29" s="20">
        <f t="shared" si="5"/>
        <v>43664.316579999992</v>
      </c>
      <c r="F29" s="20">
        <f>EIRR!F29/0.902</f>
        <v>0</v>
      </c>
      <c r="G29" s="5">
        <f t="shared" si="1"/>
        <v>43664.316579999992</v>
      </c>
      <c r="H29" s="6">
        <f t="shared" si="2"/>
        <v>42994.316579999992</v>
      </c>
    </row>
    <row r="30" spans="1:10">
      <c r="A30" s="7">
        <f t="shared" si="3"/>
        <v>23</v>
      </c>
      <c r="B30" s="8"/>
      <c r="C30" s="20">
        <f t="shared" si="4"/>
        <v>670</v>
      </c>
      <c r="D30" s="5">
        <f t="shared" si="0"/>
        <v>670</v>
      </c>
      <c r="E30" s="20">
        <f t="shared" si="5"/>
        <v>43664.316579999992</v>
      </c>
      <c r="F30" s="20">
        <f>EIRR!F30/0.902</f>
        <v>0</v>
      </c>
      <c r="G30" s="5">
        <f t="shared" si="1"/>
        <v>43664.316579999992</v>
      </c>
      <c r="H30" s="6">
        <f t="shared" si="2"/>
        <v>42994.316579999992</v>
      </c>
    </row>
    <row r="31" spans="1:10">
      <c r="A31" s="7">
        <f t="shared" si="3"/>
        <v>24</v>
      </c>
      <c r="B31" s="8"/>
      <c r="C31" s="20">
        <f t="shared" si="4"/>
        <v>670</v>
      </c>
      <c r="D31" s="5">
        <f t="shared" si="0"/>
        <v>670</v>
      </c>
      <c r="E31" s="20">
        <f t="shared" si="5"/>
        <v>43664.316579999992</v>
      </c>
      <c r="F31" s="20">
        <f>EIRR!F31/0.902</f>
        <v>0</v>
      </c>
      <c r="G31" s="5">
        <f t="shared" si="1"/>
        <v>43664.316579999992</v>
      </c>
      <c r="H31" s="6">
        <f t="shared" si="2"/>
        <v>42994.316579999992</v>
      </c>
    </row>
    <row r="32" spans="1:10">
      <c r="A32" s="7">
        <f t="shared" si="3"/>
        <v>25</v>
      </c>
      <c r="B32" s="8"/>
      <c r="C32" s="20">
        <f t="shared" si="4"/>
        <v>670</v>
      </c>
      <c r="D32" s="5">
        <f t="shared" si="0"/>
        <v>670</v>
      </c>
      <c r="E32" s="20">
        <f t="shared" si="5"/>
        <v>43664.316579999992</v>
      </c>
      <c r="F32" s="20">
        <f>EIRR!F32/0.902</f>
        <v>0</v>
      </c>
      <c r="G32" s="5">
        <f t="shared" si="1"/>
        <v>43664.316579999992</v>
      </c>
      <c r="H32" s="6">
        <f t="shared" si="2"/>
        <v>42994.316579999992</v>
      </c>
    </row>
    <row r="33" spans="1:12">
      <c r="A33" s="7">
        <f t="shared" si="3"/>
        <v>26</v>
      </c>
      <c r="B33" s="8"/>
      <c r="C33" s="20">
        <f t="shared" si="4"/>
        <v>670</v>
      </c>
      <c r="D33" s="5">
        <f t="shared" si="0"/>
        <v>670</v>
      </c>
      <c r="E33" s="20">
        <f t="shared" si="5"/>
        <v>43664.316579999992</v>
      </c>
      <c r="F33" s="20">
        <f>EIRR!F33/0.902</f>
        <v>0</v>
      </c>
      <c r="G33" s="5">
        <f t="shared" si="1"/>
        <v>43664.316579999992</v>
      </c>
      <c r="H33" s="6">
        <f t="shared" si="2"/>
        <v>42994.316579999992</v>
      </c>
    </row>
    <row r="34" spans="1:12">
      <c r="A34" s="7">
        <f t="shared" si="3"/>
        <v>27</v>
      </c>
      <c r="B34" s="8"/>
      <c r="C34" s="20">
        <f t="shared" si="4"/>
        <v>670</v>
      </c>
      <c r="D34" s="5">
        <f t="shared" si="0"/>
        <v>670</v>
      </c>
      <c r="E34" s="20">
        <f t="shared" si="5"/>
        <v>43664.316579999992</v>
      </c>
      <c r="F34" s="20">
        <f>EIRR!F34/0.902</f>
        <v>0</v>
      </c>
      <c r="G34" s="5">
        <f t="shared" si="1"/>
        <v>43664.316579999992</v>
      </c>
      <c r="H34" s="6">
        <f t="shared" si="2"/>
        <v>42994.316579999992</v>
      </c>
    </row>
    <row r="35" spans="1:12">
      <c r="A35" s="7">
        <f t="shared" si="3"/>
        <v>28</v>
      </c>
      <c r="B35" s="8"/>
      <c r="C35" s="20">
        <f t="shared" si="4"/>
        <v>670</v>
      </c>
      <c r="D35" s="5">
        <f t="shared" si="0"/>
        <v>670</v>
      </c>
      <c r="E35" s="20">
        <f t="shared" si="5"/>
        <v>43664.316579999992</v>
      </c>
      <c r="F35" s="20">
        <f>EIRR!F35/0.902</f>
        <v>0</v>
      </c>
      <c r="G35" s="5">
        <f t="shared" si="1"/>
        <v>43664.316579999992</v>
      </c>
      <c r="H35" s="6">
        <f t="shared" si="2"/>
        <v>42994.316579999992</v>
      </c>
    </row>
    <row r="36" spans="1:12">
      <c r="A36" s="7">
        <f t="shared" si="3"/>
        <v>29</v>
      </c>
      <c r="B36" s="8"/>
      <c r="C36" s="20">
        <f t="shared" si="4"/>
        <v>670</v>
      </c>
      <c r="D36" s="5">
        <f t="shared" si="0"/>
        <v>670</v>
      </c>
      <c r="E36" s="20">
        <f t="shared" si="5"/>
        <v>43664.316579999992</v>
      </c>
      <c r="F36" s="20">
        <f>EIRR!F36/0.902</f>
        <v>0</v>
      </c>
      <c r="G36" s="5">
        <f t="shared" si="1"/>
        <v>43664.316579999992</v>
      </c>
      <c r="H36" s="6">
        <f t="shared" si="2"/>
        <v>42994.316579999992</v>
      </c>
    </row>
    <row r="37" spans="1:12">
      <c r="A37" s="7">
        <f t="shared" si="3"/>
        <v>30</v>
      </c>
      <c r="B37" s="20"/>
      <c r="C37" s="20">
        <f t="shared" si="4"/>
        <v>670</v>
      </c>
      <c r="D37" s="5">
        <f t="shared" si="0"/>
        <v>670</v>
      </c>
      <c r="E37" s="20">
        <f t="shared" si="5"/>
        <v>43664.316579999992</v>
      </c>
      <c r="F37" s="20">
        <f>EIRR!F37/0.902</f>
        <v>0</v>
      </c>
      <c r="G37" s="5">
        <f t="shared" si="1"/>
        <v>43664.316579999992</v>
      </c>
      <c r="H37" s="6">
        <f t="shared" si="2"/>
        <v>42994.316579999992</v>
      </c>
    </row>
    <row r="38" spans="1:12" ht="17.25" customHeight="1" thickBot="1">
      <c r="A38" s="9" t="s">
        <v>287</v>
      </c>
      <c r="B38" s="10">
        <f t="shared" ref="B38:H38" si="6">NPV(0.12,B8:B37)</f>
        <v>55331.751190759875</v>
      </c>
      <c r="C38" s="10">
        <f t="shared" si="6"/>
        <v>2068.6546145552747</v>
      </c>
      <c r="D38" s="10">
        <f t="shared" si="6"/>
        <v>57400.405805315168</v>
      </c>
      <c r="E38" s="10">
        <f t="shared" si="6"/>
        <v>166922.81140877161</v>
      </c>
      <c r="F38" s="10">
        <f t="shared" si="6"/>
        <v>0</v>
      </c>
      <c r="G38" s="10">
        <f t="shared" si="6"/>
        <v>166922.81140877161</v>
      </c>
      <c r="H38" s="11">
        <f t="shared" si="6"/>
        <v>109522.40560345644</v>
      </c>
      <c r="L38" s="16"/>
    </row>
    <row r="39" spans="1:12" ht="16.5" customHeight="1" thickTop="1" thickBot="1">
      <c r="A39" s="12" t="s">
        <v>288</v>
      </c>
      <c r="B39" s="12"/>
      <c r="C39" s="12"/>
      <c r="D39" s="12"/>
      <c r="E39" s="12"/>
      <c r="F39" s="13"/>
      <c r="G39" s="13"/>
      <c r="H39" s="13"/>
    </row>
    <row r="40" spans="1:12" ht="16.5" customHeight="1" thickTop="1" thickBot="1">
      <c r="A40" s="17" t="s">
        <v>289</v>
      </c>
      <c r="B40" s="17"/>
      <c r="C40" s="17"/>
      <c r="D40" s="17">
        <f>IRR(H8:H37,0.12)</f>
        <v>0.32598398211050372</v>
      </c>
      <c r="E40" s="17"/>
      <c r="F40" s="14"/>
      <c r="G40" s="568"/>
      <c r="H40" s="15"/>
    </row>
    <row r="41" spans="1:12" ht="16.5" customHeight="1" thickTop="1" thickBot="1">
      <c r="A41" s="32" t="s">
        <v>290</v>
      </c>
      <c r="B41" s="32"/>
      <c r="C41" s="32"/>
      <c r="D41" s="32">
        <f>NPV(0.12,G8:G37)/NPV(0.12,D8:D37)</f>
        <v>2.9080423573123046</v>
      </c>
      <c r="E41" s="32"/>
      <c r="F41" s="16"/>
      <c r="G41" s="16"/>
      <c r="H41" s="15"/>
    </row>
    <row r="42" spans="1:12" ht="16.5" customHeight="1" thickTop="1" thickBot="1">
      <c r="A42" s="31" t="s">
        <v>287</v>
      </c>
      <c r="B42" s="31"/>
      <c r="C42" s="31"/>
      <c r="D42" s="32">
        <f>H38</f>
        <v>109522.40560345644</v>
      </c>
      <c r="E42" s="31"/>
    </row>
    <row r="43" spans="1:12" ht="15.75" customHeight="1" thickTop="1"/>
  </sheetData>
  <mergeCells count="4">
    <mergeCell ref="A4:H4"/>
    <mergeCell ref="A5:H5"/>
    <mergeCell ref="G6:H6"/>
    <mergeCell ref="F2:H2"/>
  </mergeCells>
  <pageMargins left="1" right="0.75" top="1" bottom="1" header="0.5" footer="0.5"/>
  <pageSetup paperSize="9" orientation="portrait" r:id="rId1"/>
  <headerFooter alignWithMargins="0">
    <oddFooter>&amp;C&amp;12 P - 53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43"/>
  <sheetViews>
    <sheetView topLeftCell="A25" workbookViewId="0">
      <selection activeCell="A8" sqref="A8"/>
    </sheetView>
  </sheetViews>
  <sheetFormatPr defaultRowHeight="15"/>
  <cols>
    <col min="1" max="1" width="12.28515625" style="596" customWidth="1"/>
    <col min="4" max="5" width="10.28515625" style="596" customWidth="1"/>
    <col min="6" max="6" width="10.5703125" style="596" bestFit="1" customWidth="1"/>
    <col min="7" max="8" width="11" style="596" customWidth="1"/>
    <col min="10" max="10" width="10.42578125" style="596" customWidth="1"/>
  </cols>
  <sheetData>
    <row r="4" spans="1:10" ht="18.75" customHeight="1">
      <c r="A4" s="684" t="s">
        <v>276</v>
      </c>
      <c r="B4" s="685"/>
      <c r="C4" s="685"/>
      <c r="D4" s="685"/>
      <c r="E4" s="685"/>
      <c r="F4" s="685"/>
      <c r="G4" s="685"/>
      <c r="H4" s="685"/>
    </row>
    <row r="5" spans="1:10" ht="18.75" customHeight="1">
      <c r="A5" s="684" t="s">
        <v>291</v>
      </c>
      <c r="B5" s="685"/>
      <c r="C5" s="685"/>
      <c r="D5" s="685"/>
      <c r="E5" s="685"/>
      <c r="F5" s="685"/>
      <c r="G5" s="685"/>
      <c r="H5" s="685"/>
    </row>
    <row r="6" spans="1:10" ht="15.75" customHeight="1" thickBot="1">
      <c r="G6" s="689" t="s">
        <v>292</v>
      </c>
      <c r="H6" s="687"/>
    </row>
    <row r="7" spans="1:10" ht="61.5" customHeight="1" thickTop="1" thickBot="1">
      <c r="A7" s="1" t="s">
        <v>279</v>
      </c>
      <c r="B7" s="19" t="s">
        <v>280</v>
      </c>
      <c r="C7" s="19" t="s">
        <v>281</v>
      </c>
      <c r="D7" s="2" t="s">
        <v>282</v>
      </c>
      <c r="E7" s="19" t="s">
        <v>283</v>
      </c>
      <c r="F7" s="19" t="s">
        <v>284</v>
      </c>
      <c r="G7" s="19" t="s">
        <v>285</v>
      </c>
      <c r="H7" s="3" t="s">
        <v>286</v>
      </c>
    </row>
    <row r="8" spans="1:10" ht="15.75" customHeight="1" thickTop="1">
      <c r="A8" s="4">
        <v>1</v>
      </c>
      <c r="B8" s="5">
        <f>+Inves._Cost!N99</f>
        <v>1212.686584</v>
      </c>
      <c r="C8" s="5">
        <v>0</v>
      </c>
      <c r="D8" s="5">
        <f t="shared" ref="D8:D37" si="0">SUM(B8:C8)</f>
        <v>1212.686584</v>
      </c>
      <c r="E8" s="5">
        <v>0</v>
      </c>
      <c r="F8" s="5">
        <v>0</v>
      </c>
      <c r="G8" s="5">
        <f t="shared" ref="G8:G37" si="1">+E8+F8</f>
        <v>0</v>
      </c>
      <c r="H8" s="6">
        <f t="shared" ref="H8:H37" si="2">+G8-D8</f>
        <v>-1212.686584</v>
      </c>
    </row>
    <row r="9" spans="1:10">
      <c r="A9" s="7">
        <f t="shared" ref="A9:A37" si="3">+A8+1</f>
        <v>2</v>
      </c>
      <c r="B9" s="20">
        <f>+Inves._Cost!O99</f>
        <v>2302.3045159999997</v>
      </c>
      <c r="C9" s="20">
        <v>0</v>
      </c>
      <c r="D9" s="5">
        <f t="shared" si="0"/>
        <v>2302.3045159999997</v>
      </c>
      <c r="E9" s="20">
        <v>0</v>
      </c>
      <c r="F9" s="5">
        <v>0</v>
      </c>
      <c r="G9" s="5">
        <f t="shared" si="1"/>
        <v>0</v>
      </c>
      <c r="H9" s="6">
        <f t="shared" si="2"/>
        <v>-2302.3045159999997</v>
      </c>
    </row>
    <row r="10" spans="1:10">
      <c r="A10" s="7">
        <f t="shared" si="3"/>
        <v>3</v>
      </c>
      <c r="B10" s="20">
        <f>Inves._Cost!P99</f>
        <v>6957.1234519999998</v>
      </c>
      <c r="C10" s="20">
        <f>FIRR!C10*0.902</f>
        <v>0</v>
      </c>
      <c r="D10" s="5">
        <f t="shared" si="0"/>
        <v>6957.1234519999998</v>
      </c>
      <c r="E10" s="20">
        <v>0</v>
      </c>
      <c r="F10" s="5">
        <v>0</v>
      </c>
      <c r="G10" s="5">
        <f t="shared" si="1"/>
        <v>0</v>
      </c>
      <c r="H10" s="6">
        <f t="shared" si="2"/>
        <v>-6957.1234519999998</v>
      </c>
    </row>
    <row r="11" spans="1:10">
      <c r="A11" s="7">
        <f t="shared" si="3"/>
        <v>4</v>
      </c>
      <c r="B11" s="8">
        <f>Inves._Cost!Q99</f>
        <v>13167.244570000001</v>
      </c>
      <c r="C11" s="20">
        <f>FIRR!C11*0.902</f>
        <v>0</v>
      </c>
      <c r="D11" s="5">
        <f t="shared" si="0"/>
        <v>13167.244570000001</v>
      </c>
      <c r="E11" s="20">
        <v>0</v>
      </c>
      <c r="F11" s="5">
        <v>0</v>
      </c>
      <c r="G11" s="5">
        <f t="shared" si="1"/>
        <v>0</v>
      </c>
      <c r="H11" s="6">
        <f t="shared" si="2"/>
        <v>-13167.244570000001</v>
      </c>
    </row>
    <row r="12" spans="1:10">
      <c r="A12" s="7">
        <f t="shared" si="3"/>
        <v>5</v>
      </c>
      <c r="B12" s="8">
        <f>Inves._Cost!R99</f>
        <v>14304.003588</v>
      </c>
      <c r="C12" s="20">
        <v>0</v>
      </c>
      <c r="D12" s="5">
        <f t="shared" si="0"/>
        <v>14304.003588</v>
      </c>
      <c r="E12" s="20">
        <v>0</v>
      </c>
      <c r="F12" s="5">
        <v>0</v>
      </c>
      <c r="G12" s="5">
        <f t="shared" si="1"/>
        <v>0</v>
      </c>
      <c r="H12" s="6">
        <f t="shared" si="2"/>
        <v>-14304.003588</v>
      </c>
    </row>
    <row r="13" spans="1:10">
      <c r="A13" s="7">
        <f t="shared" si="3"/>
        <v>6</v>
      </c>
      <c r="B13" s="8">
        <f>Inves._Cost!S99</f>
        <v>19492.77549</v>
      </c>
      <c r="C13" s="20">
        <f>FIRR!C13*0.902</f>
        <v>0</v>
      </c>
      <c r="D13" s="5">
        <f t="shared" si="0"/>
        <v>19492.77549</v>
      </c>
      <c r="E13" s="20">
        <f>E17*0.5</f>
        <v>21273.942777579996</v>
      </c>
      <c r="F13" s="5">
        <v>0</v>
      </c>
      <c r="G13" s="5">
        <f t="shared" si="1"/>
        <v>21273.942777579996</v>
      </c>
      <c r="H13" s="6">
        <f t="shared" si="2"/>
        <v>1781.1672875799959</v>
      </c>
      <c r="J13" s="16"/>
    </row>
    <row r="14" spans="1:10">
      <c r="A14" s="7">
        <f t="shared" si="3"/>
        <v>7</v>
      </c>
      <c r="B14" s="8">
        <f>Inves._Cost!T99</f>
        <v>12479.6988595</v>
      </c>
      <c r="C14" s="20">
        <f>C13</f>
        <v>0</v>
      </c>
      <c r="D14" s="5">
        <f t="shared" si="0"/>
        <v>12479.6988595</v>
      </c>
      <c r="E14" s="20">
        <f>E17*0.6</f>
        <v>25528.731333095995</v>
      </c>
      <c r="F14" s="5">
        <v>0</v>
      </c>
      <c r="G14" s="5">
        <f t="shared" si="1"/>
        <v>25528.731333095995</v>
      </c>
      <c r="H14" s="6">
        <f t="shared" si="2"/>
        <v>13049.032473595995</v>
      </c>
      <c r="J14" s="16"/>
    </row>
    <row r="15" spans="1:10">
      <c r="A15" s="7">
        <f t="shared" si="3"/>
        <v>8</v>
      </c>
      <c r="B15" s="8">
        <f>Inves._Cost!U99</f>
        <v>8505.8286805000025</v>
      </c>
      <c r="C15" s="20">
        <f>C14</f>
        <v>0</v>
      </c>
      <c r="D15" s="5">
        <f t="shared" si="0"/>
        <v>8505.8286805000025</v>
      </c>
      <c r="E15" s="20">
        <f>E17*0.7</f>
        <v>29783.519888611991</v>
      </c>
      <c r="F15" s="5">
        <v>0</v>
      </c>
      <c r="G15" s="5">
        <f t="shared" si="1"/>
        <v>29783.519888611991</v>
      </c>
      <c r="H15" s="6">
        <f t="shared" si="2"/>
        <v>21277.691208111988</v>
      </c>
    </row>
    <row r="16" spans="1:10">
      <c r="A16" s="7">
        <f t="shared" si="3"/>
        <v>9</v>
      </c>
      <c r="B16" s="8"/>
      <c r="C16" s="20">
        <v>604.34</v>
      </c>
      <c r="D16" s="5">
        <f t="shared" si="0"/>
        <v>604.34</v>
      </c>
      <c r="E16" s="20">
        <f>E17*0.8</f>
        <v>34038.308444127993</v>
      </c>
      <c r="F16" s="5">
        <v>0</v>
      </c>
      <c r="G16" s="5">
        <f t="shared" si="1"/>
        <v>34038.308444127993</v>
      </c>
      <c r="H16" s="6">
        <f t="shared" si="2"/>
        <v>33433.968444127997</v>
      </c>
    </row>
    <row r="17" spans="1:8">
      <c r="A17" s="7">
        <f t="shared" si="3"/>
        <v>10</v>
      </c>
      <c r="B17" s="8"/>
      <c r="C17" s="20">
        <f>FIRR!C17*0.902</f>
        <v>604.34</v>
      </c>
      <c r="D17" s="5">
        <f t="shared" si="0"/>
        <v>604.34</v>
      </c>
      <c r="E17" s="20">
        <f>'Crop. Pattern'!H150</f>
        <v>42547.885555159992</v>
      </c>
      <c r="F17" s="5">
        <v>0</v>
      </c>
      <c r="G17" s="5">
        <f t="shared" si="1"/>
        <v>42547.885555159992</v>
      </c>
      <c r="H17" s="6">
        <f t="shared" si="2"/>
        <v>41943.545555159995</v>
      </c>
    </row>
    <row r="18" spans="1:8">
      <c r="A18" s="7">
        <f t="shared" si="3"/>
        <v>11</v>
      </c>
      <c r="B18" s="8"/>
      <c r="C18" s="20">
        <f t="shared" ref="C18:C37" si="4">C17</f>
        <v>604.34</v>
      </c>
      <c r="D18" s="5">
        <f t="shared" si="0"/>
        <v>604.34</v>
      </c>
      <c r="E18" s="20">
        <f t="shared" ref="E18:E37" si="5">E17</f>
        <v>42547.885555159992</v>
      </c>
      <c r="F18" s="5">
        <v>0</v>
      </c>
      <c r="G18" s="5">
        <f t="shared" si="1"/>
        <v>42547.885555159992</v>
      </c>
      <c r="H18" s="6">
        <f t="shared" si="2"/>
        <v>41943.545555159995</v>
      </c>
    </row>
    <row r="19" spans="1:8">
      <c r="A19" s="7">
        <f t="shared" si="3"/>
        <v>12</v>
      </c>
      <c r="B19" s="8"/>
      <c r="C19" s="20">
        <f t="shared" si="4"/>
        <v>604.34</v>
      </c>
      <c r="D19" s="5">
        <f t="shared" si="0"/>
        <v>604.34</v>
      </c>
      <c r="E19" s="20">
        <f t="shared" si="5"/>
        <v>42547.885555159992</v>
      </c>
      <c r="F19" s="5">
        <v>0</v>
      </c>
      <c r="G19" s="5">
        <f t="shared" si="1"/>
        <v>42547.885555159992</v>
      </c>
      <c r="H19" s="6">
        <f t="shared" si="2"/>
        <v>41943.545555159995</v>
      </c>
    </row>
    <row r="20" spans="1:8">
      <c r="A20" s="7">
        <f t="shared" si="3"/>
        <v>13</v>
      </c>
      <c r="B20" s="8"/>
      <c r="C20" s="20">
        <f t="shared" si="4"/>
        <v>604.34</v>
      </c>
      <c r="D20" s="5">
        <f t="shared" si="0"/>
        <v>604.34</v>
      </c>
      <c r="E20" s="20">
        <f t="shared" si="5"/>
        <v>42547.885555159992</v>
      </c>
      <c r="F20" s="5">
        <v>0</v>
      </c>
      <c r="G20" s="5">
        <f t="shared" si="1"/>
        <v>42547.885555159992</v>
      </c>
      <c r="H20" s="6">
        <f t="shared" si="2"/>
        <v>41943.545555159995</v>
      </c>
    </row>
    <row r="21" spans="1:8">
      <c r="A21" s="7">
        <f t="shared" si="3"/>
        <v>14</v>
      </c>
      <c r="B21" s="8"/>
      <c r="C21" s="20">
        <f t="shared" si="4"/>
        <v>604.34</v>
      </c>
      <c r="D21" s="5">
        <f t="shared" si="0"/>
        <v>604.34</v>
      </c>
      <c r="E21" s="20">
        <f t="shared" si="5"/>
        <v>42547.885555159992</v>
      </c>
      <c r="F21" s="5">
        <v>0</v>
      </c>
      <c r="G21" s="5">
        <f t="shared" si="1"/>
        <v>42547.885555159992</v>
      </c>
      <c r="H21" s="6">
        <f t="shared" si="2"/>
        <v>41943.545555159995</v>
      </c>
    </row>
    <row r="22" spans="1:8">
      <c r="A22" s="7">
        <f t="shared" si="3"/>
        <v>15</v>
      </c>
      <c r="B22" s="8"/>
      <c r="C22" s="20">
        <f t="shared" si="4"/>
        <v>604.34</v>
      </c>
      <c r="D22" s="5">
        <f t="shared" si="0"/>
        <v>604.34</v>
      </c>
      <c r="E22" s="20">
        <f t="shared" si="5"/>
        <v>42547.885555159992</v>
      </c>
      <c r="F22" s="5">
        <v>0</v>
      </c>
      <c r="G22" s="5">
        <f t="shared" si="1"/>
        <v>42547.885555159992</v>
      </c>
      <c r="H22" s="6">
        <f t="shared" si="2"/>
        <v>41943.545555159995</v>
      </c>
    </row>
    <row r="23" spans="1:8">
      <c r="A23" s="7">
        <f t="shared" si="3"/>
        <v>16</v>
      </c>
      <c r="B23" s="8"/>
      <c r="C23" s="20">
        <f t="shared" si="4"/>
        <v>604.34</v>
      </c>
      <c r="D23" s="5">
        <f t="shared" si="0"/>
        <v>604.34</v>
      </c>
      <c r="E23" s="20">
        <f t="shared" si="5"/>
        <v>42547.885555159992</v>
      </c>
      <c r="F23" s="5">
        <v>0</v>
      </c>
      <c r="G23" s="5">
        <f t="shared" si="1"/>
        <v>42547.885555159992</v>
      </c>
      <c r="H23" s="6">
        <f t="shared" si="2"/>
        <v>41943.545555159995</v>
      </c>
    </row>
    <row r="24" spans="1:8">
      <c r="A24" s="7">
        <f t="shared" si="3"/>
        <v>17</v>
      </c>
      <c r="B24" s="8"/>
      <c r="C24" s="20">
        <f t="shared" si="4"/>
        <v>604.34</v>
      </c>
      <c r="D24" s="5">
        <f t="shared" si="0"/>
        <v>604.34</v>
      </c>
      <c r="E24" s="20">
        <f t="shared" si="5"/>
        <v>42547.885555159992</v>
      </c>
      <c r="F24" s="5">
        <v>0</v>
      </c>
      <c r="G24" s="5">
        <f t="shared" si="1"/>
        <v>42547.885555159992</v>
      </c>
      <c r="H24" s="6">
        <f t="shared" si="2"/>
        <v>41943.545555159995</v>
      </c>
    </row>
    <row r="25" spans="1:8">
      <c r="A25" s="7">
        <f t="shared" si="3"/>
        <v>18</v>
      </c>
      <c r="B25" s="8"/>
      <c r="C25" s="20">
        <f t="shared" si="4"/>
        <v>604.34</v>
      </c>
      <c r="D25" s="5">
        <f t="shared" si="0"/>
        <v>604.34</v>
      </c>
      <c r="E25" s="20">
        <f t="shared" si="5"/>
        <v>42547.885555159992</v>
      </c>
      <c r="F25" s="5">
        <v>0</v>
      </c>
      <c r="G25" s="5">
        <f t="shared" si="1"/>
        <v>42547.885555159992</v>
      </c>
      <c r="H25" s="6">
        <f t="shared" si="2"/>
        <v>41943.545555159995</v>
      </c>
    </row>
    <row r="26" spans="1:8">
      <c r="A26" s="7">
        <f t="shared" si="3"/>
        <v>19</v>
      </c>
      <c r="B26" s="8"/>
      <c r="C26" s="20">
        <f t="shared" si="4"/>
        <v>604.34</v>
      </c>
      <c r="D26" s="5">
        <f t="shared" si="0"/>
        <v>604.34</v>
      </c>
      <c r="E26" s="20">
        <f t="shared" si="5"/>
        <v>42547.885555159992</v>
      </c>
      <c r="F26" s="5">
        <v>0</v>
      </c>
      <c r="G26" s="5">
        <f t="shared" si="1"/>
        <v>42547.885555159992</v>
      </c>
      <c r="H26" s="6">
        <f t="shared" si="2"/>
        <v>41943.545555159995</v>
      </c>
    </row>
    <row r="27" spans="1:8">
      <c r="A27" s="7">
        <f t="shared" si="3"/>
        <v>20</v>
      </c>
      <c r="B27" s="8"/>
      <c r="C27" s="20">
        <f t="shared" si="4"/>
        <v>604.34</v>
      </c>
      <c r="D27" s="5">
        <f t="shared" si="0"/>
        <v>604.34</v>
      </c>
      <c r="E27" s="20">
        <f t="shared" si="5"/>
        <v>42547.885555159992</v>
      </c>
      <c r="F27" s="5">
        <v>0</v>
      </c>
      <c r="G27" s="5">
        <f t="shared" si="1"/>
        <v>42547.885555159992</v>
      </c>
      <c r="H27" s="6">
        <f t="shared" si="2"/>
        <v>41943.545555159995</v>
      </c>
    </row>
    <row r="28" spans="1:8">
      <c r="A28" s="7">
        <f t="shared" si="3"/>
        <v>21</v>
      </c>
      <c r="B28" s="8"/>
      <c r="C28" s="20">
        <f t="shared" si="4"/>
        <v>604.34</v>
      </c>
      <c r="D28" s="5">
        <f t="shared" si="0"/>
        <v>604.34</v>
      </c>
      <c r="E28" s="20">
        <f t="shared" si="5"/>
        <v>42547.885555159992</v>
      </c>
      <c r="F28" s="5">
        <v>0</v>
      </c>
      <c r="G28" s="5">
        <f t="shared" si="1"/>
        <v>42547.885555159992</v>
      </c>
      <c r="H28" s="6">
        <f t="shared" si="2"/>
        <v>41943.545555159995</v>
      </c>
    </row>
    <row r="29" spans="1:8">
      <c r="A29" s="7">
        <f t="shared" si="3"/>
        <v>22</v>
      </c>
      <c r="B29" s="8"/>
      <c r="C29" s="20">
        <f t="shared" si="4"/>
        <v>604.34</v>
      </c>
      <c r="D29" s="5">
        <f t="shared" si="0"/>
        <v>604.34</v>
      </c>
      <c r="E29" s="20">
        <f t="shared" si="5"/>
        <v>42547.885555159992</v>
      </c>
      <c r="F29" s="5">
        <v>0</v>
      </c>
      <c r="G29" s="5">
        <f t="shared" si="1"/>
        <v>42547.885555159992</v>
      </c>
      <c r="H29" s="6">
        <f t="shared" si="2"/>
        <v>41943.545555159995</v>
      </c>
    </row>
    <row r="30" spans="1:8">
      <c r="A30" s="7">
        <f t="shared" si="3"/>
        <v>23</v>
      </c>
      <c r="B30" s="8"/>
      <c r="C30" s="20">
        <f t="shared" si="4"/>
        <v>604.34</v>
      </c>
      <c r="D30" s="5">
        <f t="shared" si="0"/>
        <v>604.34</v>
      </c>
      <c r="E30" s="20">
        <f t="shared" si="5"/>
        <v>42547.885555159992</v>
      </c>
      <c r="F30" s="5">
        <v>0</v>
      </c>
      <c r="G30" s="5">
        <f t="shared" si="1"/>
        <v>42547.885555159992</v>
      </c>
      <c r="H30" s="6">
        <f t="shared" si="2"/>
        <v>41943.545555159995</v>
      </c>
    </row>
    <row r="31" spans="1:8">
      <c r="A31" s="7">
        <f t="shared" si="3"/>
        <v>24</v>
      </c>
      <c r="B31" s="8"/>
      <c r="C31" s="20">
        <f t="shared" si="4"/>
        <v>604.34</v>
      </c>
      <c r="D31" s="5">
        <f t="shared" si="0"/>
        <v>604.34</v>
      </c>
      <c r="E31" s="20">
        <f t="shared" si="5"/>
        <v>42547.885555159992</v>
      </c>
      <c r="F31" s="5">
        <v>0</v>
      </c>
      <c r="G31" s="5">
        <f t="shared" si="1"/>
        <v>42547.885555159992</v>
      </c>
      <c r="H31" s="6">
        <f t="shared" si="2"/>
        <v>41943.545555159995</v>
      </c>
    </row>
    <row r="32" spans="1:8">
      <c r="A32" s="7">
        <f t="shared" si="3"/>
        <v>25</v>
      </c>
      <c r="B32" s="8"/>
      <c r="C32" s="20">
        <f t="shared" si="4"/>
        <v>604.34</v>
      </c>
      <c r="D32" s="5">
        <f t="shared" si="0"/>
        <v>604.34</v>
      </c>
      <c r="E32" s="20">
        <f t="shared" si="5"/>
        <v>42547.885555159992</v>
      </c>
      <c r="F32" s="5">
        <v>0</v>
      </c>
      <c r="G32" s="5">
        <f t="shared" si="1"/>
        <v>42547.885555159992</v>
      </c>
      <c r="H32" s="6">
        <f t="shared" si="2"/>
        <v>41943.545555159995</v>
      </c>
    </row>
    <row r="33" spans="1:8">
      <c r="A33" s="7">
        <f t="shared" si="3"/>
        <v>26</v>
      </c>
      <c r="B33" s="8"/>
      <c r="C33" s="20">
        <f t="shared" si="4"/>
        <v>604.34</v>
      </c>
      <c r="D33" s="5">
        <f t="shared" si="0"/>
        <v>604.34</v>
      </c>
      <c r="E33" s="20">
        <f t="shared" si="5"/>
        <v>42547.885555159992</v>
      </c>
      <c r="F33" s="5">
        <v>0</v>
      </c>
      <c r="G33" s="5">
        <f t="shared" si="1"/>
        <v>42547.885555159992</v>
      </c>
      <c r="H33" s="6">
        <f t="shared" si="2"/>
        <v>41943.545555159995</v>
      </c>
    </row>
    <row r="34" spans="1:8">
      <c r="A34" s="7">
        <f t="shared" si="3"/>
        <v>27</v>
      </c>
      <c r="B34" s="8"/>
      <c r="C34" s="20">
        <f t="shared" si="4"/>
        <v>604.34</v>
      </c>
      <c r="D34" s="5">
        <f t="shared" si="0"/>
        <v>604.34</v>
      </c>
      <c r="E34" s="20">
        <f t="shared" si="5"/>
        <v>42547.885555159992</v>
      </c>
      <c r="F34" s="5">
        <v>0</v>
      </c>
      <c r="G34" s="5">
        <f t="shared" si="1"/>
        <v>42547.885555159992</v>
      </c>
      <c r="H34" s="6">
        <f t="shared" si="2"/>
        <v>41943.545555159995</v>
      </c>
    </row>
    <row r="35" spans="1:8">
      <c r="A35" s="7">
        <f t="shared" si="3"/>
        <v>28</v>
      </c>
      <c r="B35" s="8"/>
      <c r="C35" s="20">
        <f t="shared" si="4"/>
        <v>604.34</v>
      </c>
      <c r="D35" s="5">
        <f t="shared" si="0"/>
        <v>604.34</v>
      </c>
      <c r="E35" s="20">
        <f t="shared" si="5"/>
        <v>42547.885555159992</v>
      </c>
      <c r="F35" s="5">
        <v>0</v>
      </c>
      <c r="G35" s="5">
        <f t="shared" si="1"/>
        <v>42547.885555159992</v>
      </c>
      <c r="H35" s="6">
        <f t="shared" si="2"/>
        <v>41943.545555159995</v>
      </c>
    </row>
    <row r="36" spans="1:8">
      <c r="A36" s="7">
        <f t="shared" si="3"/>
        <v>29</v>
      </c>
      <c r="B36" s="8"/>
      <c r="C36" s="20">
        <f t="shared" si="4"/>
        <v>604.34</v>
      </c>
      <c r="D36" s="5">
        <f t="shared" si="0"/>
        <v>604.34</v>
      </c>
      <c r="E36" s="20">
        <f t="shared" si="5"/>
        <v>42547.885555159992</v>
      </c>
      <c r="F36" s="5">
        <v>0</v>
      </c>
      <c r="G36" s="5">
        <f t="shared" si="1"/>
        <v>42547.885555159992</v>
      </c>
      <c r="H36" s="6">
        <f t="shared" si="2"/>
        <v>41943.545555159995</v>
      </c>
    </row>
    <row r="37" spans="1:8">
      <c r="A37" s="7">
        <f t="shared" si="3"/>
        <v>30</v>
      </c>
      <c r="B37" s="20"/>
      <c r="C37" s="20">
        <f t="shared" si="4"/>
        <v>604.34</v>
      </c>
      <c r="D37" s="5">
        <f t="shared" si="0"/>
        <v>604.34</v>
      </c>
      <c r="E37" s="20">
        <f t="shared" si="5"/>
        <v>42547.885555159992</v>
      </c>
      <c r="F37" s="5">
        <v>0</v>
      </c>
      <c r="G37" s="5">
        <f t="shared" si="1"/>
        <v>42547.885555159992</v>
      </c>
      <c r="H37" s="6">
        <f t="shared" si="2"/>
        <v>41943.545555159995</v>
      </c>
    </row>
    <row r="38" spans="1:8" ht="15.75" customHeight="1" thickBot="1">
      <c r="A38" s="9" t="s">
        <v>287</v>
      </c>
      <c r="B38" s="10">
        <f t="shared" ref="B38:H38" si="6">NPV(0.12,B8:B37)</f>
        <v>43310.769977068878</v>
      </c>
      <c r="C38" s="10">
        <f t="shared" si="6"/>
        <v>1865.9264623288573</v>
      </c>
      <c r="D38" s="10">
        <f t="shared" si="6"/>
        <v>45176.696439397725</v>
      </c>
      <c r="E38" s="10">
        <f t="shared" si="6"/>
        <v>162654.84571030864</v>
      </c>
      <c r="F38" s="10">
        <f t="shared" si="6"/>
        <v>0</v>
      </c>
      <c r="G38" s="10">
        <f t="shared" si="6"/>
        <v>162654.84571030864</v>
      </c>
      <c r="H38" s="11">
        <f t="shared" si="6"/>
        <v>117478.1492709109</v>
      </c>
    </row>
    <row r="39" spans="1:8" ht="16.5" customHeight="1" thickTop="1" thickBot="1">
      <c r="A39" s="12" t="s">
        <v>288</v>
      </c>
      <c r="B39" s="12"/>
      <c r="C39" s="12"/>
      <c r="D39" s="12"/>
      <c r="E39" s="12"/>
      <c r="F39" s="13"/>
      <c r="G39" s="13"/>
      <c r="H39" s="13"/>
    </row>
    <row r="40" spans="1:8" ht="16.5" customHeight="1" thickTop="1" thickBot="1">
      <c r="A40" s="17" t="s">
        <v>293</v>
      </c>
      <c r="B40" s="17"/>
      <c r="C40" s="17"/>
      <c r="D40" s="17">
        <f>IRR(H8:H37,0.12)</f>
        <v>0.3788799671120624</v>
      </c>
      <c r="E40" s="17"/>
      <c r="F40" s="14"/>
      <c r="G40" s="568"/>
      <c r="H40" s="15"/>
    </row>
    <row r="41" spans="1:8" ht="16.5" customHeight="1" thickTop="1" thickBot="1">
      <c r="A41" s="32" t="s">
        <v>290</v>
      </c>
      <c r="B41" s="32"/>
      <c r="C41" s="32"/>
      <c r="D41" s="32">
        <f>NPV(0.12,G8:G37)/NPV(0.12,D8:D37)</f>
        <v>3.6004147830619257</v>
      </c>
      <c r="E41" s="32"/>
      <c r="F41" s="16"/>
      <c r="G41" s="16"/>
      <c r="H41" s="15"/>
    </row>
    <row r="42" spans="1:8" ht="16.5" customHeight="1" thickTop="1" thickBot="1">
      <c r="A42" s="31" t="s">
        <v>287</v>
      </c>
      <c r="B42" s="31"/>
      <c r="C42" s="31"/>
      <c r="D42" s="32">
        <f>H38</f>
        <v>117478.1492709109</v>
      </c>
      <c r="E42" s="31"/>
    </row>
    <row r="43" spans="1:8" ht="15.75" customHeight="1" thickTop="1"/>
  </sheetData>
  <mergeCells count="3">
    <mergeCell ref="A4:H4"/>
    <mergeCell ref="A5:H5"/>
    <mergeCell ref="G6:H6"/>
  </mergeCells>
  <pageMargins left="1.25" right="0.75" top="1" bottom="1" header="0.5" footer="0.5"/>
  <pageSetup paperSize="9" orientation="portrait" r:id="rId1"/>
  <headerFooter alignWithMargins="0">
    <oddFooter>&amp;C&amp;12 P - 54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6"/>
  <sheetViews>
    <sheetView topLeftCell="A52" zoomScaleNormal="100" workbookViewId="0">
      <selection activeCell="A106" sqref="A106:C106"/>
    </sheetView>
  </sheetViews>
  <sheetFormatPr defaultRowHeight="12.75"/>
  <cols>
    <col min="1" max="2" width="7.7109375" style="578" customWidth="1"/>
    <col min="3" max="3" width="82.28515625" style="578" customWidth="1"/>
    <col min="4" max="4" width="5.85546875" style="578" customWidth="1"/>
    <col min="5" max="6" width="9" style="578" customWidth="1"/>
    <col min="7" max="7" width="10.5703125" style="582" customWidth="1"/>
    <col min="8" max="8" width="6.85546875" style="578" customWidth="1"/>
    <col min="9" max="9" width="12" style="578" customWidth="1"/>
    <col min="10" max="10" width="9" style="578" customWidth="1"/>
    <col min="11" max="11" width="4.7109375" style="578" customWidth="1"/>
    <col min="12" max="12" width="4.85546875" style="578" customWidth="1"/>
    <col min="13" max="13" width="5.7109375" style="586" customWidth="1"/>
    <col min="14" max="14" width="8.5703125" style="586" customWidth="1"/>
    <col min="15" max="15" width="9.85546875" style="586" customWidth="1"/>
    <col min="16" max="16" width="10.5703125" style="582" customWidth="1"/>
    <col min="17" max="17" width="6.85546875" style="578" customWidth="1"/>
    <col min="18" max="18" width="11.42578125" style="578" customWidth="1"/>
    <col min="19" max="19" width="9" style="578" customWidth="1"/>
    <col min="20" max="20" width="4" style="578" customWidth="1"/>
    <col min="21" max="21" width="3.85546875" style="586" customWidth="1"/>
    <col min="22" max="22" width="6.140625" style="586" customWidth="1"/>
    <col min="23" max="23" width="6.28515625" style="582" customWidth="1"/>
    <col min="24" max="24" width="10.28515625" style="578" customWidth="1"/>
    <col min="25" max="25" width="10" style="578" customWidth="1"/>
    <col min="26" max="26" width="9" style="578" customWidth="1"/>
    <col min="27" max="27" width="11.7109375" style="586" customWidth="1"/>
    <col min="28" max="28" width="9.140625" style="578" customWidth="1"/>
    <col min="29" max="30" width="4.42578125" style="578" customWidth="1"/>
    <col min="31" max="31" width="12.85546875" style="578" customWidth="1"/>
    <col min="32" max="32" width="11.5703125" style="578" customWidth="1"/>
    <col min="33" max="34" width="9.140625" style="578" customWidth="1"/>
    <col min="35" max="35" width="12.28515625" style="578" customWidth="1"/>
    <col min="36" max="36" width="10.140625" style="578" customWidth="1"/>
    <col min="37" max="37" width="11.5703125" style="578" customWidth="1"/>
    <col min="38" max="46" width="9.140625" style="578" customWidth="1"/>
    <col min="47" max="16384" width="9.140625" style="578"/>
  </cols>
  <sheetData>
    <row r="1" spans="1:30" ht="29.25" customHeight="1">
      <c r="A1" s="578" t="s">
        <v>294</v>
      </c>
      <c r="S1" s="710"/>
      <c r="T1" s="631"/>
      <c r="U1" s="648"/>
      <c r="Z1" s="710"/>
      <c r="AA1" s="648"/>
    </row>
    <row r="2" spans="1:30" ht="22.5" customHeight="1">
      <c r="A2" s="714" t="s">
        <v>295</v>
      </c>
      <c r="B2" s="631"/>
      <c r="C2" s="631"/>
      <c r="D2" s="631"/>
      <c r="E2" s="631"/>
      <c r="F2" s="631"/>
      <c r="G2" s="659"/>
      <c r="H2" s="631"/>
      <c r="I2" s="631"/>
      <c r="J2" s="631"/>
      <c r="K2" s="631"/>
      <c r="L2" s="631"/>
      <c r="M2" s="648"/>
      <c r="N2" s="648"/>
      <c r="O2" s="648"/>
      <c r="P2" s="659"/>
      <c r="Q2" s="631"/>
      <c r="R2" s="631"/>
      <c r="S2" s="631"/>
      <c r="T2" s="631"/>
      <c r="U2" s="648"/>
      <c r="V2" s="648"/>
      <c r="W2" s="659"/>
      <c r="X2" s="711"/>
      <c r="Y2" s="631"/>
      <c r="AB2" s="605"/>
      <c r="AC2" s="605" t="s">
        <v>296</v>
      </c>
    </row>
    <row r="3" spans="1:30" ht="9" customHeight="1">
      <c r="A3" s="712"/>
      <c r="B3" s="631"/>
      <c r="C3" s="631"/>
      <c r="D3" s="631"/>
      <c r="E3" s="631"/>
      <c r="F3" s="631"/>
      <c r="G3" s="659"/>
      <c r="H3" s="631"/>
      <c r="I3" s="631"/>
      <c r="J3" s="631"/>
      <c r="K3" s="631"/>
      <c r="L3" s="631"/>
      <c r="M3" s="606"/>
      <c r="N3" s="606"/>
      <c r="O3" s="606"/>
      <c r="P3" s="578"/>
      <c r="U3" s="578"/>
      <c r="V3" s="606"/>
      <c r="W3" s="578"/>
      <c r="AA3" s="578"/>
    </row>
    <row r="4" spans="1:30" s="588" customFormat="1" ht="16.5" customHeight="1">
      <c r="A4" s="699" t="s">
        <v>2</v>
      </c>
      <c r="B4" s="699" t="s">
        <v>297</v>
      </c>
      <c r="C4" s="691" t="s">
        <v>4</v>
      </c>
      <c r="D4" s="700" t="s">
        <v>298</v>
      </c>
      <c r="E4" s="617"/>
      <c r="F4" s="617"/>
      <c r="G4" s="617"/>
      <c r="H4" s="617"/>
      <c r="I4" s="617"/>
      <c r="J4" s="617"/>
      <c r="K4" s="617"/>
      <c r="L4" s="701"/>
      <c r="M4" s="713" t="s">
        <v>299</v>
      </c>
      <c r="N4" s="617"/>
      <c r="O4" s="617"/>
      <c r="P4" s="617"/>
      <c r="Q4" s="617"/>
      <c r="R4" s="617"/>
      <c r="S4" s="617"/>
      <c r="T4" s="617"/>
      <c r="U4" s="701"/>
      <c r="V4" s="702" t="s">
        <v>300</v>
      </c>
      <c r="W4" s="617"/>
      <c r="X4" s="617"/>
      <c r="Y4" s="617"/>
      <c r="Z4" s="617"/>
      <c r="AA4" s="617"/>
      <c r="AB4" s="617"/>
      <c r="AC4" s="617"/>
      <c r="AD4" s="618"/>
    </row>
    <row r="5" spans="1:30" s="588" customFormat="1" ht="15" customHeight="1">
      <c r="A5" s="624"/>
      <c r="B5" s="624"/>
      <c r="C5" s="624"/>
      <c r="D5" s="619" t="s">
        <v>9</v>
      </c>
      <c r="E5" s="619" t="s">
        <v>301</v>
      </c>
      <c r="F5" s="619" t="s">
        <v>11</v>
      </c>
      <c r="G5" s="617"/>
      <c r="H5" s="617"/>
      <c r="I5" s="617"/>
      <c r="J5" s="617"/>
      <c r="K5" s="617"/>
      <c r="L5" s="618"/>
      <c r="M5" s="706" t="s">
        <v>9</v>
      </c>
      <c r="N5" s="619" t="s">
        <v>301</v>
      </c>
      <c r="O5" s="619" t="s">
        <v>11</v>
      </c>
      <c r="P5" s="617"/>
      <c r="Q5" s="617"/>
      <c r="R5" s="617"/>
      <c r="S5" s="617"/>
      <c r="T5" s="617"/>
      <c r="U5" s="618"/>
      <c r="V5" s="706" t="s">
        <v>9</v>
      </c>
      <c r="W5" s="619" t="s">
        <v>301</v>
      </c>
      <c r="X5" s="619" t="s">
        <v>11</v>
      </c>
      <c r="Y5" s="617"/>
      <c r="Z5" s="617"/>
      <c r="AA5" s="617"/>
      <c r="AB5" s="617"/>
      <c r="AC5" s="617"/>
      <c r="AD5" s="618"/>
    </row>
    <row r="6" spans="1:30" s="588" customFormat="1" ht="15" customHeight="1">
      <c r="A6" s="624"/>
      <c r="B6" s="624"/>
      <c r="C6" s="624"/>
      <c r="D6" s="624"/>
      <c r="E6" s="624"/>
      <c r="F6" s="691" t="s">
        <v>12</v>
      </c>
      <c r="G6" s="696" t="s">
        <v>13</v>
      </c>
      <c r="H6" s="695" t="s">
        <v>14</v>
      </c>
      <c r="I6" s="647"/>
      <c r="J6" s="664"/>
      <c r="K6" s="635" t="s">
        <v>15</v>
      </c>
      <c r="L6" s="692" t="s">
        <v>16</v>
      </c>
      <c r="M6" s="707"/>
      <c r="N6" s="624"/>
      <c r="O6" s="691" t="s">
        <v>12</v>
      </c>
      <c r="P6" s="696" t="s">
        <v>13</v>
      </c>
      <c r="Q6" s="695" t="s">
        <v>14</v>
      </c>
      <c r="R6" s="647"/>
      <c r="S6" s="664"/>
      <c r="T6" s="635" t="s">
        <v>15</v>
      </c>
      <c r="U6" s="703" t="s">
        <v>16</v>
      </c>
      <c r="V6" s="707"/>
      <c r="W6" s="624"/>
      <c r="X6" s="691" t="s">
        <v>12</v>
      </c>
      <c r="Y6" s="696" t="s">
        <v>13</v>
      </c>
      <c r="Z6" s="695" t="s">
        <v>14</v>
      </c>
      <c r="AA6" s="647"/>
      <c r="AB6" s="664"/>
      <c r="AC6" s="635" t="s">
        <v>15</v>
      </c>
      <c r="AD6" s="635" t="s">
        <v>16</v>
      </c>
    </row>
    <row r="7" spans="1:30" s="588" customFormat="1" ht="15.75" customHeight="1">
      <c r="A7" s="624"/>
      <c r="B7" s="624"/>
      <c r="C7" s="624"/>
      <c r="D7" s="624"/>
      <c r="E7" s="624"/>
      <c r="F7" s="624"/>
      <c r="G7" s="624"/>
      <c r="H7" s="691" t="s">
        <v>17</v>
      </c>
      <c r="I7" s="618"/>
      <c r="J7" s="691" t="s">
        <v>18</v>
      </c>
      <c r="K7" s="624"/>
      <c r="L7" s="693"/>
      <c r="M7" s="707"/>
      <c r="N7" s="624"/>
      <c r="O7" s="624"/>
      <c r="P7" s="624"/>
      <c r="Q7" s="691" t="s">
        <v>17</v>
      </c>
      <c r="R7" s="618"/>
      <c r="S7" s="691" t="s">
        <v>18</v>
      </c>
      <c r="T7" s="624"/>
      <c r="U7" s="704"/>
      <c r="V7" s="707"/>
      <c r="W7" s="624"/>
      <c r="X7" s="624"/>
      <c r="Y7" s="624"/>
      <c r="Z7" s="691" t="s">
        <v>17</v>
      </c>
      <c r="AA7" s="618"/>
      <c r="AB7" s="691" t="s">
        <v>18</v>
      </c>
      <c r="AC7" s="624"/>
      <c r="AD7" s="624"/>
    </row>
    <row r="8" spans="1:30" s="588" customFormat="1" ht="39" customHeight="1">
      <c r="A8" s="625"/>
      <c r="B8" s="625"/>
      <c r="C8" s="625"/>
      <c r="D8" s="625"/>
      <c r="E8" s="625"/>
      <c r="F8" s="625"/>
      <c r="G8" s="625"/>
      <c r="H8" s="573" t="s">
        <v>19</v>
      </c>
      <c r="I8" s="573" t="s">
        <v>302</v>
      </c>
      <c r="J8" s="625"/>
      <c r="K8" s="625"/>
      <c r="L8" s="694"/>
      <c r="M8" s="708"/>
      <c r="N8" s="625"/>
      <c r="O8" s="625"/>
      <c r="P8" s="625"/>
      <c r="Q8" s="573" t="s">
        <v>19</v>
      </c>
      <c r="R8" s="573" t="s">
        <v>302</v>
      </c>
      <c r="S8" s="625"/>
      <c r="T8" s="625"/>
      <c r="U8" s="705"/>
      <c r="V8" s="708"/>
      <c r="W8" s="625"/>
      <c r="X8" s="625"/>
      <c r="Y8" s="625"/>
      <c r="Z8" s="573" t="s">
        <v>19</v>
      </c>
      <c r="AA8" s="573" t="s">
        <v>302</v>
      </c>
      <c r="AB8" s="625"/>
      <c r="AC8" s="625"/>
      <c r="AD8" s="625"/>
    </row>
    <row r="9" spans="1:30" s="258" customFormat="1" ht="16.5" customHeight="1">
      <c r="A9" s="233">
        <v>1</v>
      </c>
      <c r="B9" s="233">
        <v>2</v>
      </c>
      <c r="C9" s="233">
        <v>3</v>
      </c>
      <c r="D9" s="233">
        <v>4</v>
      </c>
      <c r="E9" s="233">
        <v>5</v>
      </c>
      <c r="F9" s="232">
        <v>6</v>
      </c>
      <c r="G9" s="232">
        <v>7</v>
      </c>
      <c r="H9" s="232">
        <v>8</v>
      </c>
      <c r="I9" s="233">
        <v>9</v>
      </c>
      <c r="J9" s="233">
        <v>10</v>
      </c>
      <c r="K9" s="233">
        <v>11</v>
      </c>
      <c r="L9" s="347">
        <v>12</v>
      </c>
      <c r="M9" s="261">
        <v>13</v>
      </c>
      <c r="N9" s="233">
        <v>14</v>
      </c>
      <c r="O9" s="233">
        <v>15</v>
      </c>
      <c r="P9" s="233">
        <v>16</v>
      </c>
      <c r="Q9" s="233">
        <v>17</v>
      </c>
      <c r="R9" s="233">
        <v>18</v>
      </c>
      <c r="S9" s="233">
        <v>19</v>
      </c>
      <c r="T9" s="233">
        <v>20</v>
      </c>
      <c r="U9" s="347">
        <v>21</v>
      </c>
      <c r="V9" s="261">
        <v>22</v>
      </c>
      <c r="W9" s="233">
        <v>23</v>
      </c>
      <c r="X9" s="233">
        <v>24</v>
      </c>
      <c r="Y9" s="233">
        <v>25</v>
      </c>
      <c r="Z9" s="233">
        <v>26</v>
      </c>
      <c r="AA9" s="233">
        <v>27</v>
      </c>
      <c r="AB9" s="233">
        <v>28</v>
      </c>
      <c r="AC9" s="233">
        <v>29</v>
      </c>
      <c r="AD9" s="233">
        <v>30</v>
      </c>
    </row>
    <row r="10" spans="1:30" s="428" customFormat="1" ht="20.100000000000001" customHeight="1">
      <c r="A10" s="234" t="s">
        <v>23</v>
      </c>
      <c r="B10" s="348"/>
      <c r="C10" s="348"/>
      <c r="D10" s="135"/>
      <c r="E10" s="348"/>
      <c r="F10" s="348"/>
      <c r="G10" s="348"/>
      <c r="H10" s="348"/>
      <c r="I10" s="348"/>
      <c r="J10" s="348"/>
      <c r="K10" s="348"/>
      <c r="L10" s="348"/>
      <c r="M10" s="348"/>
      <c r="N10" s="348"/>
      <c r="O10" s="348"/>
      <c r="P10" s="348"/>
      <c r="Q10" s="348"/>
      <c r="R10" s="348"/>
      <c r="S10" s="348"/>
      <c r="T10" s="348"/>
      <c r="U10" s="348"/>
      <c r="V10" s="348"/>
      <c r="W10" s="348"/>
      <c r="X10" s="348"/>
      <c r="Y10" s="348"/>
      <c r="Z10" s="348"/>
      <c r="AA10" s="348"/>
      <c r="AB10" s="150"/>
      <c r="AC10" s="150"/>
      <c r="AD10" s="183"/>
    </row>
    <row r="11" spans="1:30" s="428" customFormat="1" ht="18.95" customHeight="1">
      <c r="A11" s="715">
        <v>4700</v>
      </c>
      <c r="B11" s="717" t="s">
        <v>24</v>
      </c>
      <c r="C11" s="617"/>
      <c r="D11" s="352"/>
      <c r="E11" s="352"/>
      <c r="F11" s="352"/>
      <c r="G11" s="352"/>
      <c r="H11" s="352"/>
      <c r="I11" s="352"/>
      <c r="J11" s="352"/>
      <c r="K11" s="352"/>
      <c r="L11" s="352"/>
      <c r="M11" s="352"/>
      <c r="N11" s="352"/>
      <c r="O11" s="352"/>
      <c r="P11" s="352"/>
      <c r="Q11" s="352"/>
      <c r="R11" s="352"/>
      <c r="S11" s="352"/>
      <c r="T11" s="352"/>
      <c r="U11" s="352"/>
      <c r="V11" s="514"/>
      <c r="W11" s="514"/>
      <c r="X11" s="514"/>
      <c r="Y11" s="514"/>
      <c r="Z11" s="514"/>
      <c r="AA11" s="514"/>
      <c r="AB11" s="150"/>
      <c r="AC11" s="150"/>
      <c r="AD11" s="183"/>
    </row>
    <row r="12" spans="1:30" s="428" customFormat="1" ht="18.95" customHeight="1">
      <c r="A12" s="624"/>
      <c r="B12" s="361">
        <v>4765</v>
      </c>
      <c r="C12" s="423" t="s">
        <v>25</v>
      </c>
      <c r="D12" s="498"/>
      <c r="E12" s="599" t="s">
        <v>303</v>
      </c>
      <c r="F12" s="192">
        <f>SUM(G12:J12)</f>
        <v>10</v>
      </c>
      <c r="G12" s="192">
        <v>10</v>
      </c>
      <c r="H12" s="192"/>
      <c r="I12" s="192"/>
      <c r="J12" s="192"/>
      <c r="K12" s="244"/>
      <c r="L12" s="244"/>
      <c r="M12" s="289"/>
      <c r="N12" s="259" t="s">
        <v>303</v>
      </c>
      <c r="O12" s="240">
        <f>SUM(P12:U12)</f>
        <v>10</v>
      </c>
      <c r="P12" s="192">
        <v>10</v>
      </c>
      <c r="Q12" s="192"/>
      <c r="R12" s="192"/>
      <c r="S12" s="192"/>
      <c r="T12" s="244"/>
      <c r="U12" s="272"/>
      <c r="V12" s="181"/>
      <c r="W12" s="426"/>
      <c r="X12" s="192"/>
      <c r="Y12" s="192"/>
      <c r="Z12" s="192"/>
      <c r="AA12" s="192"/>
      <c r="AB12" s="426"/>
      <c r="AC12" s="426"/>
      <c r="AD12" s="426"/>
    </row>
    <row r="13" spans="1:30" s="428" customFormat="1" ht="18.95" customHeight="1">
      <c r="A13" s="624"/>
      <c r="B13" s="361">
        <v>4769</v>
      </c>
      <c r="C13" s="423" t="s">
        <v>27</v>
      </c>
      <c r="D13" s="498"/>
      <c r="E13" s="599" t="s">
        <v>303</v>
      </c>
      <c r="F13" s="192">
        <f>SUM(G13:J13)</f>
        <v>50</v>
      </c>
      <c r="G13" s="192">
        <v>50</v>
      </c>
      <c r="H13" s="192"/>
      <c r="I13" s="192"/>
      <c r="J13" s="192"/>
      <c r="K13" s="244"/>
      <c r="L13" s="244"/>
      <c r="M13" s="289"/>
      <c r="N13" s="259" t="s">
        <v>303</v>
      </c>
      <c r="O13" s="240">
        <f>SUM(P13:U13)</f>
        <v>10</v>
      </c>
      <c r="P13" s="192">
        <v>10</v>
      </c>
      <c r="Q13" s="192"/>
      <c r="R13" s="192"/>
      <c r="S13" s="192"/>
      <c r="T13" s="244"/>
      <c r="U13" s="272"/>
      <c r="V13" s="181"/>
      <c r="W13" s="426"/>
      <c r="X13" s="192">
        <f>O13-F13</f>
        <v>-40</v>
      </c>
      <c r="Y13" s="192">
        <f>P13-G13</f>
        <v>-40</v>
      </c>
      <c r="Z13" s="192"/>
      <c r="AA13" s="192"/>
      <c r="AB13" s="426"/>
      <c r="AC13" s="426"/>
      <c r="AD13" s="426"/>
    </row>
    <row r="14" spans="1:30" s="428" customFormat="1" ht="18.95" customHeight="1">
      <c r="A14" s="625"/>
      <c r="B14" s="361">
        <v>4795</v>
      </c>
      <c r="C14" s="423" t="s">
        <v>28</v>
      </c>
      <c r="D14" s="498"/>
      <c r="E14" s="599" t="s">
        <v>303</v>
      </c>
      <c r="F14" s="192"/>
      <c r="G14" s="192"/>
      <c r="H14" s="192"/>
      <c r="I14" s="192"/>
      <c r="J14" s="192"/>
      <c r="K14" s="244"/>
      <c r="L14" s="244"/>
      <c r="M14" s="289"/>
      <c r="N14" s="259" t="s">
        <v>303</v>
      </c>
      <c r="O14" s="240">
        <f>SUM(P14:U14)</f>
        <v>140</v>
      </c>
      <c r="P14" s="192">
        <v>140</v>
      </c>
      <c r="Q14" s="192"/>
      <c r="R14" s="192"/>
      <c r="S14" s="192"/>
      <c r="T14" s="244"/>
      <c r="U14" s="272"/>
      <c r="V14" s="181"/>
      <c r="W14" s="426"/>
      <c r="X14" s="192">
        <f>O14-F14</f>
        <v>140</v>
      </c>
      <c r="Y14" s="192">
        <f>P14-G14</f>
        <v>140</v>
      </c>
      <c r="Z14" s="192"/>
      <c r="AA14" s="192"/>
      <c r="AB14" s="426"/>
      <c r="AC14" s="426"/>
      <c r="AD14" s="426"/>
    </row>
    <row r="15" spans="1:30" s="428" customFormat="1" ht="18.95" customHeight="1">
      <c r="A15" s="715">
        <v>4800</v>
      </c>
      <c r="B15" s="717" t="s">
        <v>304</v>
      </c>
      <c r="C15" s="617"/>
      <c r="D15" s="352"/>
      <c r="E15" s="352"/>
      <c r="F15" s="352"/>
      <c r="G15" s="352"/>
      <c r="H15" s="352"/>
      <c r="I15" s="352"/>
      <c r="J15" s="352"/>
      <c r="K15" s="352"/>
      <c r="L15" s="352"/>
      <c r="M15" s="352"/>
      <c r="N15" s="352"/>
      <c r="O15" s="352"/>
      <c r="P15" s="294"/>
      <c r="Q15" s="352"/>
      <c r="R15" s="352"/>
      <c r="S15" s="352"/>
      <c r="T15" s="352"/>
      <c r="U15" s="352"/>
      <c r="X15" s="150"/>
      <c r="Y15" s="150"/>
      <c r="Z15" s="150"/>
      <c r="AA15" s="150"/>
      <c r="AB15" s="150"/>
      <c r="AC15" s="150"/>
      <c r="AD15" s="183"/>
    </row>
    <row r="16" spans="1:30" s="428" customFormat="1" ht="18.95" customHeight="1">
      <c r="A16" s="624"/>
      <c r="B16" s="598">
        <v>4801</v>
      </c>
      <c r="C16" s="145" t="s">
        <v>30</v>
      </c>
      <c r="D16" s="154"/>
      <c r="E16" s="599" t="s">
        <v>303</v>
      </c>
      <c r="F16" s="192">
        <f t="shared" ref="F16:F30" si="0">SUM(G16:J16)</f>
        <v>100</v>
      </c>
      <c r="G16" s="193">
        <v>100</v>
      </c>
      <c r="H16" s="194"/>
      <c r="I16" s="194"/>
      <c r="J16" s="194"/>
      <c r="K16" s="245"/>
      <c r="L16" s="245"/>
      <c r="M16" s="289"/>
      <c r="N16" s="259" t="s">
        <v>303</v>
      </c>
      <c r="O16" s="240">
        <f t="shared" ref="O16:O30" si="1">SUM(P16:U16)</f>
        <v>100</v>
      </c>
      <c r="P16" s="193">
        <v>100</v>
      </c>
      <c r="Q16" s="194"/>
      <c r="R16" s="194"/>
      <c r="S16" s="194"/>
      <c r="T16" s="193"/>
      <c r="U16" s="272"/>
      <c r="V16" s="181"/>
      <c r="W16" s="426"/>
      <c r="X16" s="192"/>
      <c r="Y16" s="192"/>
      <c r="Z16" s="193"/>
      <c r="AA16" s="192"/>
      <c r="AB16" s="426"/>
      <c r="AC16" s="426"/>
      <c r="AD16" s="426"/>
    </row>
    <row r="17" spans="1:30" s="428" customFormat="1" ht="17.25" customHeight="1">
      <c r="A17" s="624"/>
      <c r="B17" s="599">
        <v>4806</v>
      </c>
      <c r="C17" s="95" t="s">
        <v>31</v>
      </c>
      <c r="D17" s="444"/>
      <c r="E17" s="599" t="s">
        <v>303</v>
      </c>
      <c r="F17" s="192">
        <f t="shared" si="0"/>
        <v>378</v>
      </c>
      <c r="G17" s="193">
        <v>378</v>
      </c>
      <c r="H17" s="194"/>
      <c r="I17" s="194"/>
      <c r="J17" s="194"/>
      <c r="K17" s="245"/>
      <c r="L17" s="245"/>
      <c r="M17" s="289"/>
      <c r="N17" s="259" t="s">
        <v>303</v>
      </c>
      <c r="O17" s="240">
        <f t="shared" si="1"/>
        <v>245</v>
      </c>
      <c r="P17" s="193">
        <v>245</v>
      </c>
      <c r="Q17" s="194"/>
      <c r="R17" s="194"/>
      <c r="S17" s="194"/>
      <c r="T17" s="245"/>
      <c r="U17" s="272"/>
      <c r="V17" s="181"/>
      <c r="W17" s="426"/>
      <c r="X17" s="192">
        <f>O17-F17</f>
        <v>-133</v>
      </c>
      <c r="Y17" s="192">
        <f>P17-G17</f>
        <v>-133</v>
      </c>
      <c r="Z17" s="194"/>
      <c r="AA17" s="205"/>
      <c r="AB17" s="426"/>
      <c r="AC17" s="426"/>
      <c r="AD17" s="426"/>
    </row>
    <row r="18" spans="1:30" s="428" customFormat="1" ht="32.25" customHeight="1">
      <c r="A18" s="624"/>
      <c r="B18" s="599">
        <v>4814</v>
      </c>
      <c r="C18" s="95" t="s">
        <v>32</v>
      </c>
      <c r="D18" s="444"/>
      <c r="E18" s="599" t="s">
        <v>303</v>
      </c>
      <c r="F18" s="192">
        <f t="shared" si="0"/>
        <v>2396.27</v>
      </c>
      <c r="G18" s="193">
        <v>2396.27</v>
      </c>
      <c r="H18" s="194"/>
      <c r="I18" s="194"/>
      <c r="J18" s="194"/>
      <c r="K18" s="245"/>
      <c r="L18" s="245"/>
      <c r="M18" s="289"/>
      <c r="N18" s="259" t="s">
        <v>303</v>
      </c>
      <c r="O18" s="240">
        <f t="shared" si="1"/>
        <v>2596.27</v>
      </c>
      <c r="P18" s="193">
        <v>2596.27</v>
      </c>
      <c r="Q18" s="194"/>
      <c r="R18" s="194"/>
      <c r="S18" s="194"/>
      <c r="T18" s="245"/>
      <c r="U18" s="272"/>
      <c r="V18" s="181"/>
      <c r="W18" s="426"/>
      <c r="X18" s="192">
        <f>O18-F18</f>
        <v>200</v>
      </c>
      <c r="Y18" s="192">
        <f>P18-G18</f>
        <v>200</v>
      </c>
      <c r="Z18" s="194"/>
      <c r="AA18" s="192"/>
      <c r="AB18" s="426"/>
      <c r="AC18" s="426"/>
      <c r="AD18" s="426"/>
    </row>
    <row r="19" spans="1:30" s="428" customFormat="1" ht="18.95" customHeight="1">
      <c r="A19" s="624"/>
      <c r="B19" s="599">
        <v>4815</v>
      </c>
      <c r="C19" s="95" t="s">
        <v>33</v>
      </c>
      <c r="D19" s="444"/>
      <c r="E19" s="599" t="s">
        <v>303</v>
      </c>
      <c r="F19" s="192">
        <f t="shared" si="0"/>
        <v>25</v>
      </c>
      <c r="G19" s="193">
        <v>25</v>
      </c>
      <c r="H19" s="194"/>
      <c r="I19" s="194"/>
      <c r="J19" s="194"/>
      <c r="K19" s="245"/>
      <c r="L19" s="245"/>
      <c r="M19" s="289"/>
      <c r="N19" s="259" t="s">
        <v>303</v>
      </c>
      <c r="O19" s="240">
        <f t="shared" si="1"/>
        <v>25</v>
      </c>
      <c r="P19" s="193">
        <v>25</v>
      </c>
      <c r="Q19" s="194"/>
      <c r="R19" s="194"/>
      <c r="S19" s="194"/>
      <c r="T19" s="245"/>
      <c r="U19" s="272"/>
      <c r="V19" s="181"/>
      <c r="W19" s="426"/>
      <c r="X19" s="192"/>
      <c r="Y19" s="192"/>
      <c r="Z19" s="194"/>
      <c r="AA19" s="205"/>
      <c r="AB19" s="426"/>
      <c r="AC19" s="426"/>
      <c r="AD19" s="426"/>
    </row>
    <row r="20" spans="1:30" s="428" customFormat="1" ht="18.95" customHeight="1">
      <c r="A20" s="624"/>
      <c r="B20" s="599">
        <v>4816</v>
      </c>
      <c r="C20" s="310" t="s">
        <v>34</v>
      </c>
      <c r="D20" s="438"/>
      <c r="E20" s="599" t="s">
        <v>303</v>
      </c>
      <c r="F20" s="192">
        <f t="shared" si="0"/>
        <v>25</v>
      </c>
      <c r="G20" s="193">
        <v>25</v>
      </c>
      <c r="H20" s="194"/>
      <c r="I20" s="194"/>
      <c r="J20" s="194"/>
      <c r="K20" s="245"/>
      <c r="L20" s="245"/>
      <c r="M20" s="289"/>
      <c r="N20" s="259" t="s">
        <v>303</v>
      </c>
      <c r="O20" s="240">
        <f t="shared" si="1"/>
        <v>25</v>
      </c>
      <c r="P20" s="193">
        <v>25</v>
      </c>
      <c r="Q20" s="194"/>
      <c r="R20" s="194"/>
      <c r="S20" s="194"/>
      <c r="T20" s="245"/>
      <c r="U20" s="272"/>
      <c r="V20" s="181"/>
      <c r="W20" s="426"/>
      <c r="X20" s="192"/>
      <c r="Y20" s="192"/>
      <c r="Z20" s="194"/>
      <c r="AA20" s="205"/>
      <c r="AB20" s="426"/>
      <c r="AC20" s="426"/>
      <c r="AD20" s="426"/>
    </row>
    <row r="21" spans="1:30" s="428" customFormat="1" ht="18.95" customHeight="1">
      <c r="A21" s="624"/>
      <c r="B21" s="599">
        <v>4817</v>
      </c>
      <c r="C21" s="310" t="s">
        <v>35</v>
      </c>
      <c r="D21" s="438"/>
      <c r="E21" s="599" t="s">
        <v>303</v>
      </c>
      <c r="F21" s="192">
        <f t="shared" si="0"/>
        <v>25</v>
      </c>
      <c r="G21" s="193">
        <v>25</v>
      </c>
      <c r="H21" s="193"/>
      <c r="I21" s="193"/>
      <c r="J21" s="193"/>
      <c r="K21" s="246"/>
      <c r="L21" s="246"/>
      <c r="M21" s="289"/>
      <c r="N21" s="259" t="s">
        <v>303</v>
      </c>
      <c r="O21" s="240">
        <f t="shared" si="1"/>
        <v>25</v>
      </c>
      <c r="P21" s="193">
        <v>25</v>
      </c>
      <c r="Q21" s="193"/>
      <c r="R21" s="193"/>
      <c r="S21" s="193"/>
      <c r="T21" s="246"/>
      <c r="U21" s="272"/>
      <c r="V21" s="181"/>
      <c r="W21" s="426"/>
      <c r="X21" s="192"/>
      <c r="Y21" s="192"/>
      <c r="Z21" s="193"/>
      <c r="AA21" s="192"/>
      <c r="AB21" s="426"/>
      <c r="AC21" s="426"/>
      <c r="AD21" s="426"/>
    </row>
    <row r="22" spans="1:30" s="428" customFormat="1" ht="18.95" customHeight="1">
      <c r="A22" s="624"/>
      <c r="B22" s="599">
        <v>4818</v>
      </c>
      <c r="C22" s="310" t="s">
        <v>36</v>
      </c>
      <c r="D22" s="438"/>
      <c r="E22" s="599" t="s">
        <v>303</v>
      </c>
      <c r="F22" s="192">
        <f t="shared" si="0"/>
        <v>10</v>
      </c>
      <c r="G22" s="193">
        <v>10</v>
      </c>
      <c r="H22" s="193"/>
      <c r="I22" s="193"/>
      <c r="J22" s="193"/>
      <c r="K22" s="246"/>
      <c r="L22" s="246"/>
      <c r="M22" s="289"/>
      <c r="N22" s="259" t="s">
        <v>303</v>
      </c>
      <c r="O22" s="240">
        <f t="shared" si="1"/>
        <v>15</v>
      </c>
      <c r="P22" s="193">
        <v>15</v>
      </c>
      <c r="Q22" s="193"/>
      <c r="R22" s="193"/>
      <c r="S22" s="193"/>
      <c r="T22" s="246"/>
      <c r="U22" s="272"/>
      <c r="V22" s="181"/>
      <c r="W22" s="426"/>
      <c r="X22" s="192">
        <f>O22-F22</f>
        <v>5</v>
      </c>
      <c r="Y22" s="192">
        <f>P22-G22</f>
        <v>5</v>
      </c>
      <c r="Z22" s="194"/>
      <c r="AA22" s="205"/>
      <c r="AB22" s="426"/>
      <c r="AC22" s="426"/>
      <c r="AD22" s="426"/>
    </row>
    <row r="23" spans="1:30" s="428" customFormat="1" ht="18.95" customHeight="1">
      <c r="A23" s="624"/>
      <c r="B23" s="599">
        <v>4819</v>
      </c>
      <c r="C23" s="310" t="s">
        <v>37</v>
      </c>
      <c r="D23" s="438"/>
      <c r="E23" s="599" t="s">
        <v>303</v>
      </c>
      <c r="F23" s="192">
        <f t="shared" si="0"/>
        <v>10</v>
      </c>
      <c r="G23" s="193">
        <v>10</v>
      </c>
      <c r="H23" s="193"/>
      <c r="I23" s="193"/>
      <c r="J23" s="193"/>
      <c r="K23" s="246"/>
      <c r="L23" s="246"/>
      <c r="M23" s="289"/>
      <c r="N23" s="259" t="s">
        <v>303</v>
      </c>
      <c r="O23" s="240">
        <f t="shared" si="1"/>
        <v>10</v>
      </c>
      <c r="P23" s="193">
        <v>10</v>
      </c>
      <c r="Q23" s="193"/>
      <c r="R23" s="193"/>
      <c r="S23" s="193"/>
      <c r="T23" s="246"/>
      <c r="U23" s="272"/>
      <c r="V23" s="181"/>
      <c r="W23" s="426"/>
      <c r="X23" s="192"/>
      <c r="Y23" s="192"/>
      <c r="Z23" s="193"/>
      <c r="AA23" s="192"/>
      <c r="AB23" s="426"/>
      <c r="AC23" s="426"/>
      <c r="AD23" s="426"/>
    </row>
    <row r="24" spans="1:30" s="428" customFormat="1" ht="18.95" customHeight="1">
      <c r="A24" s="624"/>
      <c r="B24" s="599">
        <v>4821</v>
      </c>
      <c r="C24" s="310" t="s">
        <v>38</v>
      </c>
      <c r="D24" s="438"/>
      <c r="E24" s="599" t="s">
        <v>303</v>
      </c>
      <c r="F24" s="192">
        <f t="shared" si="0"/>
        <v>15</v>
      </c>
      <c r="G24" s="193">
        <v>15</v>
      </c>
      <c r="H24" s="193"/>
      <c r="I24" s="193"/>
      <c r="J24" s="193"/>
      <c r="K24" s="246"/>
      <c r="L24" s="246"/>
      <c r="M24" s="289"/>
      <c r="N24" s="259" t="s">
        <v>303</v>
      </c>
      <c r="O24" s="240">
        <f t="shared" si="1"/>
        <v>15</v>
      </c>
      <c r="P24" s="193">
        <v>15</v>
      </c>
      <c r="Q24" s="193"/>
      <c r="R24" s="193"/>
      <c r="S24" s="193"/>
      <c r="T24" s="246"/>
      <c r="U24" s="272"/>
      <c r="V24" s="181"/>
      <c r="W24" s="426"/>
      <c r="X24" s="192"/>
      <c r="Y24" s="192"/>
      <c r="Z24" s="193"/>
      <c r="AA24" s="192"/>
      <c r="AB24" s="426"/>
      <c r="AC24" s="426"/>
      <c r="AD24" s="426"/>
    </row>
    <row r="25" spans="1:30" s="428" customFormat="1" ht="18.95" customHeight="1">
      <c r="A25" s="624"/>
      <c r="B25" s="361">
        <v>4822</v>
      </c>
      <c r="C25" s="423" t="s">
        <v>39</v>
      </c>
      <c r="D25" s="498"/>
      <c r="E25" s="599" t="s">
        <v>303</v>
      </c>
      <c r="F25" s="195">
        <f t="shared" si="0"/>
        <v>200</v>
      </c>
      <c r="G25" s="195">
        <v>200</v>
      </c>
      <c r="H25" s="195"/>
      <c r="I25" s="195"/>
      <c r="J25" s="195"/>
      <c r="K25" s="247"/>
      <c r="L25" s="247"/>
      <c r="M25" s="289"/>
      <c r="N25" s="259" t="s">
        <v>303</v>
      </c>
      <c r="O25" s="240">
        <f t="shared" si="1"/>
        <v>200</v>
      </c>
      <c r="P25" s="195">
        <v>200</v>
      </c>
      <c r="Q25" s="195"/>
      <c r="R25" s="195"/>
      <c r="S25" s="195"/>
      <c r="T25" s="247"/>
      <c r="U25" s="196"/>
      <c r="V25" s="146"/>
      <c r="W25" s="426"/>
      <c r="X25" s="192"/>
      <c r="Y25" s="192"/>
      <c r="Z25" s="195"/>
      <c r="AA25" s="195"/>
      <c r="AB25" s="426"/>
      <c r="AC25" s="426"/>
      <c r="AD25" s="426"/>
    </row>
    <row r="26" spans="1:30" s="428" customFormat="1" ht="18.95" customHeight="1">
      <c r="A26" s="624"/>
      <c r="B26" s="361">
        <v>4823</v>
      </c>
      <c r="C26" s="423" t="s">
        <v>40</v>
      </c>
      <c r="D26" s="498"/>
      <c r="E26" s="599" t="s">
        <v>303</v>
      </c>
      <c r="F26" s="195">
        <f t="shared" si="0"/>
        <v>150</v>
      </c>
      <c r="G26" s="195">
        <v>150</v>
      </c>
      <c r="H26" s="195"/>
      <c r="I26" s="195"/>
      <c r="J26" s="195"/>
      <c r="K26" s="247"/>
      <c r="L26" s="247"/>
      <c r="M26" s="289"/>
      <c r="N26" s="259" t="s">
        <v>303</v>
      </c>
      <c r="O26" s="240">
        <f t="shared" si="1"/>
        <v>150</v>
      </c>
      <c r="P26" s="195">
        <v>150</v>
      </c>
      <c r="Q26" s="195"/>
      <c r="R26" s="195"/>
      <c r="S26" s="195"/>
      <c r="T26" s="247"/>
      <c r="U26" s="196"/>
      <c r="V26" s="146"/>
      <c r="W26" s="426"/>
      <c r="X26" s="192"/>
      <c r="Y26" s="192"/>
      <c r="Z26" s="195"/>
      <c r="AA26" s="195"/>
      <c r="AB26" s="426"/>
      <c r="AC26" s="426"/>
      <c r="AD26" s="426"/>
    </row>
    <row r="27" spans="1:30" s="428" customFormat="1" ht="18.95" customHeight="1">
      <c r="A27" s="624"/>
      <c r="B27" s="361">
        <v>4824</v>
      </c>
      <c r="C27" s="423" t="s">
        <v>41</v>
      </c>
      <c r="D27" s="498"/>
      <c r="E27" s="599" t="s">
        <v>303</v>
      </c>
      <c r="F27" s="195">
        <f t="shared" si="0"/>
        <v>3</v>
      </c>
      <c r="G27" s="195">
        <v>3</v>
      </c>
      <c r="H27" s="197"/>
      <c r="I27" s="197"/>
      <c r="J27" s="197"/>
      <c r="K27" s="248"/>
      <c r="L27" s="248"/>
      <c r="M27" s="289"/>
      <c r="N27" s="259" t="s">
        <v>303</v>
      </c>
      <c r="O27" s="240">
        <f t="shared" si="1"/>
        <v>3</v>
      </c>
      <c r="P27" s="195">
        <v>3</v>
      </c>
      <c r="Q27" s="197"/>
      <c r="R27" s="197"/>
      <c r="S27" s="197"/>
      <c r="T27" s="248"/>
      <c r="U27" s="196"/>
      <c r="V27" s="146"/>
      <c r="W27" s="426"/>
      <c r="X27" s="192"/>
      <c r="Y27" s="192"/>
      <c r="Z27" s="197"/>
      <c r="AA27" s="195"/>
      <c r="AB27" s="426"/>
      <c r="AC27" s="426"/>
      <c r="AD27" s="426"/>
    </row>
    <row r="28" spans="1:30" s="428" customFormat="1" ht="18.95" customHeight="1">
      <c r="A28" s="624"/>
      <c r="B28" s="361">
        <v>4827</v>
      </c>
      <c r="C28" s="423" t="s">
        <v>42</v>
      </c>
      <c r="D28" s="498"/>
      <c r="E28" s="599" t="s">
        <v>303</v>
      </c>
      <c r="F28" s="192">
        <f t="shared" si="0"/>
        <v>25</v>
      </c>
      <c r="G28" s="192">
        <v>25</v>
      </c>
      <c r="H28" s="192"/>
      <c r="I28" s="192"/>
      <c r="J28" s="192"/>
      <c r="K28" s="244"/>
      <c r="L28" s="244"/>
      <c r="M28" s="289"/>
      <c r="N28" s="259" t="s">
        <v>303</v>
      </c>
      <c r="O28" s="240">
        <f t="shared" si="1"/>
        <v>35</v>
      </c>
      <c r="P28" s="192">
        <v>35</v>
      </c>
      <c r="Q28" s="192"/>
      <c r="R28" s="192"/>
      <c r="S28" s="192"/>
      <c r="T28" s="244"/>
      <c r="U28" s="272"/>
      <c r="V28" s="181"/>
      <c r="W28" s="426"/>
      <c r="X28" s="192">
        <f>O28-F28</f>
        <v>10</v>
      </c>
      <c r="Y28" s="192">
        <f>P28-G28</f>
        <v>10</v>
      </c>
      <c r="Z28" s="192"/>
      <c r="AA28" s="192"/>
      <c r="AB28" s="426"/>
      <c r="AC28" s="426"/>
      <c r="AD28" s="426"/>
    </row>
    <row r="29" spans="1:30" s="428" customFormat="1" ht="18.95" customHeight="1">
      <c r="A29" s="624"/>
      <c r="B29" s="361">
        <v>4828</v>
      </c>
      <c r="C29" s="423" t="s">
        <v>43</v>
      </c>
      <c r="D29" s="498"/>
      <c r="E29" s="599" t="s">
        <v>303</v>
      </c>
      <c r="F29" s="192">
        <f t="shared" si="0"/>
        <v>150</v>
      </c>
      <c r="G29" s="192">
        <v>150</v>
      </c>
      <c r="H29" s="192"/>
      <c r="I29" s="192"/>
      <c r="J29" s="192"/>
      <c r="K29" s="244"/>
      <c r="L29" s="244"/>
      <c r="M29" s="289"/>
      <c r="N29" s="259" t="s">
        <v>303</v>
      </c>
      <c r="O29" s="240">
        <f t="shared" si="1"/>
        <v>150</v>
      </c>
      <c r="P29" s="192">
        <v>150</v>
      </c>
      <c r="Q29" s="192"/>
      <c r="R29" s="192"/>
      <c r="S29" s="192"/>
      <c r="T29" s="244"/>
      <c r="U29" s="272"/>
      <c r="V29" s="181"/>
      <c r="W29" s="426"/>
      <c r="X29" s="192"/>
      <c r="Y29" s="192"/>
      <c r="Z29" s="192"/>
      <c r="AA29" s="192"/>
      <c r="AB29" s="426"/>
      <c r="AC29" s="426"/>
      <c r="AD29" s="426"/>
    </row>
    <row r="30" spans="1:30" s="428" customFormat="1" ht="18.95" customHeight="1">
      <c r="A30" s="624"/>
      <c r="B30" s="361">
        <v>4831</v>
      </c>
      <c r="C30" s="423" t="s">
        <v>44</v>
      </c>
      <c r="D30" s="498"/>
      <c r="E30" s="599" t="s">
        <v>303</v>
      </c>
      <c r="F30" s="192">
        <f t="shared" si="0"/>
        <v>2</v>
      </c>
      <c r="G30" s="192">
        <v>2</v>
      </c>
      <c r="H30" s="192"/>
      <c r="I30" s="192"/>
      <c r="J30" s="192"/>
      <c r="K30" s="244"/>
      <c r="L30" s="244"/>
      <c r="M30" s="289"/>
      <c r="N30" s="259" t="s">
        <v>303</v>
      </c>
      <c r="O30" s="240">
        <f t="shared" si="1"/>
        <v>2</v>
      </c>
      <c r="P30" s="192">
        <v>2</v>
      </c>
      <c r="Q30" s="192"/>
      <c r="R30" s="192"/>
      <c r="S30" s="192"/>
      <c r="T30" s="244"/>
      <c r="U30" s="272"/>
      <c r="V30" s="181"/>
      <c r="W30" s="426"/>
      <c r="X30" s="192"/>
      <c r="Y30" s="192"/>
      <c r="Z30" s="192"/>
      <c r="AA30" s="192"/>
      <c r="AB30" s="426"/>
      <c r="AC30" s="426"/>
      <c r="AD30" s="426"/>
    </row>
    <row r="31" spans="1:30" s="428" customFormat="1" ht="18.95" customHeight="1">
      <c r="A31" s="624"/>
      <c r="B31" s="105">
        <v>4840</v>
      </c>
      <c r="C31" s="106" t="s">
        <v>45</v>
      </c>
      <c r="D31" s="352"/>
      <c r="E31" s="352"/>
      <c r="F31" s="352"/>
      <c r="G31" s="352"/>
      <c r="H31" s="352"/>
      <c r="I31" s="352"/>
      <c r="J31" s="352"/>
      <c r="K31" s="352"/>
      <c r="L31" s="352"/>
      <c r="M31" s="352"/>
      <c r="N31" s="352"/>
      <c r="O31" s="352"/>
      <c r="P31" s="294"/>
      <c r="Q31" s="352"/>
      <c r="R31" s="352"/>
      <c r="S31" s="352"/>
      <c r="T31" s="352"/>
      <c r="U31" s="352"/>
      <c r="V31" s="352"/>
      <c r="W31" s="352"/>
      <c r="X31" s="352"/>
      <c r="Y31" s="352"/>
      <c r="Z31" s="352"/>
      <c r="AA31" s="352"/>
      <c r="AB31" s="150"/>
      <c r="AC31" s="150"/>
      <c r="AD31" s="183"/>
    </row>
    <row r="32" spans="1:30" s="428" customFormat="1" ht="20.25" customHeight="1">
      <c r="A32" s="624"/>
      <c r="B32" s="107"/>
      <c r="C32" s="423" t="s">
        <v>46</v>
      </c>
      <c r="D32" s="498"/>
      <c r="E32" s="599" t="s">
        <v>303</v>
      </c>
      <c r="F32" s="192">
        <f t="shared" ref="F32:F44" si="2">SUM(G32:J32)</f>
        <v>238.54</v>
      </c>
      <c r="G32" s="192"/>
      <c r="H32" s="192"/>
      <c r="I32" s="192">
        <v>238.54</v>
      </c>
      <c r="J32" s="192"/>
      <c r="K32" s="244"/>
      <c r="L32" s="244"/>
      <c r="M32" s="289"/>
      <c r="N32" s="240" t="s">
        <v>303</v>
      </c>
      <c r="O32" s="240">
        <f t="shared" ref="O32:O44" si="3">SUM(P32:U32)</f>
        <v>238.54</v>
      </c>
      <c r="Q32" s="192"/>
      <c r="R32" s="192">
        <v>238.54</v>
      </c>
      <c r="S32" s="192"/>
      <c r="T32" s="244"/>
      <c r="U32" s="272"/>
      <c r="V32" s="181"/>
      <c r="W32" s="426"/>
      <c r="X32" s="192"/>
      <c r="Y32" s="192"/>
      <c r="Z32" s="182"/>
      <c r="AA32" s="192"/>
      <c r="AB32" s="426"/>
      <c r="AC32" s="426"/>
      <c r="AD32" s="426"/>
    </row>
    <row r="33" spans="1:30" s="428" customFormat="1" ht="18" customHeight="1">
      <c r="A33" s="624"/>
      <c r="B33" s="107"/>
      <c r="C33" s="498" t="s">
        <v>47</v>
      </c>
      <c r="D33" s="156"/>
      <c r="E33" s="156"/>
      <c r="F33" s="192">
        <f t="shared" si="2"/>
        <v>78</v>
      </c>
      <c r="G33" s="192"/>
      <c r="H33" s="182"/>
      <c r="I33" s="182">
        <v>78</v>
      </c>
      <c r="J33" s="182"/>
      <c r="K33" s="236"/>
      <c r="L33" s="236"/>
      <c r="M33" s="181"/>
      <c r="N33" s="241"/>
      <c r="O33" s="240">
        <f t="shared" si="3"/>
        <v>398.41</v>
      </c>
      <c r="P33" s="192">
        <v>47.81</v>
      </c>
      <c r="Q33" s="182"/>
      <c r="R33" s="182">
        <v>350.6</v>
      </c>
      <c r="S33" s="182"/>
      <c r="T33" s="236"/>
      <c r="U33" s="272"/>
      <c r="V33" s="181"/>
      <c r="W33" s="426"/>
      <c r="X33" s="192">
        <f t="shared" ref="X33:Y36" si="4">O33-F33</f>
        <v>320.41000000000003</v>
      </c>
      <c r="Y33" s="192">
        <f t="shared" si="4"/>
        <v>47.81</v>
      </c>
      <c r="Z33" s="182"/>
      <c r="AA33" s="192">
        <f>R33-I33</f>
        <v>272.60000000000002</v>
      </c>
      <c r="AB33" s="426"/>
      <c r="AC33" s="426"/>
      <c r="AD33" s="426"/>
    </row>
    <row r="34" spans="1:30" s="428" customFormat="1" ht="39.75" customHeight="1">
      <c r="A34" s="624"/>
      <c r="B34" s="107"/>
      <c r="C34" s="444" t="s">
        <v>48</v>
      </c>
      <c r="D34" s="444"/>
      <c r="E34" s="444"/>
      <c r="F34" s="199">
        <f t="shared" si="2"/>
        <v>1815.8</v>
      </c>
      <c r="G34" s="199"/>
      <c r="H34" s="199"/>
      <c r="I34" s="199">
        <v>1815.8</v>
      </c>
      <c r="J34" s="199"/>
      <c r="K34" s="249"/>
      <c r="L34" s="249"/>
      <c r="M34" s="198"/>
      <c r="N34" s="242"/>
      <c r="O34" s="240">
        <f t="shared" si="3"/>
        <v>2533.34</v>
      </c>
      <c r="P34" s="199">
        <v>304</v>
      </c>
      <c r="Q34" s="199"/>
      <c r="R34" s="199">
        <v>2229.34</v>
      </c>
      <c r="S34" s="199"/>
      <c r="T34" s="249"/>
      <c r="U34" s="271"/>
      <c r="V34" s="198"/>
      <c r="W34" s="426"/>
      <c r="X34" s="192">
        <f t="shared" si="4"/>
        <v>717.54000000000019</v>
      </c>
      <c r="Y34" s="192">
        <f t="shared" si="4"/>
        <v>304</v>
      </c>
      <c r="Z34" s="199"/>
      <c r="AA34" s="192">
        <f>R34-I34</f>
        <v>413.54000000000019</v>
      </c>
      <c r="AB34" s="426"/>
      <c r="AC34" s="426"/>
      <c r="AD34" s="426"/>
    </row>
    <row r="35" spans="1:30" s="428" customFormat="1" ht="39" customHeight="1">
      <c r="A35" s="624"/>
      <c r="B35" s="108"/>
      <c r="C35" s="444" t="s">
        <v>49</v>
      </c>
      <c r="D35" s="444"/>
      <c r="E35" s="444"/>
      <c r="F35" s="199">
        <f t="shared" si="2"/>
        <v>298</v>
      </c>
      <c r="G35" s="199"/>
      <c r="H35" s="199"/>
      <c r="I35" s="199">
        <v>298</v>
      </c>
      <c r="J35" s="199"/>
      <c r="K35" s="249"/>
      <c r="L35" s="249"/>
      <c r="M35" s="198"/>
      <c r="N35" s="242"/>
      <c r="O35" s="240">
        <f t="shared" si="3"/>
        <v>1321.6799999999998</v>
      </c>
      <c r="P35" s="199">
        <v>158.6</v>
      </c>
      <c r="Q35" s="199"/>
      <c r="R35" s="199">
        <v>1163.08</v>
      </c>
      <c r="S35" s="199"/>
      <c r="T35" s="249"/>
      <c r="U35" s="271"/>
      <c r="V35" s="198"/>
      <c r="W35" s="426"/>
      <c r="X35" s="192">
        <f t="shared" si="4"/>
        <v>1023.6799999999998</v>
      </c>
      <c r="Y35" s="192">
        <f t="shared" si="4"/>
        <v>158.6</v>
      </c>
      <c r="Z35" s="199"/>
      <c r="AA35" s="192">
        <f>R35-I35</f>
        <v>865.07999999999993</v>
      </c>
      <c r="AB35" s="426"/>
      <c r="AC35" s="426"/>
      <c r="AD35" s="426"/>
    </row>
    <row r="36" spans="1:30" s="428" customFormat="1" ht="20.25" customHeight="1">
      <c r="A36" s="624"/>
      <c r="B36" s="361">
        <v>4851</v>
      </c>
      <c r="C36" s="423" t="s">
        <v>50</v>
      </c>
      <c r="D36" s="156"/>
      <c r="E36" s="156"/>
      <c r="F36" s="199">
        <f t="shared" si="2"/>
        <v>10</v>
      </c>
      <c r="G36" s="192">
        <v>10</v>
      </c>
      <c r="H36" s="182"/>
      <c r="I36" s="182"/>
      <c r="J36" s="182"/>
      <c r="K36" s="236"/>
      <c r="L36" s="236"/>
      <c r="M36" s="198"/>
      <c r="N36" s="240" t="s">
        <v>303</v>
      </c>
      <c r="O36" s="240">
        <f t="shared" si="3"/>
        <v>15</v>
      </c>
      <c r="P36" s="192">
        <v>15</v>
      </c>
      <c r="Q36" s="182"/>
      <c r="R36" s="182"/>
      <c r="S36" s="182"/>
      <c r="T36" s="236"/>
      <c r="U36" s="271"/>
      <c r="V36" s="198"/>
      <c r="W36" s="426"/>
      <c r="X36" s="192">
        <f t="shared" si="4"/>
        <v>5</v>
      </c>
      <c r="Y36" s="192">
        <f t="shared" si="4"/>
        <v>5</v>
      </c>
      <c r="Z36" s="192"/>
      <c r="AA36" s="192"/>
      <c r="AB36" s="426"/>
      <c r="AC36" s="426"/>
      <c r="AD36" s="426"/>
    </row>
    <row r="37" spans="1:30" s="428" customFormat="1" ht="20.100000000000001" customHeight="1">
      <c r="A37" s="624"/>
      <c r="B37" s="361">
        <v>4854</v>
      </c>
      <c r="C37" s="423" t="s">
        <v>51</v>
      </c>
      <c r="D37" s="156"/>
      <c r="E37" s="156"/>
      <c r="F37" s="199">
        <f t="shared" si="2"/>
        <v>25</v>
      </c>
      <c r="G37" s="192">
        <v>25</v>
      </c>
      <c r="H37" s="182"/>
      <c r="I37" s="182"/>
      <c r="J37" s="182"/>
      <c r="K37" s="236"/>
      <c r="L37" s="236"/>
      <c r="M37" s="198"/>
      <c r="N37" s="240" t="s">
        <v>303</v>
      </c>
      <c r="O37" s="240">
        <f t="shared" si="3"/>
        <v>25</v>
      </c>
      <c r="P37" s="192">
        <v>25</v>
      </c>
      <c r="Q37" s="182"/>
      <c r="R37" s="182"/>
      <c r="S37" s="182"/>
      <c r="T37" s="236"/>
      <c r="U37" s="271"/>
      <c r="V37" s="198"/>
      <c r="W37" s="426"/>
      <c r="X37" s="192"/>
      <c r="Y37" s="192"/>
      <c r="Z37" s="182"/>
      <c r="AA37" s="199"/>
      <c r="AB37" s="426"/>
      <c r="AC37" s="426"/>
      <c r="AD37" s="426"/>
    </row>
    <row r="38" spans="1:30" s="428" customFormat="1" ht="33" customHeight="1">
      <c r="A38" s="624"/>
      <c r="B38" s="599">
        <v>4874</v>
      </c>
      <c r="C38" s="423" t="s">
        <v>52</v>
      </c>
      <c r="D38" s="156" t="s">
        <v>53</v>
      </c>
      <c r="E38" s="156" t="s">
        <v>305</v>
      </c>
      <c r="F38" s="192">
        <f t="shared" si="2"/>
        <v>7901.4000000000005</v>
      </c>
      <c r="G38" s="192"/>
      <c r="H38" s="182"/>
      <c r="I38" s="182">
        <v>5904.6</v>
      </c>
      <c r="J38" s="182">
        <v>1996.8</v>
      </c>
      <c r="K38" s="236"/>
      <c r="L38" s="236"/>
      <c r="M38" s="289" t="s">
        <v>53</v>
      </c>
      <c r="N38" s="292" t="s">
        <v>306</v>
      </c>
      <c r="O38" s="240">
        <f t="shared" si="3"/>
        <v>7901.4</v>
      </c>
      <c r="P38" s="192"/>
      <c r="Q38" s="182"/>
      <c r="R38" s="182"/>
      <c r="S38" s="182">
        <v>7901.4</v>
      </c>
      <c r="T38" s="236"/>
      <c r="U38" s="272"/>
      <c r="V38" s="181"/>
      <c r="W38" s="426"/>
      <c r="X38" s="192">
        <f>O38-F38</f>
        <v>0</v>
      </c>
      <c r="Y38" s="192"/>
      <c r="Z38" s="192"/>
      <c r="AA38" s="192">
        <f>R38-I38</f>
        <v>-5904.6</v>
      </c>
      <c r="AB38" s="192">
        <f>S38-J38</f>
        <v>5904.5999999999995</v>
      </c>
      <c r="AC38" s="426"/>
      <c r="AD38" s="426"/>
    </row>
    <row r="39" spans="1:30" s="428" customFormat="1" ht="19.5" customHeight="1">
      <c r="A39" s="624"/>
      <c r="B39" s="716">
        <v>4883</v>
      </c>
      <c r="C39" s="95" t="s">
        <v>54</v>
      </c>
      <c r="D39" s="444"/>
      <c r="E39" s="599" t="s">
        <v>303</v>
      </c>
      <c r="F39" s="192">
        <f t="shared" si="2"/>
        <v>25</v>
      </c>
      <c r="G39" s="192">
        <v>25</v>
      </c>
      <c r="H39" s="182"/>
      <c r="I39" s="182"/>
      <c r="J39" s="182"/>
      <c r="K39" s="236"/>
      <c r="L39" s="236"/>
      <c r="M39" s="289"/>
      <c r="N39" s="259" t="s">
        <v>303</v>
      </c>
      <c r="O39" s="240">
        <f t="shared" si="3"/>
        <v>25</v>
      </c>
      <c r="P39" s="192">
        <v>25</v>
      </c>
      <c r="Q39" s="182"/>
      <c r="R39" s="182"/>
      <c r="S39" s="182"/>
      <c r="T39" s="236"/>
      <c r="U39" s="272"/>
      <c r="V39" s="181"/>
      <c r="W39" s="426"/>
      <c r="X39" s="192"/>
      <c r="Y39" s="192"/>
      <c r="Z39" s="182"/>
      <c r="AA39" s="182"/>
      <c r="AB39" s="426"/>
      <c r="AC39" s="426"/>
      <c r="AD39" s="426"/>
    </row>
    <row r="40" spans="1:30" s="428" customFormat="1" ht="18" customHeight="1">
      <c r="A40" s="624"/>
      <c r="B40" s="624"/>
      <c r="C40" s="95" t="s">
        <v>55</v>
      </c>
      <c r="D40" s="444"/>
      <c r="E40" s="599" t="s">
        <v>303</v>
      </c>
      <c r="F40" s="192">
        <f t="shared" si="2"/>
        <v>10</v>
      </c>
      <c r="G40" s="192">
        <v>10</v>
      </c>
      <c r="H40" s="182"/>
      <c r="I40" s="182"/>
      <c r="J40" s="182"/>
      <c r="K40" s="236"/>
      <c r="L40" s="236"/>
      <c r="M40" s="289"/>
      <c r="N40" s="259" t="s">
        <v>303</v>
      </c>
      <c r="O40" s="240">
        <f t="shared" si="3"/>
        <v>10</v>
      </c>
      <c r="P40" s="192">
        <v>10</v>
      </c>
      <c r="Q40" s="182"/>
      <c r="R40" s="182"/>
      <c r="S40" s="182"/>
      <c r="T40" s="236"/>
      <c r="U40" s="272"/>
      <c r="V40" s="181"/>
      <c r="W40" s="426"/>
      <c r="X40" s="192"/>
      <c r="Y40" s="192"/>
      <c r="Z40" s="182"/>
      <c r="AA40" s="182"/>
      <c r="AB40" s="426"/>
      <c r="AC40" s="426"/>
      <c r="AD40" s="426"/>
    </row>
    <row r="41" spans="1:30" s="428" customFormat="1" ht="19.5" customHeight="1">
      <c r="A41" s="624"/>
      <c r="B41" s="625"/>
      <c r="C41" s="95" t="s">
        <v>56</v>
      </c>
      <c r="D41" s="444"/>
      <c r="E41" s="599" t="s">
        <v>303</v>
      </c>
      <c r="F41" s="192">
        <f t="shared" si="2"/>
        <v>10</v>
      </c>
      <c r="G41" s="192">
        <v>10</v>
      </c>
      <c r="H41" s="182"/>
      <c r="I41" s="182"/>
      <c r="J41" s="182"/>
      <c r="K41" s="236"/>
      <c r="L41" s="236"/>
      <c r="M41" s="289"/>
      <c r="N41" s="259" t="s">
        <v>303</v>
      </c>
      <c r="O41" s="240">
        <f t="shared" si="3"/>
        <v>10</v>
      </c>
      <c r="P41" s="192">
        <v>10</v>
      </c>
      <c r="Q41" s="182"/>
      <c r="R41" s="182"/>
      <c r="S41" s="182"/>
      <c r="T41" s="236"/>
      <c r="U41" s="272"/>
      <c r="V41" s="181"/>
      <c r="W41" s="426"/>
      <c r="X41" s="192"/>
      <c r="Y41" s="192"/>
      <c r="Z41" s="182"/>
      <c r="AA41" s="182"/>
      <c r="AB41" s="426"/>
      <c r="AC41" s="426"/>
      <c r="AD41" s="426"/>
    </row>
    <row r="42" spans="1:30" s="428" customFormat="1" ht="17.25" customHeight="1">
      <c r="A42" s="624"/>
      <c r="B42" s="599">
        <v>4886</v>
      </c>
      <c r="C42" s="95" t="s">
        <v>57</v>
      </c>
      <c r="D42" s="444"/>
      <c r="E42" s="599" t="s">
        <v>303</v>
      </c>
      <c r="F42" s="192">
        <f t="shared" si="2"/>
        <v>162</v>
      </c>
      <c r="G42" s="192">
        <v>162</v>
      </c>
      <c r="H42" s="182"/>
      <c r="I42" s="182"/>
      <c r="J42" s="182"/>
      <c r="K42" s="236"/>
      <c r="L42" s="236"/>
      <c r="M42" s="289"/>
      <c r="N42" s="259" t="s">
        <v>303</v>
      </c>
      <c r="O42" s="240">
        <f t="shared" si="3"/>
        <v>162</v>
      </c>
      <c r="P42" s="192">
        <v>162</v>
      </c>
      <c r="Q42" s="182"/>
      <c r="R42" s="182"/>
      <c r="S42" s="182"/>
      <c r="T42" s="236"/>
      <c r="U42" s="272"/>
      <c r="V42" s="181"/>
      <c r="W42" s="426"/>
      <c r="X42" s="192"/>
      <c r="Y42" s="192"/>
      <c r="Z42" s="182"/>
      <c r="AA42" s="182"/>
      <c r="AB42" s="426"/>
      <c r="AC42" s="426"/>
      <c r="AD42" s="426"/>
    </row>
    <row r="43" spans="1:30" s="588" customFormat="1" ht="20.100000000000001" customHeight="1">
      <c r="A43" s="624"/>
      <c r="B43" s="599">
        <v>4888</v>
      </c>
      <c r="C43" s="309" t="s">
        <v>58</v>
      </c>
      <c r="D43" s="443"/>
      <c r="E43" s="599" t="s">
        <v>303</v>
      </c>
      <c r="F43" s="192">
        <f t="shared" si="2"/>
        <v>50</v>
      </c>
      <c r="G43" s="199">
        <v>50</v>
      </c>
      <c r="H43" s="200"/>
      <c r="I43" s="200"/>
      <c r="J43" s="200"/>
      <c r="K43" s="250"/>
      <c r="L43" s="250"/>
      <c r="M43" s="273"/>
      <c r="N43" s="259" t="s">
        <v>303</v>
      </c>
      <c r="O43" s="240">
        <f t="shared" si="3"/>
        <v>50</v>
      </c>
      <c r="P43" s="199">
        <v>50</v>
      </c>
      <c r="Q43" s="200"/>
      <c r="R43" s="200"/>
      <c r="S43" s="200"/>
      <c r="T43" s="250"/>
      <c r="U43" s="272"/>
      <c r="V43" s="181"/>
      <c r="W43" s="313"/>
      <c r="X43" s="192"/>
      <c r="Y43" s="192"/>
      <c r="Z43" s="200"/>
      <c r="AA43" s="182"/>
      <c r="AB43" s="313"/>
      <c r="AC43" s="313"/>
      <c r="AD43" s="313"/>
    </row>
    <row r="44" spans="1:30" s="588" customFormat="1" ht="20.100000000000001" customHeight="1">
      <c r="A44" s="625"/>
      <c r="B44" s="364">
        <v>4899</v>
      </c>
      <c r="C44" s="309" t="s">
        <v>59</v>
      </c>
      <c r="D44" s="443"/>
      <c r="E44" s="599" t="s">
        <v>303</v>
      </c>
      <c r="F44" s="199">
        <f t="shared" si="2"/>
        <v>912.29</v>
      </c>
      <c r="G44" s="199">
        <v>912.29</v>
      </c>
      <c r="H44" s="199"/>
      <c r="I44" s="199"/>
      <c r="J44" s="199"/>
      <c r="K44" s="249"/>
      <c r="L44" s="249"/>
      <c r="M44" s="273"/>
      <c r="N44" s="259" t="s">
        <v>303</v>
      </c>
      <c r="O44" s="240">
        <f t="shared" si="3"/>
        <v>1700</v>
      </c>
      <c r="P44" s="199">
        <v>1700</v>
      </c>
      <c r="Q44" s="199"/>
      <c r="R44" s="199"/>
      <c r="S44" s="199"/>
      <c r="T44" s="249"/>
      <c r="U44" s="271"/>
      <c r="V44" s="198"/>
      <c r="W44" s="313"/>
      <c r="X44" s="192">
        <f>O44-F44</f>
        <v>787.71</v>
      </c>
      <c r="Y44" s="192">
        <f>P44-G44</f>
        <v>787.71</v>
      </c>
      <c r="Z44" s="199"/>
      <c r="AA44" s="199"/>
      <c r="AB44" s="313"/>
      <c r="AC44" s="313"/>
      <c r="AD44" s="313"/>
    </row>
    <row r="45" spans="1:30" s="588" customFormat="1" ht="20.100000000000001" customHeight="1">
      <c r="A45" s="109">
        <v>4900</v>
      </c>
      <c r="B45" s="709" t="s">
        <v>307</v>
      </c>
      <c r="C45" s="617"/>
      <c r="D45" s="491"/>
      <c r="E45" s="491"/>
      <c r="F45" s="491"/>
      <c r="G45" s="491"/>
      <c r="H45" s="491"/>
      <c r="I45" s="491"/>
      <c r="J45" s="491"/>
      <c r="K45" s="491"/>
      <c r="L45" s="491"/>
      <c r="M45" s="491"/>
      <c r="N45" s="491"/>
      <c r="O45" s="491"/>
      <c r="P45" s="491"/>
      <c r="Q45" s="491"/>
      <c r="R45" s="491"/>
      <c r="S45" s="491"/>
      <c r="T45" s="491"/>
      <c r="U45" s="491"/>
      <c r="V45" s="572"/>
      <c r="W45" s="572"/>
      <c r="X45" s="572"/>
      <c r="Y45" s="572"/>
      <c r="Z45" s="572"/>
      <c r="AA45" s="572"/>
      <c r="AB45" s="391"/>
      <c r="AC45" s="391"/>
      <c r="AD45" s="314"/>
    </row>
    <row r="46" spans="1:30" s="588" customFormat="1" ht="20.100000000000001" customHeight="1">
      <c r="A46" s="110"/>
      <c r="B46" s="360">
        <v>4901</v>
      </c>
      <c r="C46" s="147" t="s">
        <v>61</v>
      </c>
      <c r="D46" s="445"/>
      <c r="E46" s="185" t="s">
        <v>308</v>
      </c>
      <c r="F46" s="199">
        <f>SUM(G46:J46)</f>
        <v>100</v>
      </c>
      <c r="G46" s="199">
        <v>100</v>
      </c>
      <c r="H46" s="201"/>
      <c r="I46" s="201"/>
      <c r="J46" s="201"/>
      <c r="K46" s="251"/>
      <c r="L46" s="251"/>
      <c r="M46" s="273"/>
      <c r="N46" s="260" t="s">
        <v>308</v>
      </c>
      <c r="O46" s="240">
        <f t="shared" ref="O46:O52" si="5">SUM(P46:U46)</f>
        <v>100</v>
      </c>
      <c r="P46" s="201">
        <v>100</v>
      </c>
      <c r="Q46" s="201"/>
      <c r="R46" s="201"/>
      <c r="S46" s="201"/>
      <c r="T46" s="251"/>
      <c r="U46" s="271"/>
      <c r="V46" s="198"/>
      <c r="W46" s="313"/>
      <c r="X46" s="192"/>
      <c r="Y46" s="201"/>
      <c r="Z46" s="201"/>
      <c r="AA46" s="201"/>
      <c r="AB46" s="313"/>
      <c r="AC46" s="313"/>
      <c r="AD46" s="313"/>
    </row>
    <row r="47" spans="1:30" s="588" customFormat="1" ht="20.100000000000001" customHeight="1">
      <c r="A47" s="110"/>
      <c r="B47" s="364">
        <v>4906</v>
      </c>
      <c r="C47" s="309" t="s">
        <v>62</v>
      </c>
      <c r="D47" s="445"/>
      <c r="E47" s="185" t="s">
        <v>308</v>
      </c>
      <c r="F47" s="199">
        <f>SUM(G47:J47)</f>
        <v>15</v>
      </c>
      <c r="G47" s="199">
        <v>15</v>
      </c>
      <c r="H47" s="201"/>
      <c r="I47" s="201"/>
      <c r="J47" s="201"/>
      <c r="K47" s="251"/>
      <c r="L47" s="251"/>
      <c r="M47" s="273"/>
      <c r="N47" s="260" t="s">
        <v>308</v>
      </c>
      <c r="O47" s="240">
        <f t="shared" si="5"/>
        <v>15</v>
      </c>
      <c r="P47" s="199">
        <v>15</v>
      </c>
      <c r="Q47" s="201"/>
      <c r="R47" s="201"/>
      <c r="S47" s="201"/>
      <c r="T47" s="251"/>
      <c r="U47" s="271"/>
      <c r="V47" s="198"/>
      <c r="W47" s="313"/>
      <c r="X47" s="192"/>
      <c r="Y47" s="201"/>
      <c r="Z47" s="201"/>
      <c r="AA47" s="201"/>
      <c r="AB47" s="313"/>
      <c r="AC47" s="313"/>
      <c r="AD47" s="313"/>
    </row>
    <row r="48" spans="1:30" s="588" customFormat="1" ht="20.100000000000001" customHeight="1">
      <c r="A48" s="110"/>
      <c r="B48" s="364">
        <v>4911</v>
      </c>
      <c r="C48" s="309" t="s">
        <v>63</v>
      </c>
      <c r="D48" s="445"/>
      <c r="E48" s="185" t="s">
        <v>308</v>
      </c>
      <c r="F48" s="199">
        <f>SUM(G48:J48)</f>
        <v>25</v>
      </c>
      <c r="G48" s="199">
        <v>25</v>
      </c>
      <c r="H48" s="199"/>
      <c r="I48" s="199"/>
      <c r="J48" s="199"/>
      <c r="K48" s="249"/>
      <c r="L48" s="249"/>
      <c r="M48" s="273"/>
      <c r="N48" s="260" t="s">
        <v>308</v>
      </c>
      <c r="O48" s="240">
        <f t="shared" si="5"/>
        <v>25</v>
      </c>
      <c r="P48" s="199">
        <v>25</v>
      </c>
      <c r="Q48" s="199"/>
      <c r="R48" s="199"/>
      <c r="S48" s="199"/>
      <c r="T48" s="249"/>
      <c r="U48" s="271"/>
      <c r="V48" s="198"/>
      <c r="W48" s="313"/>
      <c r="X48" s="192"/>
      <c r="Y48" s="199"/>
      <c r="Z48" s="199"/>
      <c r="AA48" s="199"/>
      <c r="AB48" s="313"/>
      <c r="AC48" s="313"/>
      <c r="AD48" s="313"/>
    </row>
    <row r="49" spans="1:32" s="588" customFormat="1" ht="20.100000000000001" customHeight="1">
      <c r="A49" s="110"/>
      <c r="B49" s="364">
        <v>4916</v>
      </c>
      <c r="C49" s="309" t="s">
        <v>64</v>
      </c>
      <c r="D49" s="445"/>
      <c r="E49" s="185" t="s">
        <v>308</v>
      </c>
      <c r="F49" s="199">
        <f>SUM(G49:J49)</f>
        <v>25</v>
      </c>
      <c r="G49" s="199">
        <v>25</v>
      </c>
      <c r="H49" s="201"/>
      <c r="I49" s="201"/>
      <c r="J49" s="201"/>
      <c r="K49" s="251"/>
      <c r="L49" s="251"/>
      <c r="M49" s="273"/>
      <c r="N49" s="260" t="s">
        <v>308</v>
      </c>
      <c r="O49" s="240">
        <f t="shared" si="5"/>
        <v>25</v>
      </c>
      <c r="P49" s="199">
        <v>25</v>
      </c>
      <c r="Q49" s="201"/>
      <c r="R49" s="201"/>
      <c r="S49" s="201"/>
      <c r="T49" s="251"/>
      <c r="U49" s="271"/>
      <c r="V49" s="198"/>
      <c r="W49" s="313"/>
      <c r="X49" s="192"/>
      <c r="Y49" s="201"/>
      <c r="Z49" s="201"/>
      <c r="AA49" s="199"/>
      <c r="AB49" s="313"/>
      <c r="AC49" s="313"/>
      <c r="AD49" s="313"/>
    </row>
    <row r="50" spans="1:32" s="588" customFormat="1" ht="20.100000000000001" customHeight="1">
      <c r="A50" s="110"/>
      <c r="B50" s="364">
        <v>4921</v>
      </c>
      <c r="C50" s="309" t="s">
        <v>65</v>
      </c>
      <c r="D50" s="445"/>
      <c r="E50" s="185" t="s">
        <v>308</v>
      </c>
      <c r="F50" s="199"/>
      <c r="G50" s="199"/>
      <c r="H50" s="201"/>
      <c r="I50" s="201"/>
      <c r="J50" s="201"/>
      <c r="K50" s="251"/>
      <c r="L50" s="251"/>
      <c r="M50" s="273"/>
      <c r="N50" s="260" t="s">
        <v>308</v>
      </c>
      <c r="O50" s="240">
        <f t="shared" si="5"/>
        <v>20</v>
      </c>
      <c r="P50" s="199">
        <v>20</v>
      </c>
      <c r="Q50" s="201"/>
      <c r="R50" s="201"/>
      <c r="S50" s="201"/>
      <c r="T50" s="251"/>
      <c r="U50" s="271"/>
      <c r="V50" s="198"/>
      <c r="W50" s="313"/>
      <c r="X50" s="192">
        <f>O50-F50</f>
        <v>20</v>
      </c>
      <c r="Y50" s="192">
        <f>P50-G50</f>
        <v>20</v>
      </c>
      <c r="Z50" s="201"/>
      <c r="AA50" s="199"/>
      <c r="AB50" s="313"/>
      <c r="AC50" s="313"/>
      <c r="AD50" s="313"/>
    </row>
    <row r="51" spans="1:32" s="588" customFormat="1" ht="20.100000000000001" customHeight="1">
      <c r="A51" s="110"/>
      <c r="B51" s="364">
        <v>4923</v>
      </c>
      <c r="C51" s="309" t="s">
        <v>66</v>
      </c>
      <c r="D51" s="445"/>
      <c r="E51" s="185" t="s">
        <v>308</v>
      </c>
      <c r="F51" s="199"/>
      <c r="G51" s="199"/>
      <c r="H51" s="201"/>
      <c r="I51" s="201"/>
      <c r="J51" s="201"/>
      <c r="K51" s="251"/>
      <c r="L51" s="251"/>
      <c r="M51" s="273"/>
      <c r="N51" s="260" t="s">
        <v>308</v>
      </c>
      <c r="O51" s="240">
        <f t="shared" si="5"/>
        <v>20</v>
      </c>
      <c r="P51" s="199">
        <v>20</v>
      </c>
      <c r="Q51" s="201"/>
      <c r="R51" s="201"/>
      <c r="S51" s="201"/>
      <c r="T51" s="251"/>
      <c r="U51" s="271"/>
      <c r="V51" s="198"/>
      <c r="W51" s="313"/>
      <c r="X51" s="192">
        <f>O51-F51</f>
        <v>20</v>
      </c>
      <c r="Y51" s="192">
        <f>P51-G51</f>
        <v>20</v>
      </c>
      <c r="Z51" s="201"/>
      <c r="AA51" s="199"/>
      <c r="AB51" s="313"/>
      <c r="AC51" s="313"/>
      <c r="AD51" s="313"/>
    </row>
    <row r="52" spans="1:32" s="588" customFormat="1" ht="20.100000000000001" customHeight="1">
      <c r="A52" s="110"/>
      <c r="B52" s="364">
        <v>4932</v>
      </c>
      <c r="C52" s="309" t="s">
        <v>67</v>
      </c>
      <c r="D52" s="445"/>
      <c r="E52" s="185" t="s">
        <v>308</v>
      </c>
      <c r="F52" s="199">
        <f>SUM(G52:J52)</f>
        <v>25</v>
      </c>
      <c r="G52" s="199">
        <v>25</v>
      </c>
      <c r="H52" s="201"/>
      <c r="I52" s="201"/>
      <c r="J52" s="201"/>
      <c r="K52" s="251"/>
      <c r="L52" s="251"/>
      <c r="M52" s="273"/>
      <c r="N52" s="260" t="s">
        <v>308</v>
      </c>
      <c r="O52" s="240">
        <f t="shared" si="5"/>
        <v>25</v>
      </c>
      <c r="P52" s="199">
        <v>25</v>
      </c>
      <c r="Q52" s="201"/>
      <c r="R52" s="201"/>
      <c r="S52" s="201"/>
      <c r="T52" s="251"/>
      <c r="U52" s="271"/>
      <c r="V52" s="198"/>
      <c r="W52" s="313"/>
      <c r="X52" s="192"/>
      <c r="Y52" s="201"/>
      <c r="Z52" s="201"/>
      <c r="AA52" s="199"/>
      <c r="AB52" s="313"/>
      <c r="AC52" s="313"/>
      <c r="AD52" s="313"/>
    </row>
    <row r="53" spans="1:32" s="588" customFormat="1" ht="20.100000000000001" customHeight="1">
      <c r="A53" s="110"/>
      <c r="B53" s="718">
        <v>4947</v>
      </c>
      <c r="C53" s="463" t="s">
        <v>68</v>
      </c>
      <c r="D53" s="464"/>
      <c r="E53" s="464"/>
      <c r="F53" s="464"/>
      <c r="G53" s="464"/>
      <c r="H53" s="464"/>
      <c r="I53" s="464"/>
      <c r="J53" s="464"/>
      <c r="K53" s="464"/>
      <c r="L53" s="464"/>
      <c r="M53" s="464"/>
      <c r="N53" s="464"/>
      <c r="O53" s="464"/>
      <c r="P53" s="464"/>
      <c r="Q53" s="464"/>
      <c r="R53" s="464"/>
      <c r="S53" s="464"/>
      <c r="T53" s="464"/>
      <c r="U53" s="464"/>
      <c r="V53" s="572"/>
      <c r="W53" s="572"/>
      <c r="X53" s="572"/>
      <c r="Y53" s="572"/>
      <c r="Z53" s="572"/>
      <c r="AA53" s="571"/>
      <c r="AB53" s="313"/>
      <c r="AC53" s="313"/>
      <c r="AD53" s="313"/>
    </row>
    <row r="54" spans="1:32" s="588" customFormat="1" ht="20.100000000000001" customHeight="1">
      <c r="A54" s="110"/>
      <c r="B54" s="624"/>
      <c r="C54" s="310" t="s">
        <v>69</v>
      </c>
      <c r="D54" s="438" t="s">
        <v>70</v>
      </c>
      <c r="E54" s="599">
        <v>98</v>
      </c>
      <c r="F54" s="199">
        <f>SUM(G54:J54)</f>
        <v>295.75</v>
      </c>
      <c r="G54" s="199">
        <v>14.75</v>
      </c>
      <c r="H54" s="199"/>
      <c r="I54" s="199">
        <v>281</v>
      </c>
      <c r="J54" s="199"/>
      <c r="K54" s="249"/>
      <c r="L54" s="271"/>
      <c r="M54" s="290" t="s">
        <v>70</v>
      </c>
      <c r="N54" s="599">
        <v>104</v>
      </c>
      <c r="O54" s="240">
        <f>SUM(P54:U54)</f>
        <v>362.5</v>
      </c>
      <c r="P54" s="199">
        <v>43.5</v>
      </c>
      <c r="Q54" s="199"/>
      <c r="R54" s="199">
        <v>319</v>
      </c>
      <c r="S54" s="199"/>
      <c r="T54" s="249"/>
      <c r="U54" s="271"/>
      <c r="V54" s="198"/>
      <c r="W54" s="313"/>
      <c r="X54" s="192">
        <f>O54-F54</f>
        <v>66.75</v>
      </c>
      <c r="Y54" s="192">
        <f>P54-G54</f>
        <v>28.75</v>
      </c>
      <c r="Z54" s="199"/>
      <c r="AA54" s="192">
        <f>R54-I54</f>
        <v>38</v>
      </c>
      <c r="AB54" s="313"/>
      <c r="AC54" s="313"/>
      <c r="AD54" s="313"/>
    </row>
    <row r="55" spans="1:32" s="588" customFormat="1" ht="20.100000000000001" customHeight="1">
      <c r="A55" s="110"/>
      <c r="B55" s="364">
        <v>4976</v>
      </c>
      <c r="C55" s="309" t="s">
        <v>71</v>
      </c>
      <c r="D55" s="438" t="s">
        <v>70</v>
      </c>
      <c r="E55" s="599">
        <v>5</v>
      </c>
      <c r="F55" s="199">
        <f>SUM(G55:J55)</f>
        <v>10</v>
      </c>
      <c r="G55" s="199">
        <v>10</v>
      </c>
      <c r="H55" s="201"/>
      <c r="I55" s="201"/>
      <c r="J55" s="201"/>
      <c r="K55" s="251"/>
      <c r="L55" s="291"/>
      <c r="M55" s="290" t="s">
        <v>70</v>
      </c>
      <c r="N55" s="599">
        <v>5</v>
      </c>
      <c r="O55" s="240">
        <f>SUM(P55:U55)</f>
        <v>10</v>
      </c>
      <c r="P55" s="199">
        <v>10</v>
      </c>
      <c r="Q55" s="201"/>
      <c r="R55" s="201"/>
      <c r="S55" s="201"/>
      <c r="T55" s="251"/>
      <c r="U55" s="271"/>
      <c r="V55" s="148"/>
      <c r="W55" s="313"/>
      <c r="X55" s="192"/>
      <c r="Y55" s="201"/>
      <c r="Z55" s="201"/>
      <c r="AA55" s="199"/>
      <c r="AB55" s="313"/>
      <c r="AC55" s="313"/>
      <c r="AD55" s="313"/>
    </row>
    <row r="56" spans="1:32" s="588" customFormat="1" ht="20.100000000000001" customHeight="1">
      <c r="A56" s="110"/>
      <c r="B56" s="364">
        <v>4991</v>
      </c>
      <c r="C56" s="310" t="s">
        <v>72</v>
      </c>
      <c r="D56" s="154"/>
      <c r="E56" s="185"/>
      <c r="F56" s="199"/>
      <c r="G56" s="199"/>
      <c r="H56" s="201"/>
      <c r="I56" s="201"/>
      <c r="J56" s="201"/>
      <c r="K56" s="251"/>
      <c r="L56" s="251"/>
      <c r="M56" s="273"/>
      <c r="N56" s="260" t="s">
        <v>308</v>
      </c>
      <c r="O56" s="240">
        <f>SUM(P56:U56)</f>
        <v>25</v>
      </c>
      <c r="P56" s="199">
        <v>25</v>
      </c>
      <c r="Q56" s="201"/>
      <c r="R56" s="201"/>
      <c r="S56" s="201"/>
      <c r="T56" s="251"/>
      <c r="U56" s="271"/>
      <c r="V56" s="148"/>
      <c r="W56" s="313"/>
      <c r="X56" s="192">
        <f>O56-F56</f>
        <v>25</v>
      </c>
      <c r="Y56" s="192">
        <f>P56-G56</f>
        <v>25</v>
      </c>
      <c r="Z56" s="201"/>
      <c r="AA56" s="192"/>
      <c r="AB56" s="313"/>
      <c r="AC56" s="313"/>
      <c r="AD56" s="313"/>
    </row>
    <row r="57" spans="1:32" s="588" customFormat="1" ht="20.100000000000001" customHeight="1">
      <c r="A57" s="720" t="s">
        <v>309</v>
      </c>
      <c r="B57" s="642"/>
      <c r="C57" s="627"/>
      <c r="D57" s="157"/>
      <c r="E57" s="157"/>
      <c r="F57" s="719">
        <f>SUM(F12:F56)</f>
        <v>15606.05</v>
      </c>
      <c r="G57" s="690">
        <f>SUM(G12:G56)</f>
        <v>4993.3099999999995</v>
      </c>
      <c r="H57" s="520"/>
      <c r="I57" s="690">
        <f>SUM(I12:I56)</f>
        <v>8615.94</v>
      </c>
      <c r="J57" s="690">
        <f>SUM(J12:J56)</f>
        <v>1996.8</v>
      </c>
      <c r="K57" s="252"/>
      <c r="L57" s="252"/>
      <c r="M57" s="721"/>
      <c r="N57" s="690"/>
      <c r="O57" s="697">
        <f>SUM(O12:O56)</f>
        <v>18774.14</v>
      </c>
      <c r="P57" s="698">
        <f>SUM(P12:P56)</f>
        <v>6572.18</v>
      </c>
      <c r="Q57" s="690"/>
      <c r="R57" s="690">
        <f>SUM(R12:R56)</f>
        <v>4300.5599999999995</v>
      </c>
      <c r="S57" s="690">
        <f>SUM(S12:S56)</f>
        <v>7901.4</v>
      </c>
      <c r="T57" s="252"/>
      <c r="U57" s="202"/>
      <c r="V57" s="149"/>
      <c r="W57" s="366"/>
      <c r="X57" s="690">
        <f>SUM(X12:X56)</f>
        <v>3168.09</v>
      </c>
      <c r="Y57" s="690">
        <f>SUM(Y12:Y56)</f>
        <v>1578.87</v>
      </c>
      <c r="Z57" s="520"/>
      <c r="AA57" s="690">
        <f>SUM(AA12:AA56)</f>
        <v>-4315.38</v>
      </c>
      <c r="AB57" s="690">
        <f>SUM(AB12:AB56)</f>
        <v>5904.5999999999995</v>
      </c>
      <c r="AC57" s="366"/>
      <c r="AD57" s="366"/>
      <c r="AF57" s="151"/>
    </row>
    <row r="58" spans="1:32" s="588" customFormat="1" ht="6" customHeight="1">
      <c r="A58" s="705"/>
      <c r="B58" s="647"/>
      <c r="C58" s="664"/>
      <c r="D58" s="158"/>
      <c r="E58" s="158"/>
      <c r="F58" s="625"/>
      <c r="G58" s="625"/>
      <c r="H58" s="203"/>
      <c r="I58" s="625"/>
      <c r="J58" s="625"/>
      <c r="K58" s="253"/>
      <c r="L58" s="253"/>
      <c r="M58" s="708"/>
      <c r="N58" s="625"/>
      <c r="O58" s="625"/>
      <c r="P58" s="625"/>
      <c r="Q58" s="625"/>
      <c r="R58" s="625"/>
      <c r="S58" s="625"/>
      <c r="T58" s="253"/>
      <c r="U58" s="204"/>
      <c r="V58" s="282"/>
      <c r="W58" s="367"/>
      <c r="X58" s="625"/>
      <c r="Y58" s="625"/>
      <c r="Z58" s="203"/>
      <c r="AA58" s="625"/>
      <c r="AB58" s="625"/>
      <c r="AC58" s="367"/>
      <c r="AD58" s="367"/>
    </row>
    <row r="59" spans="1:32" s="588" customFormat="1" ht="16.5" customHeight="1">
      <c r="A59" s="699" t="s">
        <v>2</v>
      </c>
      <c r="B59" s="699" t="s">
        <v>297</v>
      </c>
      <c r="C59" s="691" t="s">
        <v>4</v>
      </c>
      <c r="D59" s="700" t="s">
        <v>298</v>
      </c>
      <c r="E59" s="617"/>
      <c r="F59" s="617"/>
      <c r="G59" s="617"/>
      <c r="H59" s="617"/>
      <c r="I59" s="617"/>
      <c r="J59" s="617"/>
      <c r="K59" s="617"/>
      <c r="L59" s="701"/>
      <c r="M59" s="713" t="s">
        <v>299</v>
      </c>
      <c r="N59" s="617"/>
      <c r="O59" s="617"/>
      <c r="P59" s="617"/>
      <c r="Q59" s="617"/>
      <c r="R59" s="617"/>
      <c r="S59" s="617"/>
      <c r="T59" s="617"/>
      <c r="U59" s="701"/>
      <c r="V59" s="702" t="s">
        <v>300</v>
      </c>
      <c r="W59" s="617"/>
      <c r="X59" s="617"/>
      <c r="Y59" s="617"/>
      <c r="Z59" s="617"/>
      <c r="AA59" s="617"/>
      <c r="AB59" s="617"/>
      <c r="AC59" s="617"/>
      <c r="AD59" s="618"/>
    </row>
    <row r="60" spans="1:32" s="588" customFormat="1" ht="15" customHeight="1">
      <c r="A60" s="624"/>
      <c r="B60" s="624"/>
      <c r="C60" s="624"/>
      <c r="D60" s="619" t="s">
        <v>9</v>
      </c>
      <c r="E60" s="619" t="s">
        <v>301</v>
      </c>
      <c r="F60" s="619" t="s">
        <v>11</v>
      </c>
      <c r="G60" s="617"/>
      <c r="H60" s="617"/>
      <c r="I60" s="617"/>
      <c r="J60" s="617"/>
      <c r="K60" s="617"/>
      <c r="L60" s="618"/>
      <c r="M60" s="706" t="s">
        <v>9</v>
      </c>
      <c r="N60" s="619" t="s">
        <v>301</v>
      </c>
      <c r="O60" s="619" t="s">
        <v>11</v>
      </c>
      <c r="P60" s="617"/>
      <c r="Q60" s="617"/>
      <c r="R60" s="617"/>
      <c r="S60" s="617"/>
      <c r="T60" s="617"/>
      <c r="U60" s="618"/>
      <c r="V60" s="706" t="s">
        <v>9</v>
      </c>
      <c r="W60" s="619" t="s">
        <v>301</v>
      </c>
      <c r="X60" s="619" t="s">
        <v>11</v>
      </c>
      <c r="Y60" s="617"/>
      <c r="Z60" s="617"/>
      <c r="AA60" s="617"/>
      <c r="AB60" s="617"/>
      <c r="AC60" s="617"/>
      <c r="AD60" s="618"/>
    </row>
    <row r="61" spans="1:32" s="588" customFormat="1" ht="15" customHeight="1">
      <c r="A61" s="624"/>
      <c r="B61" s="624"/>
      <c r="C61" s="624"/>
      <c r="D61" s="624"/>
      <c r="E61" s="624"/>
      <c r="F61" s="691" t="s">
        <v>12</v>
      </c>
      <c r="G61" s="696" t="s">
        <v>13</v>
      </c>
      <c r="H61" s="695" t="s">
        <v>14</v>
      </c>
      <c r="I61" s="647"/>
      <c r="J61" s="664"/>
      <c r="K61" s="635" t="s">
        <v>15</v>
      </c>
      <c r="L61" s="692" t="s">
        <v>16</v>
      </c>
      <c r="M61" s="707"/>
      <c r="N61" s="624"/>
      <c r="O61" s="691" t="s">
        <v>12</v>
      </c>
      <c r="P61" s="696" t="s">
        <v>13</v>
      </c>
      <c r="Q61" s="695" t="s">
        <v>14</v>
      </c>
      <c r="R61" s="647"/>
      <c r="S61" s="664"/>
      <c r="T61" s="635" t="s">
        <v>15</v>
      </c>
      <c r="U61" s="703" t="s">
        <v>16</v>
      </c>
      <c r="V61" s="707"/>
      <c r="W61" s="624"/>
      <c r="X61" s="691" t="s">
        <v>12</v>
      </c>
      <c r="Y61" s="696" t="s">
        <v>13</v>
      </c>
      <c r="Z61" s="695" t="s">
        <v>14</v>
      </c>
      <c r="AA61" s="647"/>
      <c r="AB61" s="664"/>
      <c r="AC61" s="635" t="s">
        <v>15</v>
      </c>
      <c r="AD61" s="635" t="s">
        <v>16</v>
      </c>
    </row>
    <row r="62" spans="1:32" s="588" customFormat="1" ht="15.75" customHeight="1">
      <c r="A62" s="624"/>
      <c r="B62" s="624"/>
      <c r="C62" s="624"/>
      <c r="D62" s="624"/>
      <c r="E62" s="624"/>
      <c r="F62" s="624"/>
      <c r="G62" s="624"/>
      <c r="H62" s="691" t="s">
        <v>17</v>
      </c>
      <c r="I62" s="618"/>
      <c r="J62" s="691" t="s">
        <v>18</v>
      </c>
      <c r="K62" s="624"/>
      <c r="L62" s="693"/>
      <c r="M62" s="707"/>
      <c r="N62" s="624"/>
      <c r="O62" s="624"/>
      <c r="P62" s="624"/>
      <c r="Q62" s="691" t="s">
        <v>17</v>
      </c>
      <c r="R62" s="618"/>
      <c r="S62" s="691" t="s">
        <v>18</v>
      </c>
      <c r="T62" s="624"/>
      <c r="U62" s="704"/>
      <c r="V62" s="707"/>
      <c r="W62" s="624"/>
      <c r="X62" s="624"/>
      <c r="Y62" s="624"/>
      <c r="Z62" s="691" t="s">
        <v>17</v>
      </c>
      <c r="AA62" s="618"/>
      <c r="AB62" s="691" t="s">
        <v>18</v>
      </c>
      <c r="AC62" s="624"/>
      <c r="AD62" s="624"/>
    </row>
    <row r="63" spans="1:32" s="588" customFormat="1" ht="39" customHeight="1">
      <c r="A63" s="625"/>
      <c r="B63" s="625"/>
      <c r="C63" s="625"/>
      <c r="D63" s="625"/>
      <c r="E63" s="625"/>
      <c r="F63" s="625"/>
      <c r="G63" s="625"/>
      <c r="H63" s="573" t="s">
        <v>19</v>
      </c>
      <c r="I63" s="573" t="s">
        <v>302</v>
      </c>
      <c r="J63" s="625"/>
      <c r="K63" s="625"/>
      <c r="L63" s="694"/>
      <c r="M63" s="708"/>
      <c r="N63" s="625"/>
      <c r="O63" s="625"/>
      <c r="P63" s="625"/>
      <c r="Q63" s="573" t="s">
        <v>19</v>
      </c>
      <c r="R63" s="573" t="s">
        <v>302</v>
      </c>
      <c r="S63" s="625"/>
      <c r="T63" s="625"/>
      <c r="U63" s="705"/>
      <c r="V63" s="708"/>
      <c r="W63" s="625"/>
      <c r="X63" s="625"/>
      <c r="Y63" s="625"/>
      <c r="Z63" s="573" t="s">
        <v>19</v>
      </c>
      <c r="AA63" s="573" t="s">
        <v>302</v>
      </c>
      <c r="AB63" s="625"/>
      <c r="AC63" s="625"/>
      <c r="AD63" s="625"/>
    </row>
    <row r="64" spans="1:32" s="258" customFormat="1" ht="16.5" customHeight="1">
      <c r="A64" s="233">
        <v>1</v>
      </c>
      <c r="B64" s="233">
        <v>2</v>
      </c>
      <c r="C64" s="233">
        <v>3</v>
      </c>
      <c r="D64" s="233">
        <v>4</v>
      </c>
      <c r="E64" s="233">
        <v>5</v>
      </c>
      <c r="F64" s="232">
        <v>6</v>
      </c>
      <c r="G64" s="232">
        <v>7</v>
      </c>
      <c r="H64" s="232">
        <v>8</v>
      </c>
      <c r="I64" s="233">
        <v>9</v>
      </c>
      <c r="J64" s="233">
        <v>10</v>
      </c>
      <c r="K64" s="233">
        <v>11</v>
      </c>
      <c r="L64" s="347">
        <v>12</v>
      </c>
      <c r="M64" s="261">
        <v>13</v>
      </c>
      <c r="N64" s="233">
        <v>14</v>
      </c>
      <c r="O64" s="233">
        <v>15</v>
      </c>
      <c r="P64" s="233">
        <v>16</v>
      </c>
      <c r="Q64" s="233">
        <v>17</v>
      </c>
      <c r="R64" s="233">
        <v>18</v>
      </c>
      <c r="S64" s="233">
        <v>19</v>
      </c>
      <c r="T64" s="233">
        <v>20</v>
      </c>
      <c r="U64" s="233">
        <v>21</v>
      </c>
      <c r="V64" s="233">
        <v>22</v>
      </c>
      <c r="W64" s="233">
        <v>23</v>
      </c>
      <c r="X64" s="233">
        <v>24</v>
      </c>
      <c r="Y64" s="233">
        <v>25</v>
      </c>
      <c r="Z64" s="233">
        <v>26</v>
      </c>
      <c r="AA64" s="233">
        <v>27</v>
      </c>
      <c r="AB64" s="233">
        <v>28</v>
      </c>
      <c r="AC64" s="233">
        <v>29</v>
      </c>
      <c r="AD64" s="233">
        <v>30</v>
      </c>
    </row>
    <row r="65" spans="1:31" s="588" customFormat="1" ht="20.100000000000001" customHeight="1">
      <c r="A65" s="234" t="s">
        <v>74</v>
      </c>
      <c r="B65" s="348"/>
      <c r="C65" s="348"/>
      <c r="D65" s="135"/>
      <c r="E65" s="348"/>
      <c r="F65" s="348"/>
      <c r="G65" s="348"/>
      <c r="H65" s="348"/>
      <c r="I65" s="348"/>
      <c r="J65" s="348"/>
      <c r="K65" s="348"/>
      <c r="L65" s="348"/>
      <c r="M65" s="348"/>
      <c r="N65" s="348"/>
      <c r="O65" s="348"/>
      <c r="P65" s="348"/>
      <c r="Q65" s="348"/>
      <c r="R65" s="348"/>
      <c r="S65" s="348"/>
      <c r="T65" s="348"/>
      <c r="U65" s="348"/>
      <c r="V65" s="348"/>
      <c r="W65" s="348"/>
      <c r="X65" s="348"/>
      <c r="Y65" s="348"/>
      <c r="Z65" s="348"/>
      <c r="AA65" s="348"/>
      <c r="AB65" s="391"/>
      <c r="AC65" s="391"/>
      <c r="AD65" s="314"/>
    </row>
    <row r="66" spans="1:31" s="588" customFormat="1" ht="20.100000000000001" customHeight="1">
      <c r="A66" s="110">
        <v>6800</v>
      </c>
      <c r="B66" s="725" t="s">
        <v>75</v>
      </c>
      <c r="C66" s="617"/>
      <c r="D66" s="617"/>
      <c r="E66" s="617"/>
      <c r="F66" s="617"/>
      <c r="G66" s="617"/>
      <c r="H66" s="617"/>
      <c r="I66" s="617"/>
      <c r="J66" s="617"/>
      <c r="K66" s="617"/>
      <c r="L66" s="617"/>
      <c r="M66" s="617"/>
      <c r="N66" s="617"/>
      <c r="O66" s="617"/>
      <c r="P66" s="617"/>
      <c r="Q66" s="617"/>
      <c r="R66" s="617"/>
      <c r="S66" s="617"/>
      <c r="T66" s="617"/>
      <c r="U66" s="617"/>
      <c r="V66" s="617"/>
      <c r="W66" s="617"/>
      <c r="X66" s="617"/>
      <c r="Y66" s="617"/>
      <c r="Z66" s="617"/>
      <c r="AA66" s="618"/>
      <c r="AB66" s="391"/>
      <c r="AC66" s="391"/>
      <c r="AD66" s="314"/>
    </row>
    <row r="67" spans="1:31" s="588" customFormat="1" ht="20.100000000000001" customHeight="1">
      <c r="A67" s="110"/>
      <c r="B67" s="107">
        <v>6807</v>
      </c>
      <c r="C67" s="660" t="s">
        <v>76</v>
      </c>
      <c r="D67" s="617"/>
      <c r="E67" s="617"/>
      <c r="F67" s="617"/>
      <c r="G67" s="617"/>
      <c r="H67" s="617"/>
      <c r="I67" s="617"/>
      <c r="J67" s="617"/>
      <c r="K67" s="617"/>
      <c r="L67" s="617"/>
      <c r="M67" s="617"/>
      <c r="N67" s="617"/>
      <c r="O67" s="617"/>
      <c r="P67" s="617"/>
      <c r="Q67" s="617"/>
      <c r="R67" s="617"/>
      <c r="S67" s="617"/>
      <c r="T67" s="617"/>
      <c r="U67" s="617"/>
      <c r="V67" s="617"/>
      <c r="W67" s="617"/>
      <c r="X67" s="617"/>
      <c r="Y67" s="617"/>
      <c r="Z67" s="617"/>
      <c r="AA67" s="618"/>
      <c r="AB67" s="391"/>
      <c r="AC67" s="391"/>
      <c r="AD67" s="314"/>
    </row>
    <row r="68" spans="1:31" s="428" customFormat="1" ht="53.25" customHeight="1">
      <c r="A68" s="110"/>
      <c r="B68" s="107"/>
      <c r="C68" s="512" t="s">
        <v>77</v>
      </c>
      <c r="D68" s="155" t="s">
        <v>70</v>
      </c>
      <c r="E68" s="598">
        <v>7</v>
      </c>
      <c r="F68" s="192">
        <f>SUM(G68:J68)</f>
        <v>702.5</v>
      </c>
      <c r="G68" s="192">
        <v>702.5</v>
      </c>
      <c r="H68" s="205"/>
      <c r="I68" s="205"/>
      <c r="J68" s="205"/>
      <c r="K68" s="254"/>
      <c r="L68" s="272"/>
      <c r="M68" s="155" t="s">
        <v>70</v>
      </c>
      <c r="N68" s="599">
        <v>10</v>
      </c>
      <c r="O68" s="240">
        <f>SUM(P68:U68)</f>
        <v>702.5</v>
      </c>
      <c r="P68" s="205">
        <v>702.5</v>
      </c>
      <c r="Q68" s="205"/>
      <c r="R68" s="205"/>
      <c r="S68" s="205"/>
      <c r="T68" s="254"/>
      <c r="U68" s="272"/>
      <c r="V68" s="181"/>
      <c r="W68" s="426"/>
      <c r="X68" s="192"/>
      <c r="Y68" s="192"/>
      <c r="Z68" s="205"/>
      <c r="AA68" s="205"/>
      <c r="AB68" s="426"/>
      <c r="AC68" s="426"/>
      <c r="AD68" s="426"/>
    </row>
    <row r="69" spans="1:31" s="428" customFormat="1" ht="34.5" customHeight="1">
      <c r="A69" s="110"/>
      <c r="B69" s="108"/>
      <c r="C69" s="95" t="s">
        <v>80</v>
      </c>
      <c r="D69" s="155" t="s">
        <v>70</v>
      </c>
      <c r="E69" s="598">
        <v>35</v>
      </c>
      <c r="F69" s="192">
        <f>SUM(G69:J69)</f>
        <v>68.25</v>
      </c>
      <c r="G69" s="192">
        <v>68.25</v>
      </c>
      <c r="H69" s="192"/>
      <c r="I69" s="192"/>
      <c r="J69" s="192"/>
      <c r="K69" s="244"/>
      <c r="L69" s="272"/>
      <c r="M69" s="155" t="s">
        <v>70</v>
      </c>
      <c r="N69" s="599">
        <v>35</v>
      </c>
      <c r="O69" s="240">
        <f>SUM(P69:U69)</f>
        <v>68.25</v>
      </c>
      <c r="P69" s="192">
        <v>68.25</v>
      </c>
      <c r="Q69" s="192"/>
      <c r="R69" s="192"/>
      <c r="S69" s="192"/>
      <c r="T69" s="244"/>
      <c r="U69" s="272"/>
      <c r="V69" s="181"/>
      <c r="W69" s="426"/>
      <c r="X69" s="192"/>
      <c r="Y69" s="192"/>
      <c r="Z69" s="192"/>
      <c r="AA69" s="192"/>
      <c r="AB69" s="426"/>
      <c r="AC69" s="426"/>
      <c r="AD69" s="426"/>
      <c r="AE69" s="216"/>
    </row>
    <row r="70" spans="1:31" s="588" customFormat="1" ht="20.100000000000001" customHeight="1">
      <c r="A70" s="110"/>
      <c r="B70" s="726">
        <v>6809</v>
      </c>
      <c r="C70" s="638" t="s">
        <v>83</v>
      </c>
      <c r="D70" s="617"/>
      <c r="E70" s="617"/>
      <c r="F70" s="617"/>
      <c r="G70" s="617"/>
      <c r="H70" s="617"/>
      <c r="I70" s="617"/>
      <c r="J70" s="617"/>
      <c r="K70" s="617"/>
      <c r="L70" s="617"/>
      <c r="M70" s="617"/>
      <c r="N70" s="617"/>
      <c r="O70" s="617"/>
      <c r="P70" s="617"/>
      <c r="Q70" s="617"/>
      <c r="R70" s="617"/>
      <c r="S70" s="617"/>
      <c r="T70" s="617"/>
      <c r="U70" s="617"/>
      <c r="V70" s="617"/>
      <c r="W70" s="617"/>
      <c r="X70" s="617"/>
      <c r="Y70" s="617"/>
      <c r="Z70" s="617"/>
      <c r="AA70" s="618"/>
      <c r="AB70" s="391"/>
      <c r="AC70" s="391"/>
      <c r="AD70" s="314"/>
    </row>
    <row r="71" spans="1:31" s="588" customFormat="1" ht="20.100000000000001" customHeight="1">
      <c r="A71" s="110"/>
      <c r="B71" s="625"/>
      <c r="C71" s="310" t="s">
        <v>84</v>
      </c>
      <c r="D71" s="155" t="s">
        <v>70</v>
      </c>
      <c r="E71" s="598">
        <v>5</v>
      </c>
      <c r="F71" s="199">
        <f>SUM(G71:J71)</f>
        <v>100</v>
      </c>
      <c r="G71" s="199">
        <v>100</v>
      </c>
      <c r="H71" s="199"/>
      <c r="I71" s="199"/>
      <c r="J71" s="199"/>
      <c r="K71" s="249"/>
      <c r="L71" s="271"/>
      <c r="M71" s="155" t="s">
        <v>70</v>
      </c>
      <c r="N71" s="599">
        <v>6</v>
      </c>
      <c r="O71" s="240">
        <f>SUM(P71:U71)</f>
        <v>100</v>
      </c>
      <c r="P71" s="199">
        <v>100</v>
      </c>
      <c r="Q71" s="199"/>
      <c r="R71" s="199"/>
      <c r="S71" s="199"/>
      <c r="T71" s="249"/>
      <c r="U71" s="271"/>
      <c r="V71" s="198"/>
      <c r="W71" s="313"/>
      <c r="X71" s="192"/>
      <c r="Y71" s="192"/>
      <c r="Z71" s="199"/>
      <c r="AA71" s="199"/>
      <c r="AB71" s="313"/>
      <c r="AC71" s="313"/>
      <c r="AD71" s="313"/>
    </row>
    <row r="72" spans="1:31" s="588" customFormat="1" ht="20.100000000000001" customHeight="1">
      <c r="A72" s="110"/>
      <c r="B72" s="111">
        <v>6813</v>
      </c>
      <c r="C72" s="638" t="s">
        <v>86</v>
      </c>
      <c r="D72" s="617"/>
      <c r="E72" s="617"/>
      <c r="F72" s="617"/>
      <c r="G72" s="617"/>
      <c r="H72" s="617"/>
      <c r="I72" s="617"/>
      <c r="J72" s="617"/>
      <c r="K72" s="617"/>
      <c r="L72" s="617"/>
      <c r="M72" s="617"/>
      <c r="N72" s="617"/>
      <c r="O72" s="617"/>
      <c r="P72" s="617"/>
      <c r="Q72" s="617"/>
      <c r="R72" s="617"/>
      <c r="S72" s="617"/>
      <c r="T72" s="617"/>
      <c r="U72" s="617"/>
      <c r="V72" s="617"/>
      <c r="W72" s="617"/>
      <c r="X72" s="617"/>
      <c r="Y72" s="617"/>
      <c r="Z72" s="617"/>
      <c r="AA72" s="618"/>
      <c r="AB72" s="313"/>
      <c r="AC72" s="313"/>
      <c r="AD72" s="313"/>
    </row>
    <row r="73" spans="1:31" s="428" customFormat="1" ht="35.25" customHeight="1">
      <c r="A73" s="110"/>
      <c r="B73" s="112"/>
      <c r="C73" s="95" t="s">
        <v>87</v>
      </c>
      <c r="D73" s="155" t="s">
        <v>70</v>
      </c>
      <c r="E73" s="598">
        <v>7</v>
      </c>
      <c r="F73" s="192">
        <f>SUM(G73:J73)</f>
        <v>8.9700000000000006</v>
      </c>
      <c r="G73" s="192">
        <v>8.9700000000000006</v>
      </c>
      <c r="H73" s="192"/>
      <c r="I73" s="192"/>
      <c r="J73" s="192"/>
      <c r="K73" s="244"/>
      <c r="L73" s="272"/>
      <c r="M73" s="155" t="s">
        <v>70</v>
      </c>
      <c r="N73" s="599">
        <v>7</v>
      </c>
      <c r="O73" s="240">
        <f>SUM(P73:U73)</f>
        <v>8.9700000000000006</v>
      </c>
      <c r="P73" s="192">
        <v>8.9700000000000006</v>
      </c>
      <c r="Q73" s="192"/>
      <c r="R73" s="192"/>
      <c r="S73" s="192"/>
      <c r="T73" s="244"/>
      <c r="U73" s="272"/>
      <c r="V73" s="181"/>
      <c r="W73" s="426"/>
      <c r="X73" s="192"/>
      <c r="Y73" s="192"/>
      <c r="Z73" s="192"/>
      <c r="AA73" s="192"/>
      <c r="AB73" s="426"/>
      <c r="AC73" s="426"/>
      <c r="AD73" s="426"/>
    </row>
    <row r="74" spans="1:31" s="428" customFormat="1" ht="36" customHeight="1">
      <c r="A74" s="110"/>
      <c r="B74" s="113"/>
      <c r="C74" s="95" t="s">
        <v>88</v>
      </c>
      <c r="D74" s="155" t="s">
        <v>70</v>
      </c>
      <c r="E74" s="598">
        <v>7</v>
      </c>
      <c r="F74" s="192">
        <f>SUM(G74:J74)</f>
        <v>5</v>
      </c>
      <c r="G74" s="192">
        <v>5</v>
      </c>
      <c r="H74" s="192"/>
      <c r="I74" s="192"/>
      <c r="J74" s="192"/>
      <c r="K74" s="244"/>
      <c r="L74" s="272"/>
      <c r="M74" s="155" t="s">
        <v>70</v>
      </c>
      <c r="N74" s="599">
        <v>7</v>
      </c>
      <c r="O74" s="240">
        <f>SUM(P74:U74)</f>
        <v>5</v>
      </c>
      <c r="P74" s="192">
        <v>5</v>
      </c>
      <c r="Q74" s="192"/>
      <c r="R74" s="192"/>
      <c r="S74" s="192"/>
      <c r="T74" s="244"/>
      <c r="U74" s="272"/>
      <c r="V74" s="181"/>
      <c r="W74" s="426"/>
      <c r="X74" s="192"/>
      <c r="Y74" s="192"/>
      <c r="Z74" s="192"/>
      <c r="AA74" s="192"/>
      <c r="AB74" s="426"/>
      <c r="AC74" s="426"/>
      <c r="AD74" s="426"/>
    </row>
    <row r="75" spans="1:31" s="588" customFormat="1" ht="20.100000000000001" customHeight="1">
      <c r="A75" s="110"/>
      <c r="B75" s="111">
        <v>6814</v>
      </c>
      <c r="C75" s="727" t="s">
        <v>67</v>
      </c>
      <c r="D75" s="617"/>
      <c r="E75" s="617"/>
      <c r="F75" s="617"/>
      <c r="G75" s="617"/>
      <c r="H75" s="617"/>
      <c r="I75" s="617"/>
      <c r="J75" s="617"/>
      <c r="K75" s="617"/>
      <c r="L75" s="617"/>
      <c r="M75" s="617"/>
      <c r="N75" s="617"/>
      <c r="O75" s="617"/>
      <c r="P75" s="617"/>
      <c r="Q75" s="617"/>
      <c r="R75" s="617"/>
      <c r="S75" s="617"/>
      <c r="T75" s="617"/>
      <c r="U75" s="617"/>
      <c r="V75" s="617"/>
      <c r="W75" s="617"/>
      <c r="X75" s="617"/>
      <c r="Y75" s="617"/>
      <c r="Z75" s="617"/>
      <c r="AA75" s="618"/>
      <c r="AB75" s="391"/>
      <c r="AC75" s="391"/>
      <c r="AD75" s="314"/>
    </row>
    <row r="76" spans="1:31" s="428" customFormat="1" ht="35.25" customHeight="1">
      <c r="A76" s="110"/>
      <c r="B76" s="112"/>
      <c r="C76" s="95" t="s">
        <v>90</v>
      </c>
      <c r="D76" s="155" t="s">
        <v>70</v>
      </c>
      <c r="E76" s="598">
        <v>17</v>
      </c>
      <c r="F76" s="192">
        <f>SUM(G76:J76)</f>
        <v>20.5</v>
      </c>
      <c r="G76" s="192">
        <v>20.5</v>
      </c>
      <c r="H76" s="192"/>
      <c r="I76" s="192"/>
      <c r="J76" s="192"/>
      <c r="K76" s="244"/>
      <c r="L76" s="272"/>
      <c r="M76" s="155" t="s">
        <v>70</v>
      </c>
      <c r="N76" s="599">
        <v>17</v>
      </c>
      <c r="O76" s="240">
        <f>SUM(P76:U76)</f>
        <v>20.5</v>
      </c>
      <c r="P76" s="192">
        <v>20.5</v>
      </c>
      <c r="Q76" s="192"/>
      <c r="R76" s="192"/>
      <c r="S76" s="192"/>
      <c r="T76" s="244"/>
      <c r="U76" s="272"/>
      <c r="V76" s="181"/>
      <c r="W76" s="426"/>
      <c r="X76" s="192"/>
      <c r="Y76" s="192"/>
      <c r="Z76" s="192"/>
      <c r="AA76" s="192"/>
      <c r="AB76" s="426"/>
      <c r="AC76" s="426"/>
      <c r="AD76" s="426"/>
    </row>
    <row r="77" spans="1:31" s="428" customFormat="1" ht="35.25" customHeight="1">
      <c r="A77" s="110"/>
      <c r="B77" s="112"/>
      <c r="C77" s="95" t="s">
        <v>93</v>
      </c>
      <c r="D77" s="155" t="s">
        <v>70</v>
      </c>
      <c r="E77" s="598">
        <v>6</v>
      </c>
      <c r="F77" s="192">
        <f>SUM(G77:J77)</f>
        <v>6</v>
      </c>
      <c r="G77" s="192">
        <v>6</v>
      </c>
      <c r="H77" s="192"/>
      <c r="I77" s="192"/>
      <c r="J77" s="192"/>
      <c r="K77" s="244"/>
      <c r="L77" s="272"/>
      <c r="M77" s="155" t="s">
        <v>70</v>
      </c>
      <c r="N77" s="599">
        <v>6</v>
      </c>
      <c r="O77" s="240">
        <f>SUM(P77:U77)</f>
        <v>6</v>
      </c>
      <c r="P77" s="192">
        <v>6</v>
      </c>
      <c r="Q77" s="192"/>
      <c r="R77" s="192"/>
      <c r="S77" s="192"/>
      <c r="T77" s="244"/>
      <c r="U77" s="272"/>
      <c r="V77" s="181"/>
      <c r="W77" s="426"/>
      <c r="X77" s="192"/>
      <c r="Y77" s="192"/>
      <c r="Z77" s="192"/>
      <c r="AA77" s="192"/>
      <c r="AB77" s="426"/>
      <c r="AC77" s="426"/>
      <c r="AD77" s="426"/>
    </row>
    <row r="78" spans="1:31" s="428" customFormat="1" ht="18" customHeight="1">
      <c r="A78" s="110"/>
      <c r="B78" s="113"/>
      <c r="C78" s="95" t="s">
        <v>94</v>
      </c>
      <c r="D78" s="155"/>
      <c r="E78" s="598"/>
      <c r="F78" s="192"/>
      <c r="G78" s="192"/>
      <c r="H78" s="192"/>
      <c r="I78" s="192"/>
      <c r="J78" s="192"/>
      <c r="K78" s="244"/>
      <c r="L78" s="272"/>
      <c r="M78" s="155"/>
      <c r="N78" s="599" t="s">
        <v>308</v>
      </c>
      <c r="O78" s="240">
        <f>SUM(P78:U78)</f>
        <v>50</v>
      </c>
      <c r="P78" s="192">
        <v>50</v>
      </c>
      <c r="Q78" s="192"/>
      <c r="R78" s="192"/>
      <c r="S78" s="192"/>
      <c r="T78" s="244"/>
      <c r="U78" s="272"/>
      <c r="V78" s="181"/>
      <c r="W78" s="426"/>
      <c r="X78" s="192">
        <f>-(G78-P78)</f>
        <v>50</v>
      </c>
      <c r="Y78" s="192">
        <f>P78-G78</f>
        <v>50</v>
      </c>
      <c r="Z78" s="192"/>
      <c r="AA78" s="192"/>
      <c r="AB78" s="426"/>
      <c r="AC78" s="426"/>
      <c r="AD78" s="426"/>
    </row>
    <row r="79" spans="1:31" s="588" customFormat="1" ht="20.100000000000001" customHeight="1">
      <c r="A79" s="110"/>
      <c r="B79" s="111">
        <v>6815</v>
      </c>
      <c r="C79" s="660" t="s">
        <v>95</v>
      </c>
      <c r="D79" s="617"/>
      <c r="E79" s="617"/>
      <c r="F79" s="617"/>
      <c r="G79" s="617"/>
      <c r="H79" s="617"/>
      <c r="I79" s="617"/>
      <c r="J79" s="617"/>
      <c r="K79" s="617"/>
      <c r="L79" s="617"/>
      <c r="M79" s="617"/>
      <c r="N79" s="617"/>
      <c r="O79" s="617"/>
      <c r="P79" s="617"/>
      <c r="Q79" s="617"/>
      <c r="R79" s="617"/>
      <c r="S79" s="617"/>
      <c r="T79" s="617"/>
      <c r="U79" s="617"/>
      <c r="V79" s="617"/>
      <c r="W79" s="617"/>
      <c r="X79" s="617"/>
      <c r="Y79" s="617"/>
      <c r="Z79" s="617"/>
      <c r="AA79" s="618"/>
      <c r="AB79" s="391"/>
      <c r="AC79" s="391"/>
      <c r="AD79" s="314"/>
    </row>
    <row r="80" spans="1:31" s="428" customFormat="1" ht="67.5" customHeight="1">
      <c r="A80" s="110"/>
      <c r="B80" s="112"/>
      <c r="C80" s="95" t="s">
        <v>96</v>
      </c>
      <c r="D80" s="155" t="s">
        <v>70</v>
      </c>
      <c r="E80" s="598">
        <v>30</v>
      </c>
      <c r="F80" s="192">
        <f t="shared" ref="F80:F85" si="6">SUM(G80:J80)</f>
        <v>19.5</v>
      </c>
      <c r="G80" s="192">
        <v>19.5</v>
      </c>
      <c r="H80" s="192"/>
      <c r="I80" s="192"/>
      <c r="J80" s="192"/>
      <c r="K80" s="244"/>
      <c r="L80" s="272"/>
      <c r="M80" s="155" t="s">
        <v>70</v>
      </c>
      <c r="N80" s="599">
        <v>30</v>
      </c>
      <c r="O80" s="240">
        <f t="shared" ref="O80:O85" si="7">SUM(P80:U80)</f>
        <v>19.5</v>
      </c>
      <c r="P80" s="192">
        <v>19.5</v>
      </c>
      <c r="Q80" s="192"/>
      <c r="R80" s="192"/>
      <c r="S80" s="192"/>
      <c r="T80" s="244"/>
      <c r="U80" s="272"/>
      <c r="V80" s="181"/>
      <c r="W80" s="426"/>
      <c r="X80" s="192"/>
      <c r="Y80" s="192"/>
      <c r="Z80" s="192"/>
      <c r="AA80" s="192"/>
      <c r="AB80" s="426"/>
      <c r="AC80" s="426"/>
      <c r="AD80" s="426"/>
    </row>
    <row r="81" spans="1:42" s="428" customFormat="1" ht="36" customHeight="1">
      <c r="A81" s="110"/>
      <c r="B81" s="112"/>
      <c r="C81" s="95" t="s">
        <v>98</v>
      </c>
      <c r="D81" s="155" t="s">
        <v>70</v>
      </c>
      <c r="E81" s="598">
        <v>11</v>
      </c>
      <c r="F81" s="192">
        <f t="shared" si="6"/>
        <v>13.75</v>
      </c>
      <c r="G81" s="192">
        <v>13.75</v>
      </c>
      <c r="H81" s="192"/>
      <c r="I81" s="192"/>
      <c r="J81" s="192"/>
      <c r="K81" s="244"/>
      <c r="L81" s="272"/>
      <c r="M81" s="155" t="s">
        <v>70</v>
      </c>
      <c r="N81" s="599">
        <v>11</v>
      </c>
      <c r="O81" s="240">
        <f t="shared" si="7"/>
        <v>13.75</v>
      </c>
      <c r="P81" s="192">
        <v>13.75</v>
      </c>
      <c r="Q81" s="192"/>
      <c r="R81" s="192"/>
      <c r="S81" s="192"/>
      <c r="T81" s="244"/>
      <c r="U81" s="272"/>
      <c r="V81" s="181"/>
      <c r="W81" s="426"/>
      <c r="X81" s="192"/>
      <c r="Y81" s="192"/>
      <c r="Z81" s="192"/>
      <c r="AA81" s="192"/>
      <c r="AB81" s="426"/>
      <c r="AC81" s="426"/>
      <c r="AD81" s="426"/>
    </row>
    <row r="82" spans="1:42" s="588" customFormat="1" ht="20.100000000000001" customHeight="1">
      <c r="A82" s="110"/>
      <c r="B82" s="112"/>
      <c r="C82" s="95" t="s">
        <v>310</v>
      </c>
      <c r="D82" s="155" t="s">
        <v>70</v>
      </c>
      <c r="E82" s="598">
        <v>1</v>
      </c>
      <c r="F82" s="199">
        <f t="shared" si="6"/>
        <v>1.5</v>
      </c>
      <c r="G82" s="199">
        <v>1.5</v>
      </c>
      <c r="H82" s="199"/>
      <c r="I82" s="199"/>
      <c r="J82" s="199"/>
      <c r="K82" s="249"/>
      <c r="L82" s="271"/>
      <c r="M82" s="155" t="s">
        <v>70</v>
      </c>
      <c r="N82" s="599">
        <v>2</v>
      </c>
      <c r="O82" s="240">
        <f t="shared" si="7"/>
        <v>1.5</v>
      </c>
      <c r="P82" s="199">
        <v>1.5</v>
      </c>
      <c r="Q82" s="199"/>
      <c r="R82" s="199"/>
      <c r="S82" s="199"/>
      <c r="T82" s="249"/>
      <c r="U82" s="271"/>
      <c r="V82" s="198"/>
      <c r="W82" s="313"/>
      <c r="X82" s="192"/>
      <c r="Y82" s="199"/>
      <c r="Z82" s="199"/>
      <c r="AA82" s="199"/>
      <c r="AB82" s="313"/>
      <c r="AC82" s="313"/>
      <c r="AD82" s="313"/>
    </row>
    <row r="83" spans="1:42" s="428" customFormat="1" ht="34.5" customHeight="1">
      <c r="A83" s="110"/>
      <c r="B83" s="113"/>
      <c r="C83" s="95" t="s">
        <v>103</v>
      </c>
      <c r="D83" s="155" t="s">
        <v>70</v>
      </c>
      <c r="E83" s="598">
        <v>7</v>
      </c>
      <c r="F83" s="192">
        <f t="shared" si="6"/>
        <v>5.25</v>
      </c>
      <c r="G83" s="192">
        <v>5.25</v>
      </c>
      <c r="H83" s="192"/>
      <c r="I83" s="192"/>
      <c r="J83" s="192"/>
      <c r="K83" s="244"/>
      <c r="L83" s="272"/>
      <c r="M83" s="155" t="s">
        <v>70</v>
      </c>
      <c r="N83" s="599">
        <v>11</v>
      </c>
      <c r="O83" s="240">
        <f t="shared" si="7"/>
        <v>5.25</v>
      </c>
      <c r="P83" s="192">
        <v>5.25</v>
      </c>
      <c r="Q83" s="192"/>
      <c r="R83" s="192"/>
      <c r="S83" s="192"/>
      <c r="T83" s="244"/>
      <c r="U83" s="272"/>
      <c r="V83" s="181"/>
      <c r="W83" s="426"/>
      <c r="X83" s="192"/>
      <c r="Y83" s="192"/>
      <c r="Z83" s="192"/>
      <c r="AA83" s="192"/>
      <c r="AB83" s="426"/>
      <c r="AC83" s="426"/>
      <c r="AD83" s="426"/>
    </row>
    <row r="84" spans="1:42" s="588" customFormat="1" ht="20.100000000000001" customHeight="1">
      <c r="A84" s="110"/>
      <c r="B84" s="111">
        <v>6821</v>
      </c>
      <c r="C84" s="309" t="s">
        <v>62</v>
      </c>
      <c r="D84" s="443"/>
      <c r="E84" s="184" t="s">
        <v>308</v>
      </c>
      <c r="F84" s="199">
        <f t="shared" si="6"/>
        <v>50</v>
      </c>
      <c r="G84" s="199">
        <v>50</v>
      </c>
      <c r="H84" s="199"/>
      <c r="I84" s="199"/>
      <c r="J84" s="199"/>
      <c r="K84" s="249"/>
      <c r="L84" s="271"/>
      <c r="M84" s="273"/>
      <c r="N84" s="260" t="s">
        <v>308</v>
      </c>
      <c r="O84" s="240">
        <f t="shared" si="7"/>
        <v>50</v>
      </c>
      <c r="P84" s="199">
        <v>50</v>
      </c>
      <c r="Q84" s="199"/>
      <c r="R84" s="199"/>
      <c r="S84" s="199"/>
      <c r="T84" s="249"/>
      <c r="U84" s="271"/>
      <c r="V84" s="198"/>
      <c r="W84" s="313"/>
      <c r="X84" s="192"/>
      <c r="Y84" s="199"/>
      <c r="Z84" s="199"/>
      <c r="AA84" s="199"/>
      <c r="AB84" s="313"/>
      <c r="AC84" s="313"/>
      <c r="AD84" s="313"/>
    </row>
    <row r="85" spans="1:42" s="588" customFormat="1" ht="20.100000000000001" customHeight="1">
      <c r="A85" s="114"/>
      <c r="B85" s="111">
        <v>6869</v>
      </c>
      <c r="C85" s="309" t="s">
        <v>104</v>
      </c>
      <c r="D85" s="443"/>
      <c r="E85" s="184"/>
      <c r="F85" s="199">
        <f t="shared" si="6"/>
        <v>15</v>
      </c>
      <c r="G85" s="199">
        <v>15</v>
      </c>
      <c r="H85" s="199"/>
      <c r="I85" s="199"/>
      <c r="J85" s="199"/>
      <c r="K85" s="249"/>
      <c r="L85" s="271"/>
      <c r="M85" s="155" t="s">
        <v>70</v>
      </c>
      <c r="N85" s="449">
        <v>15</v>
      </c>
      <c r="O85" s="240">
        <f t="shared" si="7"/>
        <v>15</v>
      </c>
      <c r="P85" s="199">
        <v>15</v>
      </c>
      <c r="Q85" s="199"/>
      <c r="R85" s="199"/>
      <c r="S85" s="199"/>
      <c r="T85" s="249"/>
      <c r="U85" s="271"/>
      <c r="V85" s="198"/>
      <c r="W85" s="313"/>
      <c r="X85" s="192"/>
      <c r="Y85" s="199"/>
      <c r="Z85" s="199"/>
      <c r="AA85" s="199"/>
      <c r="AB85" s="313"/>
      <c r="AC85" s="313"/>
      <c r="AD85" s="313"/>
      <c r="AH85" s="313"/>
      <c r="AI85" s="313" t="s">
        <v>311</v>
      </c>
      <c r="AJ85" s="313"/>
      <c r="AK85" s="313"/>
      <c r="AL85" s="313"/>
      <c r="AM85" s="313" t="s">
        <v>312</v>
      </c>
      <c r="AN85" s="313"/>
      <c r="AO85" s="588" t="s">
        <v>313</v>
      </c>
    </row>
    <row r="86" spans="1:42" s="588" customFormat="1" ht="23.25" customHeight="1">
      <c r="A86" s="715">
        <v>6900</v>
      </c>
      <c r="B86" s="111"/>
      <c r="C86" s="660" t="s">
        <v>105</v>
      </c>
      <c r="D86" s="617"/>
      <c r="E86" s="617"/>
      <c r="F86" s="617"/>
      <c r="G86" s="617"/>
      <c r="H86" s="617"/>
      <c r="I86" s="617"/>
      <c r="J86" s="617"/>
      <c r="K86" s="617"/>
      <c r="L86" s="617"/>
      <c r="M86" s="617"/>
      <c r="N86" s="617"/>
      <c r="O86" s="617"/>
      <c r="P86" s="617"/>
      <c r="Q86" s="617"/>
      <c r="R86" s="617"/>
      <c r="S86" s="617"/>
      <c r="T86" s="617"/>
      <c r="U86" s="617"/>
      <c r="V86" s="617"/>
      <c r="W86" s="617"/>
      <c r="X86" s="617"/>
      <c r="Y86" s="617"/>
      <c r="Z86" s="617"/>
      <c r="AA86" s="618"/>
      <c r="AB86" s="391"/>
      <c r="AC86" s="391"/>
      <c r="AD86" s="314"/>
      <c r="AG86" s="428"/>
      <c r="AH86" s="426"/>
      <c r="AI86" s="426"/>
      <c r="AJ86" s="426"/>
      <c r="AK86" s="426"/>
      <c r="AL86" s="426"/>
      <c r="AM86" s="426"/>
      <c r="AN86" s="426"/>
      <c r="AO86" s="428"/>
      <c r="AP86" s="428"/>
    </row>
    <row r="87" spans="1:42" s="428" customFormat="1" ht="20.100000000000001" customHeight="1">
      <c r="A87" s="625"/>
      <c r="B87" s="111">
        <v>6901</v>
      </c>
      <c r="C87" s="310" t="s">
        <v>314</v>
      </c>
      <c r="D87" s="438" t="s">
        <v>107</v>
      </c>
      <c r="E87" s="599" t="s">
        <v>315</v>
      </c>
      <c r="F87" s="275">
        <f>SUM(G87:J87)</f>
        <v>30334.2</v>
      </c>
      <c r="G87" s="192">
        <v>30334.2</v>
      </c>
      <c r="H87" s="192"/>
      <c r="I87" s="192"/>
      <c r="J87" s="192"/>
      <c r="K87" s="244"/>
      <c r="L87" s="272"/>
      <c r="M87" s="289" t="s">
        <v>107</v>
      </c>
      <c r="N87" s="241">
        <v>470</v>
      </c>
      <c r="O87" s="240">
        <f>SUM(P87:U87)</f>
        <v>24000</v>
      </c>
      <c r="P87" s="192">
        <v>24000</v>
      </c>
      <c r="Q87" s="192"/>
      <c r="R87" s="192"/>
      <c r="S87" s="192"/>
      <c r="T87" s="244"/>
      <c r="U87" s="272"/>
      <c r="V87" s="181"/>
      <c r="W87" s="426"/>
      <c r="X87" s="275">
        <f>O87-F87</f>
        <v>-6334.2000000000007</v>
      </c>
      <c r="Y87" s="275">
        <f>P87-G87</f>
        <v>-6334.2000000000007</v>
      </c>
      <c r="Z87" s="275"/>
      <c r="AA87" s="275"/>
      <c r="AB87" s="275"/>
      <c r="AC87" s="426"/>
      <c r="AD87" s="426"/>
      <c r="AG87" s="588"/>
      <c r="AH87" s="152" t="e">
        <f>#REF!</f>
        <v>#REF!</v>
      </c>
      <c r="AI87" s="152" t="e">
        <f>#REF!</f>
        <v>#REF!</v>
      </c>
      <c r="AJ87" s="152" t="e">
        <f>AI87+AH87</f>
        <v>#REF!</v>
      </c>
      <c r="AK87" s="313"/>
      <c r="AL87" s="313">
        <v>50</v>
      </c>
      <c r="AM87" s="199">
        <v>371</v>
      </c>
      <c r="AN87" s="152">
        <f>AM87+AL87</f>
        <v>421</v>
      </c>
      <c r="AO87" s="151" t="e">
        <f>AN87-AJ87</f>
        <v>#REF!</v>
      </c>
      <c r="AP87" s="588"/>
    </row>
    <row r="88" spans="1:42" s="588" customFormat="1" ht="20.100000000000001" customHeight="1">
      <c r="A88" s="522">
        <v>7000</v>
      </c>
      <c r="B88" s="603"/>
      <c r="C88" s="660" t="s">
        <v>108</v>
      </c>
      <c r="D88" s="617"/>
      <c r="E88" s="617"/>
      <c r="F88" s="617"/>
      <c r="G88" s="617"/>
      <c r="H88" s="617"/>
      <c r="I88" s="617"/>
      <c r="J88" s="617"/>
      <c r="K88" s="617"/>
      <c r="L88" s="617"/>
      <c r="M88" s="617"/>
      <c r="N88" s="617"/>
      <c r="O88" s="617"/>
      <c r="P88" s="617"/>
      <c r="Q88" s="617"/>
      <c r="R88" s="617"/>
      <c r="S88" s="617"/>
      <c r="T88" s="617"/>
      <c r="U88" s="617"/>
      <c r="V88" s="617"/>
      <c r="W88" s="617"/>
      <c r="X88" s="617"/>
      <c r="Y88" s="617"/>
      <c r="Z88" s="617"/>
      <c r="AA88" s="618"/>
      <c r="AB88" s="391"/>
      <c r="AC88" s="391"/>
      <c r="AD88" s="314"/>
      <c r="AH88" s="313"/>
      <c r="AI88" s="313"/>
      <c r="AJ88" s="313"/>
      <c r="AK88" s="313"/>
      <c r="AL88" s="313"/>
      <c r="AM88" s="313"/>
      <c r="AN88" s="313"/>
    </row>
    <row r="89" spans="1:42" s="588" customFormat="1" ht="15" customHeight="1">
      <c r="A89" s="110"/>
      <c r="B89" s="111">
        <v>7036</v>
      </c>
      <c r="C89" s="392" t="s">
        <v>316</v>
      </c>
      <c r="D89" s="491"/>
      <c r="E89" s="491"/>
      <c r="F89" s="491"/>
      <c r="G89" s="491"/>
      <c r="H89" s="491"/>
      <c r="I89" s="491"/>
      <c r="J89" s="491"/>
      <c r="K89" s="491"/>
      <c r="L89" s="491"/>
      <c r="M89" s="491"/>
      <c r="N89" s="491"/>
      <c r="O89" s="491"/>
      <c r="P89" s="491"/>
      <c r="Q89" s="491"/>
      <c r="R89" s="491"/>
      <c r="S89" s="491"/>
      <c r="T89" s="491"/>
      <c r="U89" s="491"/>
      <c r="V89" s="492"/>
      <c r="W89" s="492"/>
      <c r="X89" s="492"/>
      <c r="Y89" s="492"/>
      <c r="Z89" s="492"/>
      <c r="AA89" s="492"/>
      <c r="AB89" s="391"/>
      <c r="AC89" s="391"/>
      <c r="AD89" s="314"/>
      <c r="AG89" s="230" t="e">
        <f>P90/U90</f>
        <v>#DIV/0!</v>
      </c>
      <c r="AH89" s="199">
        <v>46.5</v>
      </c>
      <c r="AI89" s="199">
        <v>895.5</v>
      </c>
      <c r="AJ89" s="152">
        <f>AI89+AH89</f>
        <v>942</v>
      </c>
      <c r="AK89" s="313"/>
      <c r="AL89" s="313">
        <v>161</v>
      </c>
      <c r="AM89" s="206">
        <v>1182</v>
      </c>
      <c r="AN89" s="152">
        <f>AM89+AL89</f>
        <v>1343</v>
      </c>
      <c r="AO89" s="151">
        <f>AN89-AJ89</f>
        <v>401</v>
      </c>
    </row>
    <row r="90" spans="1:42" s="588" customFormat="1" ht="18.75" customHeight="1">
      <c r="A90" s="110"/>
      <c r="B90" s="112"/>
      <c r="C90" s="310" t="s">
        <v>110</v>
      </c>
      <c r="D90" s="155" t="s">
        <v>70</v>
      </c>
      <c r="E90" s="438"/>
      <c r="F90" s="199"/>
      <c r="G90" s="199"/>
      <c r="H90" s="199"/>
      <c r="I90" s="199"/>
      <c r="J90" s="199"/>
      <c r="K90" s="249"/>
      <c r="L90" s="271"/>
      <c r="M90" s="155" t="s">
        <v>70</v>
      </c>
      <c r="N90" s="574">
        <v>131</v>
      </c>
      <c r="O90" s="293">
        <f>SUM(P90:U90)</f>
        <v>1261</v>
      </c>
      <c r="P90" s="206">
        <v>151.32</v>
      </c>
      <c r="Q90" s="199"/>
      <c r="R90" s="206">
        <v>1109.68</v>
      </c>
      <c r="S90" s="199"/>
      <c r="T90" s="249"/>
      <c r="U90" s="271"/>
      <c r="V90" s="198"/>
      <c r="W90" s="313"/>
      <c r="X90" s="275">
        <f>O90-F90</f>
        <v>1261</v>
      </c>
      <c r="Y90" s="275">
        <f>P90-G90</f>
        <v>151.32</v>
      </c>
      <c r="Z90" s="199"/>
      <c r="AA90" s="275">
        <f>R90-I90</f>
        <v>1109.68</v>
      </c>
      <c r="AB90" s="313"/>
      <c r="AC90" s="313"/>
      <c r="AD90" s="313"/>
      <c r="AH90" s="313"/>
      <c r="AI90" s="313"/>
      <c r="AJ90" s="313"/>
      <c r="AK90" s="313"/>
      <c r="AL90" s="313"/>
      <c r="AM90" s="313"/>
      <c r="AN90" s="313"/>
    </row>
    <row r="91" spans="1:42" s="588" customFormat="1" ht="15" customHeight="1">
      <c r="A91" s="110"/>
      <c r="B91" s="111">
        <v>7041</v>
      </c>
      <c r="C91" s="392" t="s">
        <v>68</v>
      </c>
      <c r="D91" s="491"/>
      <c r="E91" s="491"/>
      <c r="F91" s="491"/>
      <c r="G91" s="491"/>
      <c r="H91" s="491"/>
      <c r="I91" s="491"/>
      <c r="J91" s="491"/>
      <c r="K91" s="491"/>
      <c r="L91" s="491"/>
      <c r="M91" s="491"/>
      <c r="N91" s="491"/>
      <c r="O91" s="491"/>
      <c r="P91" s="491"/>
      <c r="Q91" s="491"/>
      <c r="R91" s="491"/>
      <c r="S91" s="491"/>
      <c r="T91" s="491"/>
      <c r="U91" s="491"/>
      <c r="V91" s="492"/>
      <c r="W91" s="492"/>
      <c r="X91" s="492"/>
      <c r="Y91" s="492"/>
      <c r="Z91" s="492"/>
      <c r="AA91" s="492"/>
      <c r="AB91" s="391"/>
      <c r="AC91" s="391"/>
      <c r="AD91" s="314"/>
      <c r="AG91" s="230" t="e">
        <f>P92/U92</f>
        <v>#DIV/0!</v>
      </c>
      <c r="AH91" s="199">
        <v>46.5</v>
      </c>
      <c r="AI91" s="199">
        <v>895.5</v>
      </c>
      <c r="AJ91" s="152">
        <f>AI91+AH91</f>
        <v>942</v>
      </c>
      <c r="AK91" s="313"/>
      <c r="AL91" s="313">
        <v>161</v>
      </c>
      <c r="AM91" s="206">
        <v>1182</v>
      </c>
      <c r="AN91" s="152">
        <f>AM91+AL91</f>
        <v>1343</v>
      </c>
      <c r="AO91" s="151">
        <f>AN91-AJ91</f>
        <v>401</v>
      </c>
    </row>
    <row r="92" spans="1:42" s="588" customFormat="1" ht="24" customHeight="1">
      <c r="A92" s="110"/>
      <c r="B92" s="112"/>
      <c r="C92" s="310" t="s">
        <v>111</v>
      </c>
      <c r="D92" s="155" t="s">
        <v>70</v>
      </c>
      <c r="E92" s="574">
        <v>5</v>
      </c>
      <c r="F92" s="199">
        <f>SUM(G92:J92)</f>
        <v>942</v>
      </c>
      <c r="G92" s="199">
        <v>46.5</v>
      </c>
      <c r="H92" s="199"/>
      <c r="I92" s="199">
        <v>895.5</v>
      </c>
      <c r="J92" s="199"/>
      <c r="K92" s="249"/>
      <c r="L92" s="271"/>
      <c r="M92" s="155" t="s">
        <v>70</v>
      </c>
      <c r="N92" s="574" t="s">
        <v>317</v>
      </c>
      <c r="O92" s="240">
        <f>SUM(P92:U92)</f>
        <v>1515</v>
      </c>
      <c r="P92" s="206">
        <v>181.8</v>
      </c>
      <c r="Q92" s="199"/>
      <c r="R92" s="206">
        <v>1333.2</v>
      </c>
      <c r="S92" s="199"/>
      <c r="T92" s="249"/>
      <c r="U92" s="271"/>
      <c r="V92" s="198"/>
      <c r="W92" s="313"/>
      <c r="X92" s="275">
        <f t="shared" ref="X92:Y94" si="8">O92-F92</f>
        <v>573</v>
      </c>
      <c r="Y92" s="275">
        <f t="shared" si="8"/>
        <v>135.30000000000001</v>
      </c>
      <c r="Z92" s="199"/>
      <c r="AA92" s="275">
        <f>R92-I92</f>
        <v>437.70000000000005</v>
      </c>
      <c r="AB92" s="313"/>
      <c r="AC92" s="313"/>
      <c r="AD92" s="313"/>
      <c r="AG92" s="230" t="e">
        <f>P93/U93</f>
        <v>#DIV/0!</v>
      </c>
      <c r="AH92" s="199">
        <v>978.5</v>
      </c>
      <c r="AI92" s="199">
        <v>18871.5</v>
      </c>
      <c r="AJ92" s="152">
        <f>AI92+AH92</f>
        <v>19850</v>
      </c>
      <c r="AK92" s="313"/>
      <c r="AL92" s="313">
        <v>3398</v>
      </c>
      <c r="AM92" s="206">
        <v>24917</v>
      </c>
      <c r="AN92" s="152">
        <f>AM92+AL92</f>
        <v>28315</v>
      </c>
      <c r="AO92" s="151">
        <f>AN92-AJ92</f>
        <v>8465</v>
      </c>
    </row>
    <row r="93" spans="1:42" s="588" customFormat="1" ht="35.25" customHeight="1">
      <c r="A93" s="110"/>
      <c r="B93" s="112"/>
      <c r="C93" s="310" t="s">
        <v>112</v>
      </c>
      <c r="D93" s="155" t="s">
        <v>70</v>
      </c>
      <c r="E93" s="574">
        <v>42</v>
      </c>
      <c r="F93" s="276">
        <f>SUM(G93:J93)</f>
        <v>19850</v>
      </c>
      <c r="G93" s="199">
        <v>978.5</v>
      </c>
      <c r="H93" s="199"/>
      <c r="I93" s="199">
        <v>18871.5</v>
      </c>
      <c r="J93" s="199"/>
      <c r="K93" s="249"/>
      <c r="L93" s="271"/>
      <c r="M93" s="155" t="s">
        <v>70</v>
      </c>
      <c r="N93" s="574" t="s">
        <v>318</v>
      </c>
      <c r="O93" s="293">
        <f>SUM(P93:U93)</f>
        <v>20311</v>
      </c>
      <c r="P93" s="206">
        <v>2437.3200000000002</v>
      </c>
      <c r="Q93" s="199"/>
      <c r="R93" s="206">
        <v>17873.68</v>
      </c>
      <c r="S93" s="199"/>
      <c r="T93" s="249"/>
      <c r="U93" s="271"/>
      <c r="V93" s="198"/>
      <c r="W93" s="313"/>
      <c r="X93" s="275">
        <f t="shared" si="8"/>
        <v>461</v>
      </c>
      <c r="Y93" s="275">
        <f t="shared" si="8"/>
        <v>1458.8200000000002</v>
      </c>
      <c r="Z93" s="199"/>
      <c r="AA93" s="275">
        <f>R93-I93</f>
        <v>-997.81999999999971</v>
      </c>
      <c r="AB93" s="313"/>
      <c r="AC93" s="313"/>
      <c r="AD93" s="313"/>
      <c r="AG93" s="230" t="e">
        <f>P94/U94</f>
        <v>#DIV/0!</v>
      </c>
      <c r="AH93" s="199">
        <v>131</v>
      </c>
      <c r="AI93" s="199">
        <v>2528</v>
      </c>
      <c r="AJ93" s="152">
        <f>AI93+AH93</f>
        <v>2659</v>
      </c>
      <c r="AK93" s="313"/>
      <c r="AL93" s="313">
        <v>455</v>
      </c>
      <c r="AM93" s="206">
        <v>3337</v>
      </c>
      <c r="AN93" s="152">
        <f>AM93+AL93</f>
        <v>3792</v>
      </c>
      <c r="AO93" s="151">
        <f>AN93-AJ93</f>
        <v>1133</v>
      </c>
    </row>
    <row r="94" spans="1:42" s="588" customFormat="1" ht="19.5" customHeight="1">
      <c r="A94" s="110"/>
      <c r="B94" s="112"/>
      <c r="C94" s="310" t="s">
        <v>113</v>
      </c>
      <c r="D94" s="438" t="s">
        <v>114</v>
      </c>
      <c r="E94" s="495">
        <v>266</v>
      </c>
      <c r="F94" s="199">
        <f>SUM(G94:J94)</f>
        <v>2659</v>
      </c>
      <c r="G94" s="199">
        <v>131</v>
      </c>
      <c r="H94" s="199"/>
      <c r="I94" s="199">
        <v>2528</v>
      </c>
      <c r="J94" s="199"/>
      <c r="K94" s="249"/>
      <c r="L94" s="271"/>
      <c r="M94" s="273" t="s">
        <v>164</v>
      </c>
      <c r="N94" s="508">
        <v>318.2</v>
      </c>
      <c r="O94" s="293">
        <f>SUM(P94:U94)</f>
        <v>9729</v>
      </c>
      <c r="P94" s="206">
        <v>1167.48</v>
      </c>
      <c r="Q94" s="199"/>
      <c r="R94" s="206">
        <v>8561.52</v>
      </c>
      <c r="S94" s="199"/>
      <c r="T94" s="249"/>
      <c r="U94" s="271"/>
      <c r="V94" s="198"/>
      <c r="W94" s="313"/>
      <c r="X94" s="275">
        <f t="shared" si="8"/>
        <v>7070</v>
      </c>
      <c r="Y94" s="275">
        <f t="shared" si="8"/>
        <v>1036.48</v>
      </c>
      <c r="Z94" s="199"/>
      <c r="AA94" s="275">
        <f>R94-I94</f>
        <v>6033.52</v>
      </c>
      <c r="AB94" s="313"/>
      <c r="AC94" s="313"/>
      <c r="AD94" s="313"/>
      <c r="AG94" s="230" t="e">
        <f>#REF!/#REF!</f>
        <v>#REF!</v>
      </c>
      <c r="AH94" s="199"/>
      <c r="AI94" s="199"/>
      <c r="AJ94" s="152"/>
      <c r="AK94" s="313"/>
      <c r="AL94" s="313"/>
      <c r="AM94" s="206"/>
      <c r="AN94" s="152"/>
      <c r="AO94" s="151"/>
    </row>
    <row r="95" spans="1:42" s="588" customFormat="1" ht="15" customHeight="1">
      <c r="A95" s="110"/>
      <c r="B95" s="105">
        <v>7081</v>
      </c>
      <c r="C95" s="392" t="s">
        <v>16</v>
      </c>
      <c r="D95" s="491"/>
      <c r="E95" s="491"/>
      <c r="F95" s="491"/>
      <c r="G95" s="491"/>
      <c r="H95" s="491"/>
      <c r="I95" s="491"/>
      <c r="J95" s="491"/>
      <c r="K95" s="491"/>
      <c r="L95" s="491"/>
      <c r="M95" s="491"/>
      <c r="N95" s="491"/>
      <c r="O95" s="465"/>
      <c r="P95" s="491"/>
      <c r="Q95" s="491"/>
      <c r="R95" s="491"/>
      <c r="S95" s="491"/>
      <c r="T95" s="491"/>
      <c r="U95" s="491"/>
      <c r="AA95" s="275"/>
      <c r="AB95" s="391"/>
      <c r="AC95" s="391"/>
      <c r="AD95" s="314"/>
      <c r="AG95" s="230" t="e">
        <f>P96/U96</f>
        <v>#DIV/0!</v>
      </c>
      <c r="AH95" s="199">
        <v>18</v>
      </c>
      <c r="AI95" s="199">
        <v>360</v>
      </c>
      <c r="AJ95" s="152">
        <f>AI95+AH95</f>
        <v>378</v>
      </c>
      <c r="AK95" s="313"/>
      <c r="AL95" s="313">
        <v>65</v>
      </c>
      <c r="AM95" s="206">
        <v>475.36</v>
      </c>
      <c r="AN95" s="152">
        <f>AM95+AL95</f>
        <v>540.36</v>
      </c>
      <c r="AO95" s="151">
        <f>AN95-AJ95</f>
        <v>162.36000000000001</v>
      </c>
    </row>
    <row r="96" spans="1:42" s="588" customFormat="1" ht="21.75" customHeight="1">
      <c r="A96" s="110"/>
      <c r="B96" s="107"/>
      <c r="C96" s="310" t="s">
        <v>116</v>
      </c>
      <c r="D96" s="438" t="s">
        <v>114</v>
      </c>
      <c r="E96" s="495">
        <v>75.400000000000006</v>
      </c>
      <c r="F96" s="199">
        <f>SUM(G96:J96)</f>
        <v>378</v>
      </c>
      <c r="G96" s="199">
        <v>18</v>
      </c>
      <c r="H96" s="242"/>
      <c r="I96" s="199">
        <v>360</v>
      </c>
      <c r="J96" s="199"/>
      <c r="K96" s="249"/>
      <c r="L96" s="271"/>
      <c r="M96" s="273" t="s">
        <v>164</v>
      </c>
      <c r="N96" s="274">
        <v>143</v>
      </c>
      <c r="O96" s="293">
        <f t="shared" ref="O96:O102" si="9">SUM(P96:U96)</f>
        <v>2515</v>
      </c>
      <c r="P96" s="206">
        <v>301.8</v>
      </c>
      <c r="Q96" s="199"/>
      <c r="R96" s="206">
        <v>2213.1999999999998</v>
      </c>
      <c r="S96" s="199"/>
      <c r="T96" s="249"/>
      <c r="U96" s="271"/>
      <c r="V96" s="198"/>
      <c r="W96" s="192"/>
      <c r="X96" s="275">
        <f t="shared" ref="X96:Y102" si="10">O96-F96</f>
        <v>2137</v>
      </c>
      <c r="Y96" s="275">
        <f t="shared" si="10"/>
        <v>283.8</v>
      </c>
      <c r="Z96" s="199"/>
      <c r="AA96" s="275">
        <f t="shared" ref="AA96:AA101" si="11">R96-I96</f>
        <v>1853.1999999999998</v>
      </c>
      <c r="AB96" s="313"/>
      <c r="AC96" s="313"/>
      <c r="AD96" s="313"/>
      <c r="AG96" s="230" t="e">
        <f>P97/U97</f>
        <v>#DIV/0!</v>
      </c>
      <c r="AH96" s="199">
        <v>3</v>
      </c>
      <c r="AI96" s="199">
        <v>60</v>
      </c>
      <c r="AJ96" s="152">
        <f>AI96+AH96</f>
        <v>63</v>
      </c>
      <c r="AK96" s="313"/>
      <c r="AL96" s="313">
        <v>11</v>
      </c>
      <c r="AM96" s="206">
        <v>80</v>
      </c>
      <c r="AN96" s="152">
        <f>AM96+AL96</f>
        <v>91</v>
      </c>
      <c r="AO96" s="151">
        <f>AN96-AJ96</f>
        <v>28</v>
      </c>
    </row>
    <row r="97" spans="1:42" s="588" customFormat="1" ht="34.5" customHeight="1">
      <c r="A97" s="110"/>
      <c r="B97" s="107"/>
      <c r="C97" s="310" t="s">
        <v>117</v>
      </c>
      <c r="D97" s="438" t="s">
        <v>114</v>
      </c>
      <c r="E97" s="513">
        <v>1.55</v>
      </c>
      <c r="F97" s="199">
        <f>SUM(G97:J97)</f>
        <v>63</v>
      </c>
      <c r="G97" s="199">
        <v>3</v>
      </c>
      <c r="H97" s="242"/>
      <c r="I97" s="199">
        <v>60</v>
      </c>
      <c r="J97" s="199"/>
      <c r="K97" s="249"/>
      <c r="L97" s="271"/>
      <c r="M97" s="273" t="s">
        <v>164</v>
      </c>
      <c r="N97" s="274">
        <v>84.31</v>
      </c>
      <c r="O97" s="293">
        <f t="shared" si="9"/>
        <v>2550</v>
      </c>
      <c r="P97" s="206">
        <v>306</v>
      </c>
      <c r="Q97" s="199"/>
      <c r="R97" s="206">
        <v>2244</v>
      </c>
      <c r="S97" s="199"/>
      <c r="T97" s="249"/>
      <c r="U97" s="271"/>
      <c r="V97" s="198"/>
      <c r="W97" s="192"/>
      <c r="X97" s="275">
        <f t="shared" si="10"/>
        <v>2487</v>
      </c>
      <c r="Y97" s="275">
        <f t="shared" si="10"/>
        <v>303</v>
      </c>
      <c r="Z97" s="199"/>
      <c r="AA97" s="275">
        <f t="shared" si="11"/>
        <v>2184</v>
      </c>
      <c r="AB97" s="313"/>
      <c r="AC97" s="313"/>
      <c r="AD97" s="313"/>
      <c r="AG97" s="230" t="e">
        <f>P98/U98</f>
        <v>#DIV/0!</v>
      </c>
      <c r="AH97" s="199">
        <v>8.25</v>
      </c>
      <c r="AI97" s="199">
        <v>170.25</v>
      </c>
      <c r="AJ97" s="152">
        <f>AI97+AH97</f>
        <v>178.5</v>
      </c>
      <c r="AK97" s="313"/>
      <c r="AL97" s="313">
        <v>31</v>
      </c>
      <c r="AM97" s="206">
        <v>225</v>
      </c>
      <c r="AN97" s="152">
        <f>AM97+AL97</f>
        <v>256</v>
      </c>
      <c r="AO97" s="151">
        <f>AN97-AJ97</f>
        <v>77.5</v>
      </c>
    </row>
    <row r="98" spans="1:42" s="588" customFormat="1" ht="33" customHeight="1">
      <c r="A98" s="110"/>
      <c r="B98" s="107"/>
      <c r="C98" s="310" t="s">
        <v>118</v>
      </c>
      <c r="D98" s="438" t="s">
        <v>114</v>
      </c>
      <c r="E98" s="513">
        <v>8.09</v>
      </c>
      <c r="F98" s="199">
        <f>SUM(G98:J98)</f>
        <v>178.5</v>
      </c>
      <c r="G98" s="199">
        <v>8.25</v>
      </c>
      <c r="H98" s="242"/>
      <c r="I98" s="199">
        <v>170.25</v>
      </c>
      <c r="J98" s="199"/>
      <c r="K98" s="249"/>
      <c r="L98" s="271"/>
      <c r="M98" s="273" t="s">
        <v>164</v>
      </c>
      <c r="N98" s="505">
        <v>87.03</v>
      </c>
      <c r="O98" s="293">
        <f t="shared" si="9"/>
        <v>1785</v>
      </c>
      <c r="P98" s="206">
        <v>214.2</v>
      </c>
      <c r="Q98" s="199"/>
      <c r="R98" s="206">
        <v>1570.8</v>
      </c>
      <c r="S98" s="199"/>
      <c r="T98" s="249"/>
      <c r="U98" s="271"/>
      <c r="V98" s="198"/>
      <c r="W98" s="192"/>
      <c r="X98" s="275">
        <f t="shared" si="10"/>
        <v>1606.5</v>
      </c>
      <c r="Y98" s="275">
        <f t="shared" si="10"/>
        <v>205.95</v>
      </c>
      <c r="Z98" s="199"/>
      <c r="AA98" s="275">
        <f t="shared" si="11"/>
        <v>1400.55</v>
      </c>
      <c r="AB98" s="313"/>
      <c r="AC98" s="313"/>
      <c r="AD98" s="313"/>
      <c r="AG98" s="230" t="e">
        <f>P99/U99</f>
        <v>#DIV/0!</v>
      </c>
      <c r="AH98" s="199"/>
      <c r="AI98" s="199"/>
      <c r="AJ98" s="152"/>
      <c r="AK98" s="313"/>
      <c r="AL98" s="313"/>
      <c r="AM98" s="206"/>
      <c r="AN98" s="152"/>
      <c r="AO98" s="151"/>
    </row>
    <row r="99" spans="1:42" s="588" customFormat="1" ht="20.25" customHeight="1">
      <c r="A99" s="110"/>
      <c r="B99" s="107"/>
      <c r="C99" s="310" t="s">
        <v>119</v>
      </c>
      <c r="D99" s="438" t="s">
        <v>114</v>
      </c>
      <c r="E99" s="513">
        <v>342.3</v>
      </c>
      <c r="F99" s="276">
        <f>SUM(G99:J99)</f>
        <v>14758.550000000001</v>
      </c>
      <c r="G99" s="199">
        <v>726.6</v>
      </c>
      <c r="H99" s="242"/>
      <c r="I99" s="199">
        <v>14031.95</v>
      </c>
      <c r="J99" s="199"/>
      <c r="K99" s="249"/>
      <c r="L99" s="271"/>
      <c r="M99" s="273" t="s">
        <v>164</v>
      </c>
      <c r="N99" s="569">
        <v>263.24</v>
      </c>
      <c r="O99" s="293">
        <f t="shared" si="9"/>
        <v>11952.5</v>
      </c>
      <c r="P99" s="206">
        <v>1434.3</v>
      </c>
      <c r="Q99" s="199"/>
      <c r="R99" s="206">
        <v>10518.2</v>
      </c>
      <c r="S99" s="199"/>
      <c r="T99" s="249"/>
      <c r="U99" s="271"/>
      <c r="V99" s="198"/>
      <c r="W99" s="192"/>
      <c r="X99" s="275">
        <f t="shared" si="10"/>
        <v>-2806.0500000000011</v>
      </c>
      <c r="Y99" s="275">
        <f t="shared" si="10"/>
        <v>707.69999999999993</v>
      </c>
      <c r="Z99" s="275"/>
      <c r="AA99" s="275">
        <f t="shared" si="11"/>
        <v>-3513.75</v>
      </c>
      <c r="AB99" s="313"/>
      <c r="AC99" s="313"/>
      <c r="AD99" s="313"/>
      <c r="AG99" s="230" t="e">
        <f>#REF!/#REF!</f>
        <v>#REF!</v>
      </c>
      <c r="AH99" s="199"/>
      <c r="AI99" s="199"/>
      <c r="AJ99" s="152"/>
      <c r="AK99" s="313"/>
      <c r="AL99" s="313"/>
      <c r="AM99" s="206"/>
      <c r="AN99" s="152"/>
      <c r="AO99" s="151"/>
    </row>
    <row r="100" spans="1:42" s="588" customFormat="1" ht="18" customHeight="1">
      <c r="A100" s="110"/>
      <c r="B100" s="107"/>
      <c r="C100" s="310" t="s">
        <v>120</v>
      </c>
      <c r="D100" s="155" t="s">
        <v>70</v>
      </c>
      <c r="E100" s="237"/>
      <c r="F100" s="199"/>
      <c r="G100" s="199"/>
      <c r="H100" s="242"/>
      <c r="I100" s="199"/>
      <c r="J100" s="199"/>
      <c r="K100" s="249"/>
      <c r="L100" s="271"/>
      <c r="M100" s="155" t="s">
        <v>70</v>
      </c>
      <c r="N100" s="574">
        <v>8</v>
      </c>
      <c r="O100" s="293">
        <f t="shared" si="9"/>
        <v>166</v>
      </c>
      <c r="P100" s="206">
        <v>19.920000000000002</v>
      </c>
      <c r="Q100" s="199"/>
      <c r="R100" s="206">
        <v>146.08000000000001</v>
      </c>
      <c r="S100" s="199"/>
      <c r="T100" s="249"/>
      <c r="U100" s="271"/>
      <c r="V100" s="198"/>
      <c r="W100" s="192"/>
      <c r="X100" s="275">
        <f t="shared" si="10"/>
        <v>166</v>
      </c>
      <c r="Y100" s="275">
        <f t="shared" si="10"/>
        <v>19.920000000000002</v>
      </c>
      <c r="Z100" s="199"/>
      <c r="AA100" s="275">
        <f t="shared" si="11"/>
        <v>146.08000000000001</v>
      </c>
      <c r="AB100" s="313"/>
      <c r="AC100" s="313"/>
      <c r="AD100" s="313"/>
      <c r="AG100" s="230" t="e">
        <f>#REF!/#REF!</f>
        <v>#REF!</v>
      </c>
      <c r="AH100" s="199">
        <v>8.25</v>
      </c>
      <c r="AI100" s="199">
        <v>170.25</v>
      </c>
      <c r="AJ100" s="152">
        <f>AI100+AH100</f>
        <v>178.5</v>
      </c>
      <c r="AK100" s="313"/>
      <c r="AL100" s="313">
        <v>31</v>
      </c>
      <c r="AM100" s="206">
        <v>225</v>
      </c>
      <c r="AN100" s="152">
        <f>AM100+AL100</f>
        <v>256</v>
      </c>
      <c r="AO100" s="151">
        <f>AN100-AJ100</f>
        <v>77.5</v>
      </c>
    </row>
    <row r="101" spans="1:42" s="588" customFormat="1" ht="18" customHeight="1">
      <c r="A101" s="110"/>
      <c r="B101" s="107"/>
      <c r="C101" s="310" t="s">
        <v>123</v>
      </c>
      <c r="D101" s="155" t="s">
        <v>70</v>
      </c>
      <c r="E101" s="237"/>
      <c r="F101" s="199"/>
      <c r="G101" s="199"/>
      <c r="H101" s="242"/>
      <c r="I101" s="199"/>
      <c r="J101" s="199"/>
      <c r="K101" s="249"/>
      <c r="L101" s="271"/>
      <c r="M101" s="155" t="s">
        <v>70</v>
      </c>
      <c r="N101" s="574">
        <v>60</v>
      </c>
      <c r="O101" s="293">
        <f t="shared" si="9"/>
        <v>1380</v>
      </c>
      <c r="P101" s="206">
        <v>165.6</v>
      </c>
      <c r="Q101" s="199"/>
      <c r="R101" s="206">
        <v>1214.4000000000001</v>
      </c>
      <c r="S101" s="199"/>
      <c r="T101" s="249"/>
      <c r="U101" s="271"/>
      <c r="V101" s="198"/>
      <c r="W101" s="192"/>
      <c r="X101" s="275">
        <f t="shared" si="10"/>
        <v>1380</v>
      </c>
      <c r="Y101" s="275">
        <f t="shared" si="10"/>
        <v>165.6</v>
      </c>
      <c r="Z101" s="199"/>
      <c r="AA101" s="275">
        <f t="shared" si="11"/>
        <v>1214.4000000000001</v>
      </c>
      <c r="AB101" s="313"/>
      <c r="AC101" s="313"/>
      <c r="AD101" s="313"/>
      <c r="AH101" s="199">
        <v>726.6</v>
      </c>
      <c r="AI101" s="199">
        <v>14031.95</v>
      </c>
      <c r="AJ101" s="152">
        <f>AI101+AH101</f>
        <v>14758.550000000001</v>
      </c>
      <c r="AK101" s="313"/>
      <c r="AL101" s="313">
        <v>2526</v>
      </c>
      <c r="AM101" s="206">
        <v>18527</v>
      </c>
      <c r="AN101" s="152">
        <f>AM101+AL101</f>
        <v>21053</v>
      </c>
      <c r="AO101" s="151">
        <f>AN101-AJ101</f>
        <v>6294.4499999999989</v>
      </c>
    </row>
    <row r="102" spans="1:42" s="588" customFormat="1" ht="20.100000000000001" customHeight="1">
      <c r="A102" s="114"/>
      <c r="B102" s="108"/>
      <c r="C102" s="310" t="s">
        <v>124</v>
      </c>
      <c r="D102" s="438"/>
      <c r="E102" s="185" t="s">
        <v>308</v>
      </c>
      <c r="F102" s="199"/>
      <c r="G102" s="199"/>
      <c r="H102" s="242"/>
      <c r="I102" s="199"/>
      <c r="J102" s="199"/>
      <c r="K102" s="249"/>
      <c r="L102" s="271"/>
      <c r="M102" s="273"/>
      <c r="N102" s="574" t="s">
        <v>308</v>
      </c>
      <c r="O102" s="293">
        <f t="shared" si="9"/>
        <v>200</v>
      </c>
      <c r="P102" s="206">
        <v>200</v>
      </c>
      <c r="Q102" s="199"/>
      <c r="R102" s="206"/>
      <c r="S102" s="199"/>
      <c r="T102" s="249"/>
      <c r="U102" s="271"/>
      <c r="V102" s="198"/>
      <c r="W102" s="192"/>
      <c r="X102" s="275">
        <f t="shared" si="10"/>
        <v>200</v>
      </c>
      <c r="Y102" s="275">
        <f t="shared" si="10"/>
        <v>200</v>
      </c>
      <c r="Z102" s="199"/>
      <c r="AA102" s="199"/>
      <c r="AB102" s="313"/>
      <c r="AC102" s="313"/>
      <c r="AD102" s="313"/>
      <c r="AG102" s="83"/>
      <c r="AH102" s="212" t="e">
        <f>SUM(AH87:AH101)</f>
        <v>#REF!</v>
      </c>
      <c r="AI102" s="212" t="e">
        <f>SUM(AI87:AI101)</f>
        <v>#REF!</v>
      </c>
      <c r="AJ102" s="212" t="e">
        <f>SUM(AJ87:AJ101)</f>
        <v>#REF!</v>
      </c>
      <c r="AK102" s="153"/>
      <c r="AL102" s="212">
        <f>SUM(AL87:AL101)</f>
        <v>6889</v>
      </c>
      <c r="AM102" s="212">
        <f>SUM(AM87:AM101)</f>
        <v>50521.36</v>
      </c>
      <c r="AN102" s="212">
        <f>SUM(AN87:AN101)</f>
        <v>57410.36</v>
      </c>
      <c r="AO102" s="212" t="e">
        <f>SUM(AO87:AO101)</f>
        <v>#REF!</v>
      </c>
      <c r="AP102" s="83"/>
    </row>
    <row r="103" spans="1:42" s="83" customFormat="1" ht="20.100000000000001" customHeight="1">
      <c r="A103" s="722" t="s">
        <v>319</v>
      </c>
      <c r="B103" s="617"/>
      <c r="C103" s="618"/>
      <c r="D103" s="159"/>
      <c r="E103" s="235"/>
      <c r="F103" s="278">
        <f>SUM(F68:F102)</f>
        <v>70179.47</v>
      </c>
      <c r="G103" s="208">
        <f>SUM(G68:G102)</f>
        <v>33262.270000000004</v>
      </c>
      <c r="H103" s="238"/>
      <c r="I103" s="209">
        <f>SUM(I68:I102)</f>
        <v>36917.199999999997</v>
      </c>
      <c r="J103" s="209"/>
      <c r="K103" s="255"/>
      <c r="L103" s="255"/>
      <c r="M103" s="207"/>
      <c r="N103" s="453"/>
      <c r="O103" s="208">
        <f>SUM(O68:O102)</f>
        <v>78430.720000000001</v>
      </c>
      <c r="P103" s="208">
        <f>SUM(P68:P102)</f>
        <v>31645.959999999995</v>
      </c>
      <c r="Q103" s="209"/>
      <c r="R103" s="280">
        <f>SUM(R68:R102)</f>
        <v>46784.76</v>
      </c>
      <c r="S103" s="209"/>
      <c r="T103" s="255"/>
      <c r="U103" s="210"/>
      <c r="V103" s="207"/>
      <c r="W103" s="209"/>
      <c r="X103" s="280">
        <f>SUM(X68:X102)</f>
        <v>8251.2499999999982</v>
      </c>
      <c r="Y103" s="209">
        <f>SUM(Y68:Y102)</f>
        <v>-1616.3100000000004</v>
      </c>
      <c r="Z103" s="209"/>
      <c r="AA103" s="209">
        <f>SUM(AA68:AA102)</f>
        <v>9867.56</v>
      </c>
      <c r="AB103" s="209">
        <f>SUM(AB68:AB102)</f>
        <v>0</v>
      </c>
      <c r="AC103" s="262"/>
      <c r="AD103" s="262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</row>
    <row r="104" spans="1:42" s="84" customFormat="1" ht="15.75" customHeight="1">
      <c r="A104" s="722" t="s">
        <v>126</v>
      </c>
      <c r="B104" s="617"/>
      <c r="C104" s="618"/>
      <c r="D104" s="277"/>
      <c r="E104" s="442"/>
      <c r="F104" s="607">
        <f>SUM(F57+F103)</f>
        <v>85785.52</v>
      </c>
      <c r="G104" s="608">
        <f>SUM(G57+G103)</f>
        <v>38255.58</v>
      </c>
      <c r="H104" s="608"/>
      <c r="I104" s="608">
        <f>SUM(I57+I103)</f>
        <v>45533.14</v>
      </c>
      <c r="J104" s="608">
        <f>SUM(J57+J103)</f>
        <v>1996.8</v>
      </c>
      <c r="K104" s="284"/>
      <c r="L104" s="455"/>
      <c r="M104" s="286"/>
      <c r="N104" s="283"/>
      <c r="O104" s="608">
        <f>SUM(O57+O103)</f>
        <v>97204.86</v>
      </c>
      <c r="P104" s="608">
        <f>SUM(P57+P103)</f>
        <v>38218.14</v>
      </c>
      <c r="Q104" s="608"/>
      <c r="R104" s="607">
        <f>SUM(R57+R103)</f>
        <v>51085.32</v>
      </c>
      <c r="S104" s="607">
        <f>SUM(S57+S103)</f>
        <v>7901.4</v>
      </c>
      <c r="T104" s="284"/>
      <c r="U104" s="285"/>
      <c r="V104" s="286"/>
      <c r="W104" s="608"/>
      <c r="X104" s="607">
        <f>SUM(X57+X103)</f>
        <v>11419.339999999998</v>
      </c>
      <c r="Y104" s="607">
        <f>SUM(Y57+Y103)</f>
        <v>-37.440000000000509</v>
      </c>
      <c r="Z104" s="607"/>
      <c r="AA104" s="607">
        <f>SUM(AA57+AA103)</f>
        <v>5552.1799999999994</v>
      </c>
      <c r="AB104" s="607">
        <f>SUM(AB57+AB103)</f>
        <v>5904.5999999999995</v>
      </c>
      <c r="AC104" s="287"/>
      <c r="AD104" s="287"/>
    </row>
    <row r="105" spans="1:42" s="84" customFormat="1" ht="16.5" customHeight="1">
      <c r="A105" s="724" t="s">
        <v>127</v>
      </c>
      <c r="B105" s="617"/>
      <c r="C105" s="618"/>
      <c r="D105" s="277"/>
      <c r="E105" s="185" t="s">
        <v>308</v>
      </c>
      <c r="F105" s="276">
        <f>SUM(G105:J105)</f>
        <v>2857.84</v>
      </c>
      <c r="G105" s="212">
        <v>393.04</v>
      </c>
      <c r="H105" s="608"/>
      <c r="I105" s="213">
        <v>2464.8000000000002</v>
      </c>
      <c r="J105" s="608"/>
      <c r="K105" s="256"/>
      <c r="L105" s="281"/>
      <c r="M105" s="282"/>
      <c r="N105" s="243"/>
      <c r="O105" s="240">
        <f>SUM(P105:U105)</f>
        <v>258</v>
      </c>
      <c r="P105" s="212">
        <v>100</v>
      </c>
      <c r="Q105" s="203"/>
      <c r="R105" s="213">
        <v>158</v>
      </c>
      <c r="S105" s="203"/>
      <c r="T105" s="256"/>
      <c r="U105" s="204"/>
      <c r="V105" s="282"/>
      <c r="W105" s="203"/>
      <c r="X105" s="275">
        <f>O105-F105</f>
        <v>-2599.84</v>
      </c>
      <c r="Y105" s="275">
        <f>P105-G105</f>
        <v>-293.04000000000002</v>
      </c>
      <c r="Z105" s="199"/>
      <c r="AA105" s="275">
        <f>R105-I105</f>
        <v>-2306.8000000000002</v>
      </c>
      <c r="AB105" s="263"/>
      <c r="AC105" s="263"/>
      <c r="AD105" s="263"/>
    </row>
    <row r="106" spans="1:42" s="588" customFormat="1" ht="20.100000000000001" customHeight="1">
      <c r="A106" s="724" t="s">
        <v>128</v>
      </c>
      <c r="B106" s="617"/>
      <c r="C106" s="618"/>
      <c r="D106" s="160"/>
      <c r="E106" s="185" t="s">
        <v>308</v>
      </c>
      <c r="F106" s="276">
        <f>SUM(G106:J106)</f>
        <v>10694.36</v>
      </c>
      <c r="G106" s="212">
        <v>1243</v>
      </c>
      <c r="H106" s="239"/>
      <c r="I106" s="115">
        <v>9451.36</v>
      </c>
      <c r="J106" s="213"/>
      <c r="K106" s="257"/>
      <c r="L106" s="257"/>
      <c r="M106" s="198"/>
      <c r="N106" s="242"/>
      <c r="O106" s="240">
        <f>SUM(P106:U106)</f>
        <v>402.14</v>
      </c>
      <c r="P106" s="212">
        <v>100.76</v>
      </c>
      <c r="Q106" s="213"/>
      <c r="R106" s="213">
        <v>301.38</v>
      </c>
      <c r="S106" s="213"/>
      <c r="T106" s="257"/>
      <c r="U106" s="291"/>
      <c r="V106" s="148"/>
      <c r="W106" s="192"/>
      <c r="X106" s="275">
        <f>O106-F106</f>
        <v>-10292.220000000001</v>
      </c>
      <c r="Y106" s="275">
        <f>P106-G106</f>
        <v>-1142.24</v>
      </c>
      <c r="Z106" s="199"/>
      <c r="AA106" s="275">
        <f>R106-I106</f>
        <v>-9149.9800000000014</v>
      </c>
      <c r="AB106" s="313"/>
      <c r="AC106" s="313"/>
      <c r="AD106" s="313"/>
    </row>
    <row r="107" spans="1:42" s="84" customFormat="1" ht="20.25" customHeight="1">
      <c r="A107" s="234" t="s">
        <v>166</v>
      </c>
      <c r="B107" s="348"/>
      <c r="C107" s="529" t="s">
        <v>320</v>
      </c>
      <c r="D107" s="450"/>
      <c r="E107" s="450"/>
      <c r="F107" s="602">
        <f>SUM(F104:F106)</f>
        <v>99337.72</v>
      </c>
      <c r="G107" s="602">
        <f>SUM(G104:G106)</f>
        <v>39891.620000000003</v>
      </c>
      <c r="H107" s="453"/>
      <c r="I107" s="602">
        <f>SUM(I104:I106)</f>
        <v>57449.3</v>
      </c>
      <c r="J107" s="602">
        <f>SUM(J104:J106)</f>
        <v>1996.8</v>
      </c>
      <c r="K107" s="284"/>
      <c r="L107" s="284"/>
      <c r="M107" s="604"/>
      <c r="N107" s="283"/>
      <c r="O107" s="497">
        <f>O104+O105+O106</f>
        <v>97865</v>
      </c>
      <c r="P107" s="608">
        <f>SUM(P104:P106)</f>
        <v>38418.9</v>
      </c>
      <c r="Q107" s="208"/>
      <c r="R107" s="608">
        <f>SUM(R104:R106)</f>
        <v>51544.7</v>
      </c>
      <c r="S107" s="608">
        <f>SUM(S104:S106)</f>
        <v>7901.4</v>
      </c>
      <c r="T107" s="454"/>
      <c r="U107" s="455"/>
      <c r="V107" s="604"/>
      <c r="W107" s="600"/>
      <c r="X107" s="600">
        <f>SUM(X104:X106)</f>
        <v>-1472.720000000003</v>
      </c>
      <c r="Y107" s="456">
        <f>SUM(Y104:Y106)</f>
        <v>-1472.7200000000005</v>
      </c>
      <c r="Z107" s="600"/>
      <c r="AA107" s="608">
        <f>SUM(AA104:AA106)</f>
        <v>-5904.6000000000022</v>
      </c>
      <c r="AB107" s="608">
        <f>SUM(AB104:AB106)</f>
        <v>5904.5999999999995</v>
      </c>
      <c r="AC107" s="287"/>
      <c r="AD107" s="287"/>
    </row>
    <row r="108" spans="1:42" s="191" customFormat="1" ht="13.5" customHeight="1">
      <c r="A108" s="191" t="s">
        <v>321</v>
      </c>
      <c r="B108" s="165"/>
      <c r="D108" s="161"/>
      <c r="E108" s="161"/>
      <c r="F108" s="161"/>
      <c r="G108" s="451"/>
      <c r="H108" s="165"/>
      <c r="I108" s="451"/>
      <c r="J108" s="165"/>
      <c r="K108" s="165"/>
      <c r="L108" s="165"/>
      <c r="M108" s="452"/>
      <c r="N108" s="452"/>
      <c r="O108" s="452"/>
      <c r="P108" s="451"/>
      <c r="Q108" s="165"/>
      <c r="R108" s="451"/>
      <c r="S108" s="165"/>
      <c r="T108" s="165"/>
      <c r="U108" s="452"/>
      <c r="V108" s="452"/>
      <c r="W108" s="451"/>
      <c r="X108" s="165"/>
      <c r="Y108" s="451"/>
      <c r="Z108" s="165"/>
      <c r="AA108" s="452"/>
    </row>
    <row r="109" spans="1:42" ht="12.75" customHeight="1">
      <c r="A109" s="85"/>
      <c r="B109" s="85"/>
      <c r="C109" s="85"/>
      <c r="D109" s="162"/>
      <c r="E109" s="162"/>
      <c r="F109" s="162"/>
      <c r="G109" s="168"/>
      <c r="H109" s="168"/>
      <c r="I109" s="166"/>
      <c r="J109" s="167"/>
      <c r="K109" s="167"/>
      <c r="L109" s="167"/>
      <c r="M109" s="176"/>
      <c r="N109" s="176"/>
      <c r="O109" s="176"/>
      <c r="P109" s="168"/>
      <c r="Q109" s="168"/>
      <c r="R109" s="166"/>
      <c r="S109" s="167"/>
      <c r="T109" s="167"/>
      <c r="U109" s="176"/>
      <c r="V109" s="176"/>
      <c r="W109" s="168"/>
      <c r="X109" s="168"/>
      <c r="Y109" s="166"/>
      <c r="Z109" s="167"/>
      <c r="AA109" s="176"/>
    </row>
    <row r="110" spans="1:42" ht="5.25" customHeight="1">
      <c r="A110" s="168"/>
      <c r="B110" s="168"/>
      <c r="C110" s="85"/>
      <c r="D110" s="162"/>
      <c r="E110" s="162"/>
      <c r="F110" s="162"/>
      <c r="G110" s="168"/>
      <c r="H110" s="168"/>
      <c r="I110" s="168"/>
      <c r="J110" s="168"/>
      <c r="K110" s="168"/>
      <c r="L110" s="168"/>
      <c r="M110" s="177"/>
      <c r="N110" s="177"/>
      <c r="O110" s="177"/>
      <c r="P110" s="168"/>
      <c r="Q110" s="168"/>
      <c r="R110" s="168"/>
      <c r="S110" s="168"/>
      <c r="T110" s="168"/>
      <c r="U110" s="177"/>
      <c r="V110" s="177"/>
      <c r="W110" s="168"/>
      <c r="X110" s="168"/>
      <c r="Y110" s="168"/>
      <c r="Z110" s="168"/>
      <c r="AA110" s="177"/>
    </row>
    <row r="111" spans="1:42" ht="15.75" customHeight="1">
      <c r="A111" s="723"/>
      <c r="B111" s="631"/>
      <c r="C111" s="631"/>
      <c r="D111" s="631"/>
      <c r="E111" s="631"/>
      <c r="F111" s="631"/>
      <c r="G111" s="659"/>
      <c r="H111" s="631"/>
      <c r="I111" s="631"/>
      <c r="J111" s="631"/>
      <c r="K111" s="631"/>
      <c r="L111" s="631"/>
      <c r="M111" s="597"/>
      <c r="N111" s="597"/>
      <c r="O111" s="597"/>
      <c r="P111" s="178"/>
      <c r="U111" s="578"/>
      <c r="V111" s="597"/>
      <c r="W111" s="178"/>
      <c r="AA111" s="578"/>
    </row>
    <row r="112" spans="1:42" ht="21" customHeight="1">
      <c r="A112" s="85"/>
      <c r="B112" s="85"/>
      <c r="C112" s="85"/>
      <c r="D112" s="162"/>
      <c r="E112" s="162" t="s">
        <v>322</v>
      </c>
      <c r="F112" s="180">
        <f>SUM(F90:F101)+F54</f>
        <v>39124.800000000003</v>
      </c>
      <c r="G112" s="180">
        <f>SUM(G90:G101)+G54</f>
        <v>1926.6</v>
      </c>
      <c r="H112" s="169"/>
      <c r="I112" s="180">
        <f>SUM(I90:I101)+I54</f>
        <v>37198.199999999997</v>
      </c>
      <c r="M112" s="179"/>
      <c r="N112" s="179"/>
      <c r="O112" s="180">
        <f>SUM(O90:O101)+O54</f>
        <v>53527</v>
      </c>
      <c r="P112" s="180">
        <f>SUM(P90:P101)+P54</f>
        <v>6423.2400000000007</v>
      </c>
      <c r="Q112" s="169"/>
      <c r="R112" s="180">
        <f>SUM(R90:R101)+R54</f>
        <v>47103.76</v>
      </c>
      <c r="U112" s="170">
        <f>SUM(U106:U106)</f>
        <v>0</v>
      </c>
      <c r="V112" s="179"/>
      <c r="W112" s="169"/>
      <c r="X112" s="180">
        <f>SUM(X90:X101)+X54</f>
        <v>14402.199999999999</v>
      </c>
      <c r="Y112" s="180">
        <f>SUM(Y90:Y101)+Y54</f>
        <v>4496.6400000000003</v>
      </c>
      <c r="Z112" s="169"/>
      <c r="AA112" s="180">
        <f>SUM(AA90:AA101)+AA54</f>
        <v>9905.56</v>
      </c>
    </row>
    <row r="113" spans="1:27" ht="15" customHeight="1">
      <c r="A113" s="86"/>
      <c r="B113" s="86"/>
      <c r="C113" s="85"/>
      <c r="D113" s="162"/>
      <c r="E113" s="162"/>
      <c r="F113" s="162"/>
      <c r="G113" s="170"/>
      <c r="H113" s="169"/>
      <c r="I113" s="170"/>
      <c r="M113" s="170"/>
      <c r="N113" s="170"/>
      <c r="O113" s="170"/>
      <c r="P113" s="170"/>
      <c r="Q113" s="169"/>
      <c r="R113" s="170"/>
      <c r="V113" s="170"/>
      <c r="W113" s="170"/>
      <c r="X113" s="169"/>
      <c r="Y113" s="170"/>
      <c r="Z113" s="169"/>
      <c r="AA113" s="170"/>
    </row>
    <row r="114" spans="1:27" ht="15" customHeight="1">
      <c r="A114" s="87"/>
      <c r="B114" s="87"/>
      <c r="C114" s="88"/>
      <c r="D114" s="163"/>
      <c r="E114" s="163" t="s">
        <v>323</v>
      </c>
      <c r="F114" s="504">
        <f>F99+F98+F97+F96+F94+F93+F92+F54+F90+F100+F101+F102</f>
        <v>39124.800000000003</v>
      </c>
      <c r="G114" s="504">
        <f>G99+G98+G97+G96+G94+G93+G92+G54+G90+G100+G101+G102</f>
        <v>1926.6</v>
      </c>
      <c r="H114" s="169"/>
      <c r="I114" s="504">
        <f>I99+I98+I97+I96+I94+I93+I92+I54+I90+I100+I101+I102</f>
        <v>37198.199999999997</v>
      </c>
      <c r="J114" s="169"/>
      <c r="K114" s="169"/>
      <c r="L114" s="169"/>
      <c r="M114" s="171"/>
      <c r="N114" s="163" t="s">
        <v>323</v>
      </c>
      <c r="O114" s="504">
        <f>O99+O98+O97+O96+O94+O93+O92+O54+O90+O100+O101+O102</f>
        <v>53727</v>
      </c>
      <c r="P114" s="504">
        <f>P99+P98+P97+P96+P94+P93+P92+P54+P90+P100+P101+P102</f>
        <v>6623.2400000000007</v>
      </c>
      <c r="Q114" s="169"/>
      <c r="R114" s="504">
        <f>R99+R98+R97+R96+R94+R93+R92+R54+R90+R100+R101+R102</f>
        <v>47103.76</v>
      </c>
      <c r="S114" s="169"/>
      <c r="T114" s="169"/>
      <c r="U114" s="170">
        <f>U99+U98+U97+U96+U94+U93+U92+U54</f>
        <v>0</v>
      </c>
      <c r="V114" s="171"/>
      <c r="W114" s="163" t="s">
        <v>323</v>
      </c>
      <c r="X114" s="504">
        <f>X99+X98+X97+X96+X94+X93+X92+X54+X90+X100+X101+X102</f>
        <v>14602.199999999999</v>
      </c>
      <c r="Y114" s="504">
        <f>Y99+Y98+Y97+Y96+Y94+Y93+Y92+Y54+Y90+Y100+Y101+Y102</f>
        <v>4696.6400000000003</v>
      </c>
      <c r="Z114" s="169"/>
      <c r="AA114" s="504">
        <f>AA99+AA98+AA97+AA96+AA94+AA93+AA92+AA54+AA90+AA100+AA101+AA102</f>
        <v>9905.56</v>
      </c>
    </row>
    <row r="115" spans="1:27" ht="15" customHeight="1">
      <c r="A115" s="87"/>
      <c r="B115" s="87"/>
      <c r="C115" s="85" t="s">
        <v>166</v>
      </c>
      <c r="D115" s="162"/>
      <c r="E115" s="162"/>
      <c r="F115" s="162"/>
      <c r="G115" s="169"/>
      <c r="H115" s="169"/>
      <c r="I115" s="169"/>
      <c r="J115" s="169"/>
      <c r="K115" s="169"/>
      <c r="L115" s="169"/>
      <c r="M115" s="169"/>
      <c r="N115" s="169"/>
      <c r="O115" s="169"/>
      <c r="P115" s="169"/>
      <c r="Q115" s="169"/>
      <c r="R115" s="169"/>
      <c r="S115" s="169"/>
      <c r="T115" s="169"/>
      <c r="U115" s="169"/>
      <c r="V115" s="169"/>
      <c r="W115" s="169"/>
      <c r="X115" s="169"/>
      <c r="Y115" s="169"/>
      <c r="Z115" s="169"/>
      <c r="AA115" s="169"/>
    </row>
    <row r="116" spans="1:27" ht="15" customHeight="1">
      <c r="A116" s="87"/>
      <c r="B116" s="87"/>
      <c r="C116" s="85"/>
      <c r="D116" s="162"/>
      <c r="E116" s="162" t="s">
        <v>324</v>
      </c>
      <c r="F116" s="162"/>
      <c r="G116" s="170">
        <f>G114+G112</f>
        <v>3853.2</v>
      </c>
      <c r="H116" s="169"/>
      <c r="I116" s="170">
        <f>I114+I112</f>
        <v>74396.399999999994</v>
      </c>
      <c r="J116" s="169"/>
      <c r="K116" s="169"/>
      <c r="L116" s="169"/>
      <c r="M116" s="171"/>
      <c r="N116" s="171"/>
      <c r="O116" s="171"/>
      <c r="P116" s="170">
        <f>P114+P112</f>
        <v>13046.480000000001</v>
      </c>
      <c r="Q116" s="169"/>
      <c r="R116" s="170">
        <f>R114+R112</f>
        <v>94207.52</v>
      </c>
      <c r="S116" s="169"/>
      <c r="T116" s="169"/>
      <c r="U116" s="170">
        <f>U114+U121</f>
        <v>0</v>
      </c>
      <c r="V116" s="171"/>
      <c r="W116" s="169"/>
      <c r="X116" s="169"/>
      <c r="Y116" s="169"/>
      <c r="Z116" s="169"/>
      <c r="AA116" s="171"/>
    </row>
    <row r="117" spans="1:27" ht="15" customHeight="1">
      <c r="A117" s="172"/>
      <c r="B117" s="172"/>
      <c r="C117" s="172"/>
      <c r="G117" s="179"/>
      <c r="H117" s="172"/>
      <c r="I117" s="172"/>
      <c r="J117" s="172"/>
      <c r="K117" s="172"/>
      <c r="L117" s="172"/>
      <c r="M117" s="171"/>
      <c r="N117" s="171"/>
      <c r="O117" s="171"/>
      <c r="P117" s="179"/>
      <c r="Q117" s="172"/>
      <c r="R117" s="171"/>
      <c r="S117" s="172"/>
      <c r="T117" s="172"/>
      <c r="U117" s="171"/>
      <c r="V117" s="171"/>
      <c r="W117" s="179"/>
      <c r="X117" s="172"/>
      <c r="Y117" s="172"/>
      <c r="Z117" s="172"/>
      <c r="AA117" s="171"/>
    </row>
    <row r="118" spans="1:27" ht="15" customHeight="1">
      <c r="A118" s="172"/>
      <c r="B118" s="172"/>
      <c r="C118" s="89"/>
      <c r="D118" s="164"/>
      <c r="E118" s="164" t="s">
        <v>325</v>
      </c>
      <c r="F118" s="164"/>
      <c r="G118" s="358">
        <f>G107-G116</f>
        <v>36038.420000000006</v>
      </c>
      <c r="H118" s="172"/>
      <c r="I118" s="217">
        <f>I32+I33+I34+I35</f>
        <v>2430.34</v>
      </c>
      <c r="J118" s="172"/>
      <c r="K118" s="172"/>
      <c r="L118" s="172"/>
      <c r="M118" s="171"/>
      <c r="N118" s="171"/>
      <c r="O118" s="171"/>
      <c r="P118" s="179"/>
      <c r="Q118" s="172"/>
      <c r="R118" s="217">
        <f>R32+R33+R34+R35</f>
        <v>3981.56</v>
      </c>
      <c r="S118" s="172"/>
      <c r="T118" s="172"/>
      <c r="U118" s="171"/>
      <c r="V118" s="171"/>
      <c r="W118" s="179"/>
      <c r="X118" s="172"/>
      <c r="Y118" s="172"/>
      <c r="Z118" s="172"/>
      <c r="AA118" s="171"/>
    </row>
    <row r="119" spans="1:27" ht="15" customHeight="1">
      <c r="A119" s="172"/>
      <c r="B119" s="172"/>
      <c r="C119" s="172"/>
      <c r="G119" s="179"/>
      <c r="H119" s="172"/>
      <c r="I119" s="218">
        <f>I118+I116</f>
        <v>76826.739999999991</v>
      </c>
      <c r="J119" s="172"/>
      <c r="K119" s="172"/>
      <c r="L119" s="172"/>
      <c r="M119" s="171"/>
      <c r="N119" s="171"/>
      <c r="O119" s="171"/>
      <c r="P119" s="179"/>
      <c r="Q119" s="172"/>
      <c r="R119" s="218">
        <f>R118+R116</f>
        <v>98189.08</v>
      </c>
      <c r="S119" s="172"/>
      <c r="T119" s="172"/>
      <c r="U119" s="171"/>
      <c r="V119" s="171"/>
      <c r="W119" s="179"/>
      <c r="X119" s="172"/>
      <c r="Y119" s="172"/>
      <c r="Z119" s="172"/>
      <c r="AA119" s="171"/>
    </row>
    <row r="120" spans="1:27">
      <c r="R120" s="586"/>
    </row>
    <row r="121" spans="1:27" ht="15" customHeight="1">
      <c r="J121" s="87" t="s">
        <v>326</v>
      </c>
      <c r="K121" s="87"/>
      <c r="L121" s="87"/>
      <c r="R121" s="87" t="s">
        <v>326</v>
      </c>
      <c r="S121" s="179">
        <f>U54+U92+U96+U97+U98</f>
        <v>0</v>
      </c>
      <c r="T121" s="179"/>
    </row>
    <row r="122" spans="1:27" ht="14.25" customHeight="1">
      <c r="J122" s="87" t="s">
        <v>327</v>
      </c>
      <c r="K122" s="87"/>
      <c r="L122" s="87"/>
      <c r="R122" s="87" t="s">
        <v>327</v>
      </c>
      <c r="S122" s="219" t="e">
        <f>U93+U94+#REF!+U99+#REF!+#REF!+U100+#REF!</f>
        <v>#REF!</v>
      </c>
      <c r="T122" s="219"/>
    </row>
    <row r="123" spans="1:27" ht="15" customHeight="1">
      <c r="F123" s="502">
        <f>F33+F34+F35</f>
        <v>2191.8000000000002</v>
      </c>
      <c r="O123" s="502">
        <f>O33+O34+O35</f>
        <v>4253.43</v>
      </c>
      <c r="R123" s="502">
        <f>R33+R34+R35</f>
        <v>3743.02</v>
      </c>
      <c r="S123" s="217">
        <f>U101</f>
        <v>0</v>
      </c>
      <c r="T123" s="217"/>
    </row>
    <row r="124" spans="1:27">
      <c r="R124" s="586"/>
      <c r="S124" s="226" t="e">
        <f>SUM(S121:S123)</f>
        <v>#REF!</v>
      </c>
      <c r="T124" s="226"/>
    </row>
    <row r="125" spans="1:27">
      <c r="R125" s="586"/>
    </row>
    <row r="126" spans="1:27">
      <c r="G126" s="180"/>
      <c r="P126" s="180"/>
      <c r="R126" s="586"/>
      <c r="W126" s="180"/>
    </row>
    <row r="127" spans="1:27" s="173" customFormat="1">
      <c r="A127" s="578"/>
      <c r="B127" s="578"/>
      <c r="G127" s="180"/>
      <c r="M127" s="174"/>
      <c r="N127" s="174"/>
      <c r="O127" s="174"/>
      <c r="P127" s="180"/>
      <c r="R127" s="174"/>
      <c r="U127" s="174"/>
      <c r="V127" s="174"/>
      <c r="W127" s="180"/>
      <c r="AA127" s="174"/>
    </row>
    <row r="128" spans="1:27" s="173" customFormat="1">
      <c r="G128" s="180"/>
      <c r="M128" s="174"/>
      <c r="N128" s="174"/>
      <c r="O128" s="174"/>
      <c r="P128" s="180"/>
      <c r="U128" s="174"/>
      <c r="V128" s="174"/>
      <c r="W128" s="180"/>
      <c r="AA128" s="174"/>
    </row>
    <row r="129" spans="1:27" s="173" customFormat="1">
      <c r="G129" s="582"/>
      <c r="M129" s="174"/>
      <c r="N129" s="174"/>
      <c r="O129" s="174"/>
      <c r="P129" s="582"/>
      <c r="U129" s="174"/>
      <c r="V129" s="174"/>
      <c r="W129" s="582"/>
      <c r="AA129" s="174"/>
    </row>
    <row r="130" spans="1:27">
      <c r="A130" s="173"/>
      <c r="B130" s="173"/>
    </row>
    <row r="158" spans="9:27">
      <c r="I158" s="582"/>
      <c r="J158" s="582"/>
      <c r="K158" s="582"/>
      <c r="L158" s="582"/>
      <c r="M158" s="175"/>
      <c r="N158" s="175"/>
      <c r="O158" s="175"/>
      <c r="R158" s="582"/>
      <c r="S158" s="582"/>
      <c r="T158" s="582"/>
      <c r="U158" s="175"/>
      <c r="V158" s="175"/>
      <c r="Y158" s="582"/>
      <c r="Z158" s="582"/>
      <c r="AA158" s="175"/>
    </row>
    <row r="159" spans="9:27">
      <c r="I159" s="582"/>
      <c r="J159" s="582"/>
      <c r="K159" s="582"/>
      <c r="L159" s="582"/>
      <c r="M159" s="175"/>
      <c r="N159" s="175"/>
      <c r="O159" s="175"/>
      <c r="R159" s="582"/>
      <c r="S159" s="582"/>
      <c r="T159" s="582"/>
      <c r="U159" s="175"/>
      <c r="V159" s="175"/>
      <c r="Y159" s="582"/>
      <c r="Z159" s="582"/>
      <c r="AA159" s="175"/>
    </row>
    <row r="160" spans="9:27">
      <c r="I160" s="582"/>
      <c r="J160" s="582"/>
      <c r="K160" s="582"/>
      <c r="L160" s="582"/>
      <c r="M160" s="175"/>
      <c r="N160" s="175"/>
      <c r="O160" s="175"/>
      <c r="R160" s="582"/>
      <c r="S160" s="582"/>
      <c r="T160" s="582"/>
      <c r="U160" s="175"/>
      <c r="V160" s="175"/>
      <c r="Y160" s="582"/>
      <c r="Z160" s="582"/>
      <c r="AA160" s="175"/>
    </row>
    <row r="161" spans="9:27">
      <c r="I161" s="582"/>
      <c r="J161" s="582"/>
      <c r="K161" s="582"/>
      <c r="L161" s="582"/>
      <c r="M161" s="175"/>
      <c r="N161" s="175"/>
      <c r="O161" s="175"/>
      <c r="R161" s="582"/>
      <c r="S161" s="582"/>
      <c r="T161" s="582"/>
      <c r="U161" s="175"/>
      <c r="V161" s="175"/>
      <c r="Y161" s="582"/>
      <c r="Z161" s="582"/>
      <c r="AA161" s="175"/>
    </row>
    <row r="162" spans="9:27">
      <c r="I162" s="582"/>
      <c r="J162" s="582"/>
      <c r="K162" s="582"/>
      <c r="L162" s="582"/>
      <c r="M162" s="175"/>
      <c r="N162" s="175"/>
      <c r="O162" s="175"/>
      <c r="R162" s="582"/>
      <c r="S162" s="582"/>
      <c r="T162" s="582"/>
      <c r="U162" s="175"/>
      <c r="V162" s="175"/>
      <c r="Y162" s="582"/>
      <c r="Z162" s="582"/>
      <c r="AA162" s="175"/>
    </row>
    <row r="163" spans="9:27">
      <c r="I163" s="582"/>
      <c r="J163" s="582"/>
      <c r="K163" s="582"/>
      <c r="L163" s="582"/>
      <c r="M163" s="175"/>
      <c r="N163" s="175"/>
      <c r="O163" s="175"/>
      <c r="R163" s="582"/>
      <c r="S163" s="582"/>
      <c r="T163" s="582"/>
      <c r="U163" s="175"/>
      <c r="V163" s="175"/>
      <c r="Y163" s="582"/>
      <c r="Z163" s="582"/>
      <c r="AA163" s="175"/>
    </row>
    <row r="164" spans="9:27">
      <c r="I164" s="582"/>
      <c r="J164" s="582"/>
      <c r="K164" s="582"/>
      <c r="L164" s="582"/>
      <c r="M164" s="175"/>
      <c r="N164" s="175"/>
      <c r="O164" s="175"/>
      <c r="R164" s="582"/>
      <c r="S164" s="582"/>
      <c r="T164" s="582"/>
      <c r="U164" s="175"/>
      <c r="V164" s="175"/>
      <c r="Y164" s="582"/>
      <c r="Z164" s="582"/>
      <c r="AA164" s="175"/>
    </row>
    <row r="165" spans="9:27">
      <c r="I165" s="582"/>
      <c r="J165" s="582"/>
      <c r="K165" s="582"/>
      <c r="L165" s="582"/>
      <c r="M165" s="175"/>
      <c r="N165" s="175"/>
      <c r="O165" s="175"/>
      <c r="R165" s="582"/>
      <c r="S165" s="582"/>
      <c r="T165" s="582"/>
      <c r="U165" s="175"/>
      <c r="V165" s="175"/>
      <c r="Y165" s="582"/>
      <c r="Z165" s="582"/>
      <c r="AA165" s="175"/>
    </row>
    <row r="166" spans="9:27">
      <c r="I166" s="582"/>
      <c r="J166" s="582"/>
      <c r="K166" s="582"/>
      <c r="L166" s="582"/>
      <c r="M166" s="175"/>
      <c r="N166" s="175"/>
      <c r="O166" s="175"/>
      <c r="R166" s="582"/>
      <c r="S166" s="582"/>
      <c r="T166" s="582"/>
      <c r="U166" s="175"/>
      <c r="V166" s="175"/>
      <c r="Y166" s="582"/>
      <c r="Z166" s="582"/>
      <c r="AA166" s="175"/>
    </row>
    <row r="167" spans="9:27">
      <c r="I167" s="582"/>
      <c r="J167" s="582"/>
      <c r="K167" s="582"/>
      <c r="L167" s="582"/>
      <c r="M167" s="175"/>
      <c r="N167" s="175"/>
      <c r="O167" s="175"/>
      <c r="R167" s="582"/>
      <c r="S167" s="582"/>
      <c r="T167" s="582"/>
      <c r="U167" s="175"/>
      <c r="V167" s="175"/>
      <c r="Y167" s="582"/>
      <c r="Z167" s="582"/>
      <c r="AA167" s="175"/>
    </row>
    <row r="168" spans="9:27">
      <c r="I168" s="582"/>
      <c r="J168" s="582"/>
      <c r="K168" s="582"/>
      <c r="L168" s="582"/>
      <c r="M168" s="175"/>
      <c r="N168" s="175"/>
      <c r="O168" s="175"/>
      <c r="R168" s="582"/>
      <c r="S168" s="582"/>
      <c r="T168" s="582"/>
      <c r="U168" s="175"/>
      <c r="V168" s="175"/>
      <c r="Y168" s="582"/>
      <c r="Z168" s="582"/>
      <c r="AA168" s="175"/>
    </row>
    <row r="169" spans="9:27">
      <c r="I169" s="582"/>
      <c r="J169" s="582"/>
      <c r="K169" s="582"/>
      <c r="L169" s="582"/>
      <c r="M169" s="175"/>
      <c r="N169" s="175"/>
      <c r="O169" s="175"/>
      <c r="R169" s="582"/>
      <c r="S169" s="582"/>
      <c r="T169" s="582"/>
      <c r="U169" s="175"/>
      <c r="V169" s="175"/>
      <c r="Y169" s="582"/>
      <c r="Z169" s="582"/>
      <c r="AA169" s="175"/>
    </row>
    <row r="170" spans="9:27">
      <c r="I170" s="582"/>
      <c r="J170" s="582"/>
      <c r="K170" s="582"/>
      <c r="L170" s="582"/>
      <c r="M170" s="175"/>
      <c r="N170" s="175"/>
      <c r="O170" s="175"/>
      <c r="R170" s="582"/>
      <c r="S170" s="582"/>
      <c r="T170" s="582"/>
      <c r="U170" s="175"/>
      <c r="V170" s="175"/>
      <c r="Y170" s="582"/>
      <c r="Z170" s="582"/>
      <c r="AA170" s="175"/>
    </row>
    <row r="171" spans="9:27">
      <c r="I171" s="582"/>
      <c r="J171" s="582"/>
      <c r="K171" s="582"/>
      <c r="L171" s="582"/>
      <c r="M171" s="175"/>
      <c r="N171" s="175"/>
      <c r="O171" s="175"/>
      <c r="R171" s="582"/>
      <c r="S171" s="582"/>
      <c r="T171" s="582"/>
      <c r="U171" s="175"/>
      <c r="V171" s="175"/>
      <c r="Y171" s="582"/>
      <c r="Z171" s="582"/>
      <c r="AA171" s="175"/>
    </row>
    <row r="172" spans="9:27">
      <c r="I172" s="582"/>
      <c r="J172" s="582"/>
      <c r="K172" s="582"/>
      <c r="L172" s="582"/>
      <c r="M172" s="175"/>
      <c r="N172" s="175"/>
      <c r="O172" s="175"/>
      <c r="R172" s="582"/>
      <c r="S172" s="582"/>
      <c r="T172" s="582"/>
      <c r="U172" s="175"/>
      <c r="V172" s="175"/>
      <c r="Y172" s="582"/>
      <c r="Z172" s="582"/>
      <c r="AA172" s="175"/>
    </row>
    <row r="173" spans="9:27">
      <c r="I173" s="582"/>
      <c r="J173" s="582"/>
      <c r="K173" s="582"/>
      <c r="L173" s="582"/>
      <c r="M173" s="175"/>
      <c r="N173" s="175"/>
      <c r="O173" s="175"/>
      <c r="R173" s="582"/>
      <c r="S173" s="582"/>
      <c r="T173" s="582"/>
      <c r="U173" s="175"/>
      <c r="V173" s="175"/>
      <c r="Y173" s="582"/>
      <c r="Z173" s="582"/>
      <c r="AA173" s="175"/>
    </row>
    <row r="174" spans="9:27">
      <c r="I174" s="582"/>
      <c r="J174" s="582"/>
      <c r="K174" s="582"/>
      <c r="L174" s="582"/>
      <c r="M174" s="175"/>
      <c r="N174" s="175"/>
      <c r="O174" s="175"/>
      <c r="R174" s="582"/>
      <c r="S174" s="582"/>
      <c r="T174" s="582"/>
      <c r="U174" s="175"/>
      <c r="V174" s="175"/>
      <c r="Y174" s="582"/>
      <c r="Z174" s="582"/>
      <c r="AA174" s="175"/>
    </row>
    <row r="175" spans="9:27">
      <c r="I175" s="582"/>
      <c r="J175" s="582"/>
      <c r="K175" s="582"/>
      <c r="L175" s="582"/>
      <c r="M175" s="175"/>
      <c r="N175" s="175"/>
      <c r="O175" s="175"/>
      <c r="R175" s="582"/>
      <c r="S175" s="582"/>
      <c r="T175" s="582"/>
      <c r="U175" s="175"/>
      <c r="V175" s="175"/>
      <c r="Y175" s="582"/>
      <c r="Z175" s="582"/>
      <c r="AA175" s="175"/>
    </row>
    <row r="176" spans="9:27">
      <c r="I176" s="582"/>
      <c r="J176" s="582"/>
      <c r="K176" s="582"/>
      <c r="L176" s="582"/>
      <c r="M176" s="175"/>
      <c r="N176" s="175"/>
      <c r="O176" s="175"/>
      <c r="R176" s="582"/>
      <c r="S176" s="582"/>
      <c r="T176" s="582"/>
      <c r="U176" s="175"/>
      <c r="V176" s="175"/>
      <c r="Y176" s="582"/>
      <c r="Z176" s="582"/>
      <c r="AA176" s="175"/>
    </row>
  </sheetData>
  <mergeCells count="115">
    <mergeCell ref="A104:C104"/>
    <mergeCell ref="A111:L111"/>
    <mergeCell ref="A103:C103"/>
    <mergeCell ref="C88:AA88"/>
    <mergeCell ref="A106:C106"/>
    <mergeCell ref="X61:X63"/>
    <mergeCell ref="Y61:Y63"/>
    <mergeCell ref="A105:C105"/>
    <mergeCell ref="B66:AA66"/>
    <mergeCell ref="W60:W63"/>
    <mergeCell ref="C67:AA67"/>
    <mergeCell ref="B70:B71"/>
    <mergeCell ref="C72:AA72"/>
    <mergeCell ref="C75:AA75"/>
    <mergeCell ref="C79:AA79"/>
    <mergeCell ref="V60:V63"/>
    <mergeCell ref="A86:A87"/>
    <mergeCell ref="C86:AA86"/>
    <mergeCell ref="C70:AA70"/>
    <mergeCell ref="A15:A44"/>
    <mergeCell ref="B39:B41"/>
    <mergeCell ref="Q7:R7"/>
    <mergeCell ref="S7:S8"/>
    <mergeCell ref="M5:M8"/>
    <mergeCell ref="B11:C11"/>
    <mergeCell ref="B15:C15"/>
    <mergeCell ref="E60:E63"/>
    <mergeCell ref="J62:J63"/>
    <mergeCell ref="G57:G58"/>
    <mergeCell ref="M59:U59"/>
    <mergeCell ref="G61:G63"/>
    <mergeCell ref="H61:J61"/>
    <mergeCell ref="O60:U60"/>
    <mergeCell ref="N57:N58"/>
    <mergeCell ref="T61:T63"/>
    <mergeCell ref="K61:K63"/>
    <mergeCell ref="A11:A14"/>
    <mergeCell ref="B53:B54"/>
    <mergeCell ref="I57:I58"/>
    <mergeCell ref="J57:J58"/>
    <mergeCell ref="F57:F58"/>
    <mergeCell ref="A57:C58"/>
    <mergeCell ref="M57:M58"/>
    <mergeCell ref="B45:C45"/>
    <mergeCell ref="R57:R58"/>
    <mergeCell ref="S57:S58"/>
    <mergeCell ref="Z1:AA1"/>
    <mergeCell ref="X2:Y2"/>
    <mergeCell ref="A3:L3"/>
    <mergeCell ref="Q6:S6"/>
    <mergeCell ref="V5:V8"/>
    <mergeCell ref="V4:AD4"/>
    <mergeCell ref="X5:AD5"/>
    <mergeCell ref="X6:X8"/>
    <mergeCell ref="W5:W8"/>
    <mergeCell ref="A4:A8"/>
    <mergeCell ref="C4:C8"/>
    <mergeCell ref="B4:B8"/>
    <mergeCell ref="S1:U1"/>
    <mergeCell ref="M4:U4"/>
    <mergeCell ref="AD6:AD8"/>
    <mergeCell ref="A2:W2"/>
    <mergeCell ref="D5:D8"/>
    <mergeCell ref="N5:N8"/>
    <mergeCell ref="O5:U5"/>
    <mergeCell ref="J7:J8"/>
    <mergeCell ref="K6:K8"/>
    <mergeCell ref="H7:I7"/>
    <mergeCell ref="D4:L4"/>
    <mergeCell ref="Z6:AB6"/>
    <mergeCell ref="P6:P8"/>
    <mergeCell ref="T6:T8"/>
    <mergeCell ref="AC6:AC8"/>
    <mergeCell ref="U6:U8"/>
    <mergeCell ref="Z7:AA7"/>
    <mergeCell ref="AB7:AB8"/>
    <mergeCell ref="F6:F8"/>
    <mergeCell ref="E5:E8"/>
    <mergeCell ref="O6:O8"/>
    <mergeCell ref="G6:G8"/>
    <mergeCell ref="Y6:Y8"/>
    <mergeCell ref="L6:L8"/>
    <mergeCell ref="H6:J6"/>
    <mergeCell ref="F5:L5"/>
    <mergeCell ref="AC61:AC63"/>
    <mergeCell ref="AD61:AD63"/>
    <mergeCell ref="Q61:S61"/>
    <mergeCell ref="A59:A63"/>
    <mergeCell ref="B59:B63"/>
    <mergeCell ref="C59:C63"/>
    <mergeCell ref="D59:L59"/>
    <mergeCell ref="V59:AD59"/>
    <mergeCell ref="D60:D63"/>
    <mergeCell ref="H62:I62"/>
    <mergeCell ref="F61:F63"/>
    <mergeCell ref="N60:N63"/>
    <mergeCell ref="U61:U63"/>
    <mergeCell ref="F60:L60"/>
    <mergeCell ref="X60:AD60"/>
    <mergeCell ref="M60:M63"/>
    <mergeCell ref="X57:X58"/>
    <mergeCell ref="Y57:Y58"/>
    <mergeCell ref="AA57:AA58"/>
    <mergeCell ref="AB57:AB58"/>
    <mergeCell ref="Z62:AA62"/>
    <mergeCell ref="AB62:AB63"/>
    <mergeCell ref="L61:L63"/>
    <mergeCell ref="O61:O63"/>
    <mergeCell ref="Z61:AB61"/>
    <mergeCell ref="P61:P63"/>
    <mergeCell ref="Q62:R62"/>
    <mergeCell ref="S62:S63"/>
    <mergeCell ref="O57:O58"/>
    <mergeCell ref="Q57:Q58"/>
    <mergeCell ref="P57:P58"/>
  </mergeCells>
  <pageMargins left="0.41" right="0.16" top="0.51" bottom="0.2" header="0.3" footer="0.17"/>
  <pageSetup paperSize="9" scale="46" firstPageNumber="4" orientation="landscape" useFirstPageNumber="1"/>
  <headerFooter>
    <oddFooter>&amp;C&amp;20 P - &amp;P</oddFooter>
  </headerFooter>
  <rowBreaks count="2" manualBreakCount="2">
    <brk id="58" max="16383" man="1"/>
    <brk id="109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10" workbookViewId="0">
      <selection activeCell="B13" sqref="B13"/>
    </sheetView>
  </sheetViews>
  <sheetFormatPr defaultColWidth="13.85546875" defaultRowHeight="15.75"/>
  <cols>
    <col min="1" max="1" width="7.5703125" style="610" customWidth="1"/>
    <col min="2" max="2" width="16.28515625" style="610" customWidth="1"/>
    <col min="3" max="3" width="16.5703125" style="610" customWidth="1"/>
    <col min="4" max="4" width="15.140625" style="610" customWidth="1"/>
    <col min="5" max="5" width="16.85546875" style="610" customWidth="1"/>
    <col min="6" max="7" width="19.85546875" style="610" customWidth="1"/>
    <col min="8" max="8" width="6.85546875" style="610" customWidth="1"/>
    <col min="9" max="9" width="13.42578125" style="610" customWidth="1"/>
    <col min="10" max="10" width="11" style="610" customWidth="1"/>
    <col min="11" max="11" width="10.28515625" style="610" customWidth="1"/>
    <col min="12" max="20" width="13.85546875" style="610" customWidth="1"/>
    <col min="21" max="16384" width="13.85546875" style="610"/>
  </cols>
  <sheetData>
    <row r="1" spans="1:12" ht="18.75" customHeight="1">
      <c r="A1" s="728" t="s">
        <v>328</v>
      </c>
      <c r="B1" s="729"/>
      <c r="C1" s="729"/>
      <c r="D1" s="729"/>
      <c r="E1" s="729"/>
      <c r="F1" s="729"/>
      <c r="G1" s="612"/>
      <c r="H1" s="612"/>
      <c r="I1" s="612"/>
      <c r="J1" s="612"/>
      <c r="K1" s="612"/>
    </row>
    <row r="2" spans="1:12" ht="18.75" customHeight="1">
      <c r="A2" s="481"/>
      <c r="B2" s="481"/>
      <c r="C2" s="481"/>
      <c r="D2" s="481"/>
      <c r="E2" s="481"/>
      <c r="F2" s="481"/>
      <c r="G2" s="481"/>
      <c r="H2" s="481"/>
      <c r="I2" s="481"/>
      <c r="J2" s="481"/>
      <c r="K2" s="481"/>
    </row>
    <row r="3" spans="1:12" ht="18.75" customHeight="1">
      <c r="A3" s="730" t="s">
        <v>329</v>
      </c>
      <c r="B3" s="729"/>
      <c r="C3" s="729"/>
      <c r="D3" s="729"/>
      <c r="E3" s="729"/>
      <c r="F3" s="729"/>
      <c r="G3" s="613"/>
      <c r="H3" s="613"/>
      <c r="I3" s="613"/>
      <c r="J3" s="613"/>
      <c r="K3" s="613"/>
    </row>
    <row r="4" spans="1:12">
      <c r="A4" s="482"/>
      <c r="B4" s="482"/>
      <c r="C4" s="482"/>
      <c r="D4" s="482"/>
      <c r="E4" s="482"/>
      <c r="F4" s="482"/>
      <c r="G4" s="482"/>
      <c r="H4" s="482"/>
      <c r="I4" s="482"/>
      <c r="J4" s="482"/>
      <c r="K4" s="482"/>
    </row>
    <row r="5" spans="1:12">
      <c r="A5" s="731" t="s">
        <v>330</v>
      </c>
      <c r="B5" s="729"/>
      <c r="C5" s="731" t="s">
        <v>331</v>
      </c>
      <c r="D5" s="729"/>
      <c r="E5" s="729"/>
      <c r="F5" s="729"/>
      <c r="G5" s="609"/>
      <c r="H5" s="609"/>
      <c r="I5" s="609"/>
      <c r="J5" s="609"/>
      <c r="K5" s="609"/>
    </row>
    <row r="6" spans="1:12">
      <c r="A6" s="731" t="s">
        <v>332</v>
      </c>
      <c r="B6" s="729"/>
      <c r="C6" s="731" t="s">
        <v>333</v>
      </c>
      <c r="D6" s="729"/>
      <c r="E6" s="729"/>
      <c r="F6" s="729"/>
      <c r="G6" s="609"/>
      <c r="H6" s="609"/>
      <c r="I6" s="609"/>
      <c r="J6" s="609"/>
      <c r="K6" s="609"/>
    </row>
    <row r="7" spans="1:12">
      <c r="A7" s="731" t="s">
        <v>334</v>
      </c>
      <c r="B7" s="729"/>
      <c r="C7" s="733" t="s">
        <v>335</v>
      </c>
      <c r="D7" s="729"/>
      <c r="E7" s="729"/>
      <c r="F7" s="729"/>
      <c r="G7" s="611"/>
      <c r="H7" s="611"/>
      <c r="I7" s="611"/>
      <c r="J7" s="611"/>
      <c r="K7" s="611"/>
    </row>
    <row r="8" spans="1:12">
      <c r="A8" s="731" t="s">
        <v>336</v>
      </c>
      <c r="B8" s="729"/>
      <c r="C8" s="731" t="s">
        <v>337</v>
      </c>
      <c r="D8" s="729"/>
      <c r="E8" s="729"/>
      <c r="F8" s="729"/>
      <c r="G8" s="609"/>
      <c r="H8" s="609"/>
      <c r="I8" s="609"/>
      <c r="J8" s="609"/>
      <c r="K8" s="609"/>
    </row>
    <row r="9" spans="1:12">
      <c r="A9" s="731" t="s">
        <v>338</v>
      </c>
      <c r="B9" s="729"/>
      <c r="C9" s="731" t="s">
        <v>339</v>
      </c>
      <c r="D9" s="729"/>
      <c r="E9" s="729"/>
      <c r="F9" s="729"/>
      <c r="G9" s="609"/>
      <c r="H9" s="609"/>
      <c r="I9" s="609"/>
      <c r="J9" s="609"/>
      <c r="K9" s="609"/>
    </row>
    <row r="10" spans="1:12">
      <c r="F10" s="483" t="s">
        <v>340</v>
      </c>
      <c r="G10" s="483"/>
      <c r="H10" s="483"/>
      <c r="I10" s="483"/>
      <c r="J10" s="483"/>
      <c r="K10" s="483"/>
    </row>
    <row r="11" spans="1:12" ht="47.25" customHeight="1">
      <c r="A11" s="383" t="s">
        <v>279</v>
      </c>
      <c r="B11" s="383" t="s">
        <v>341</v>
      </c>
      <c r="C11" s="383" t="s">
        <v>342</v>
      </c>
      <c r="D11" s="383" t="s">
        <v>343</v>
      </c>
      <c r="E11" s="383" t="s">
        <v>344</v>
      </c>
      <c r="F11" s="383" t="s">
        <v>345</v>
      </c>
      <c r="G11" s="477"/>
      <c r="H11" s="479"/>
      <c r="I11" s="384" t="s">
        <v>346</v>
      </c>
      <c r="J11" s="384"/>
      <c r="K11" s="384"/>
      <c r="L11" s="384"/>
    </row>
    <row r="12" spans="1:12" s="483" customFormat="1">
      <c r="A12" s="384">
        <v>1</v>
      </c>
      <c r="B12" s="384">
        <v>2</v>
      </c>
      <c r="C12" s="384">
        <v>3</v>
      </c>
      <c r="D12" s="384">
        <v>4</v>
      </c>
      <c r="E12" s="384" t="s">
        <v>347</v>
      </c>
      <c r="F12" s="384" t="s">
        <v>348</v>
      </c>
      <c r="G12" s="484"/>
      <c r="H12" s="480"/>
      <c r="I12" s="474" t="s">
        <v>349</v>
      </c>
      <c r="J12" s="474" t="s">
        <v>17</v>
      </c>
      <c r="K12" s="474" t="s">
        <v>18</v>
      </c>
      <c r="L12" s="474" t="s">
        <v>12</v>
      </c>
    </row>
    <row r="13" spans="1:12">
      <c r="A13" s="384">
        <v>11</v>
      </c>
      <c r="B13" s="385">
        <v>59529.599999999999</v>
      </c>
      <c r="C13" s="385">
        <f t="shared" ref="C13:C42" si="0">$B$13/30</f>
        <v>1984.32</v>
      </c>
      <c r="D13" s="385">
        <f t="shared" ref="D13:D42" si="1">B13*0.01/100</f>
        <v>5.9529600000000009</v>
      </c>
      <c r="E13" s="385">
        <f t="shared" ref="E13:E43" si="2">C13+D13</f>
        <v>1990.27296</v>
      </c>
      <c r="F13" s="385">
        <f t="shared" ref="F13:F42" si="3">B13-C13</f>
        <v>57545.279999999999</v>
      </c>
      <c r="G13" s="485"/>
      <c r="H13" s="480" t="s">
        <v>350</v>
      </c>
      <c r="I13" s="474">
        <v>231.42</v>
      </c>
      <c r="J13" s="474"/>
      <c r="K13" s="474">
        <v>849.67</v>
      </c>
      <c r="L13" s="474">
        <f>SUM(I13:K13)</f>
        <v>1081.0899999999999</v>
      </c>
    </row>
    <row r="14" spans="1:12">
      <c r="A14" s="384">
        <v>12</v>
      </c>
      <c r="B14" s="385">
        <f t="shared" ref="B14:B42" si="4">F13</f>
        <v>57545.279999999999</v>
      </c>
      <c r="C14" s="385">
        <f t="shared" si="0"/>
        <v>1984.32</v>
      </c>
      <c r="D14" s="385">
        <f t="shared" si="1"/>
        <v>5.7545280000000005</v>
      </c>
      <c r="E14" s="385">
        <f t="shared" si="2"/>
        <v>1990.0745279999999</v>
      </c>
      <c r="F14" s="385">
        <f t="shared" si="3"/>
        <v>55560.959999999999</v>
      </c>
      <c r="G14" s="485"/>
      <c r="H14" s="480" t="s">
        <v>351</v>
      </c>
      <c r="I14" s="474">
        <v>375.2</v>
      </c>
      <c r="J14" s="474"/>
      <c r="K14" s="474"/>
      <c r="L14" s="474">
        <f>SUM(I14:K14)</f>
        <v>375.2</v>
      </c>
    </row>
    <row r="15" spans="1:12">
      <c r="A15" s="384">
        <v>13</v>
      </c>
      <c r="B15" s="385">
        <f t="shared" si="4"/>
        <v>55560.959999999999</v>
      </c>
      <c r="C15" s="385">
        <f t="shared" si="0"/>
        <v>1984.32</v>
      </c>
      <c r="D15" s="385">
        <f t="shared" si="1"/>
        <v>5.5560960000000001</v>
      </c>
      <c r="E15" s="385">
        <f t="shared" si="2"/>
        <v>1989.876096</v>
      </c>
      <c r="F15" s="385">
        <f t="shared" si="3"/>
        <v>53576.639999999999</v>
      </c>
      <c r="G15" s="485"/>
      <c r="H15" s="480" t="s">
        <v>12</v>
      </c>
      <c r="I15" s="474">
        <f>SUM(I13:I14)</f>
        <v>606.62</v>
      </c>
      <c r="J15" s="474">
        <f>SUM(J13:J14)</f>
        <v>0</v>
      </c>
      <c r="K15" s="474">
        <f>SUM(K13:K14)</f>
        <v>849.67</v>
      </c>
      <c r="L15" s="474">
        <f>SUM(L13:L14)</f>
        <v>1456.29</v>
      </c>
    </row>
    <row r="16" spans="1:12">
      <c r="A16" s="384">
        <v>14</v>
      </c>
      <c r="B16" s="385">
        <f t="shared" si="4"/>
        <v>53576.639999999999</v>
      </c>
      <c r="C16" s="385">
        <f t="shared" si="0"/>
        <v>1984.32</v>
      </c>
      <c r="D16" s="385">
        <f t="shared" si="1"/>
        <v>5.3576639999999998</v>
      </c>
      <c r="E16" s="385">
        <f t="shared" si="2"/>
        <v>1989.6776639999998</v>
      </c>
      <c r="F16" s="385">
        <f t="shared" si="3"/>
        <v>51592.32</v>
      </c>
      <c r="G16" s="485"/>
    </row>
    <row r="17" spans="1:12">
      <c r="A17" s="384">
        <v>15</v>
      </c>
      <c r="B17" s="385">
        <f t="shared" si="4"/>
        <v>51592.32</v>
      </c>
      <c r="C17" s="385">
        <f t="shared" si="0"/>
        <v>1984.32</v>
      </c>
      <c r="D17" s="385">
        <f t="shared" si="1"/>
        <v>5.1592319999999994</v>
      </c>
      <c r="E17" s="385">
        <f t="shared" si="2"/>
        <v>1989.4792319999999</v>
      </c>
      <c r="F17" s="385">
        <f t="shared" si="3"/>
        <v>49608</v>
      </c>
      <c r="G17" s="478"/>
      <c r="H17" s="479"/>
      <c r="I17" s="384" t="s">
        <v>352</v>
      </c>
      <c r="J17" s="384"/>
      <c r="K17" s="384"/>
      <c r="L17" s="384"/>
    </row>
    <row r="18" spans="1:12">
      <c r="A18" s="384">
        <v>16</v>
      </c>
      <c r="B18" s="385">
        <f t="shared" si="4"/>
        <v>49608</v>
      </c>
      <c r="C18" s="385">
        <f t="shared" si="0"/>
        <v>1984.32</v>
      </c>
      <c r="D18" s="385">
        <f t="shared" si="1"/>
        <v>4.9607999999999999</v>
      </c>
      <c r="E18" s="385">
        <f t="shared" si="2"/>
        <v>1989.2808</v>
      </c>
      <c r="F18" s="385">
        <f t="shared" si="3"/>
        <v>47623.68</v>
      </c>
      <c r="G18" s="485"/>
      <c r="H18" s="480"/>
      <c r="I18" s="474" t="s">
        <v>349</v>
      </c>
      <c r="J18" s="474" t="s">
        <v>17</v>
      </c>
      <c r="K18" s="474" t="s">
        <v>18</v>
      </c>
      <c r="L18" s="474" t="s">
        <v>12</v>
      </c>
    </row>
    <row r="19" spans="1:12">
      <c r="A19" s="384">
        <v>17</v>
      </c>
      <c r="B19" s="385">
        <f t="shared" si="4"/>
        <v>47623.68</v>
      </c>
      <c r="C19" s="385">
        <f t="shared" si="0"/>
        <v>1984.32</v>
      </c>
      <c r="D19" s="385">
        <f t="shared" si="1"/>
        <v>4.7623680000000004</v>
      </c>
      <c r="E19" s="385">
        <f t="shared" si="2"/>
        <v>1989.0823679999999</v>
      </c>
      <c r="F19" s="385">
        <f t="shared" si="3"/>
        <v>45639.360000000001</v>
      </c>
      <c r="G19" s="485"/>
      <c r="H19" s="480" t="s">
        <v>350</v>
      </c>
      <c r="I19" s="474">
        <v>635.09</v>
      </c>
      <c r="J19" s="474">
        <v>9.2200000000000006</v>
      </c>
      <c r="K19" s="474">
        <v>1849.43</v>
      </c>
      <c r="L19" s="474">
        <f>SUM(I19:K19)</f>
        <v>2493.7400000000002</v>
      </c>
    </row>
    <row r="20" spans="1:12">
      <c r="A20" s="384">
        <v>18</v>
      </c>
      <c r="B20" s="385">
        <f t="shared" si="4"/>
        <v>45639.360000000001</v>
      </c>
      <c r="C20" s="385">
        <f t="shared" si="0"/>
        <v>1984.32</v>
      </c>
      <c r="D20" s="385">
        <f t="shared" si="1"/>
        <v>4.563936</v>
      </c>
      <c r="E20" s="385">
        <f t="shared" si="2"/>
        <v>1988.8839359999999</v>
      </c>
      <c r="F20" s="385">
        <f t="shared" si="3"/>
        <v>43655.040000000001</v>
      </c>
      <c r="G20" s="485"/>
      <c r="H20" s="480" t="s">
        <v>351</v>
      </c>
      <c r="I20" s="474">
        <v>189.19</v>
      </c>
      <c r="J20" s="474"/>
      <c r="K20" s="474"/>
      <c r="L20" s="474">
        <f>SUM(I20:K20)</f>
        <v>189.19</v>
      </c>
    </row>
    <row r="21" spans="1:12">
      <c r="A21" s="384">
        <v>19</v>
      </c>
      <c r="B21" s="385">
        <f t="shared" si="4"/>
        <v>43655.040000000001</v>
      </c>
      <c r="C21" s="385">
        <f t="shared" si="0"/>
        <v>1984.32</v>
      </c>
      <c r="D21" s="385">
        <f t="shared" si="1"/>
        <v>4.3655040000000005</v>
      </c>
      <c r="E21" s="385">
        <f t="shared" si="2"/>
        <v>1988.685504</v>
      </c>
      <c r="F21" s="385">
        <f t="shared" si="3"/>
        <v>41670.720000000001</v>
      </c>
      <c r="G21" s="485"/>
      <c r="H21" s="480" t="s">
        <v>12</v>
      </c>
      <c r="I21" s="474">
        <f>SUM(I19:I20)</f>
        <v>824.28</v>
      </c>
      <c r="J21" s="474">
        <f>SUM(J19:J20)</f>
        <v>9.2200000000000006</v>
      </c>
      <c r="K21" s="474">
        <f>SUM(K19:K20)</f>
        <v>1849.43</v>
      </c>
      <c r="L21" s="474">
        <f>SUM(L19:L20)</f>
        <v>2682.9300000000003</v>
      </c>
    </row>
    <row r="22" spans="1:12">
      <c r="A22" s="384">
        <v>20</v>
      </c>
      <c r="B22" s="385">
        <f t="shared" si="4"/>
        <v>41670.720000000001</v>
      </c>
      <c r="C22" s="385">
        <f t="shared" si="0"/>
        <v>1984.32</v>
      </c>
      <c r="D22" s="385">
        <f t="shared" si="1"/>
        <v>4.1670720000000001</v>
      </c>
      <c r="E22" s="385">
        <f t="shared" si="2"/>
        <v>1988.4870719999999</v>
      </c>
      <c r="F22" s="385">
        <f t="shared" si="3"/>
        <v>39686.400000000001</v>
      </c>
      <c r="G22" s="485"/>
      <c r="H22" s="610" t="s">
        <v>353</v>
      </c>
      <c r="I22" s="610">
        <f>I15+I21</f>
        <v>1430.9</v>
      </c>
      <c r="J22" s="610">
        <f>J15+J21</f>
        <v>9.2200000000000006</v>
      </c>
      <c r="K22" s="610">
        <f>K15+K21</f>
        <v>2699.1</v>
      </c>
      <c r="L22" s="610">
        <f>L15+L21</f>
        <v>4139.22</v>
      </c>
    </row>
    <row r="23" spans="1:12">
      <c r="A23" s="384">
        <v>21</v>
      </c>
      <c r="B23" s="385">
        <f t="shared" si="4"/>
        <v>39686.400000000001</v>
      </c>
      <c r="C23" s="385">
        <f t="shared" si="0"/>
        <v>1984.32</v>
      </c>
      <c r="D23" s="385">
        <f t="shared" si="1"/>
        <v>3.9686400000000002</v>
      </c>
      <c r="E23" s="385">
        <f t="shared" si="2"/>
        <v>1988.28864</v>
      </c>
      <c r="F23" s="385">
        <f t="shared" si="3"/>
        <v>37702.080000000002</v>
      </c>
      <c r="G23" s="478"/>
    </row>
    <row r="24" spans="1:12">
      <c r="A24" s="384">
        <v>22</v>
      </c>
      <c r="B24" s="385">
        <f t="shared" si="4"/>
        <v>37702.080000000002</v>
      </c>
      <c r="C24" s="385">
        <f t="shared" si="0"/>
        <v>1984.32</v>
      </c>
      <c r="D24" s="385">
        <f t="shared" si="1"/>
        <v>3.7702080000000002</v>
      </c>
      <c r="E24" s="385">
        <f t="shared" si="2"/>
        <v>1988.0902079999998</v>
      </c>
      <c r="F24" s="385">
        <f t="shared" si="3"/>
        <v>35717.760000000002</v>
      </c>
      <c r="G24" s="478"/>
    </row>
    <row r="25" spans="1:12">
      <c r="A25" s="384">
        <v>23</v>
      </c>
      <c r="B25" s="385">
        <f t="shared" si="4"/>
        <v>35717.760000000002</v>
      </c>
      <c r="C25" s="385">
        <f t="shared" si="0"/>
        <v>1984.32</v>
      </c>
      <c r="D25" s="385">
        <f t="shared" si="1"/>
        <v>3.5717760000000003</v>
      </c>
      <c r="E25" s="385">
        <f t="shared" si="2"/>
        <v>1987.8917759999999</v>
      </c>
      <c r="F25" s="385">
        <f t="shared" si="3"/>
        <v>33733.440000000002</v>
      </c>
      <c r="G25" s="478"/>
      <c r="H25" s="479"/>
      <c r="I25" s="384" t="s">
        <v>354</v>
      </c>
      <c r="J25" s="384"/>
      <c r="K25" s="384"/>
      <c r="L25" s="384"/>
    </row>
    <row r="26" spans="1:12">
      <c r="A26" s="384">
        <v>24</v>
      </c>
      <c r="B26" s="385">
        <f t="shared" si="4"/>
        <v>33733.440000000002</v>
      </c>
      <c r="C26" s="385">
        <f t="shared" si="0"/>
        <v>1984.32</v>
      </c>
      <c r="D26" s="385">
        <f t="shared" si="1"/>
        <v>3.3733440000000003</v>
      </c>
      <c r="E26" s="385">
        <f t="shared" si="2"/>
        <v>1987.693344</v>
      </c>
      <c r="F26" s="385">
        <f t="shared" si="3"/>
        <v>31749.120000000003</v>
      </c>
      <c r="G26" s="485"/>
      <c r="H26" s="480"/>
      <c r="I26" s="474" t="s">
        <v>349</v>
      </c>
      <c r="J26" s="474" t="s">
        <v>17</v>
      </c>
      <c r="K26" s="474" t="s">
        <v>18</v>
      </c>
      <c r="L26" s="474" t="s">
        <v>12</v>
      </c>
    </row>
    <row r="27" spans="1:12">
      <c r="A27" s="384">
        <v>25</v>
      </c>
      <c r="B27" s="385">
        <f t="shared" si="4"/>
        <v>31749.120000000003</v>
      </c>
      <c r="C27" s="385">
        <f t="shared" si="0"/>
        <v>1984.32</v>
      </c>
      <c r="D27" s="385">
        <f t="shared" si="1"/>
        <v>3.1749120000000004</v>
      </c>
      <c r="E27" s="385">
        <f t="shared" si="2"/>
        <v>1987.4949119999999</v>
      </c>
      <c r="F27" s="385">
        <f t="shared" si="3"/>
        <v>29764.800000000003</v>
      </c>
      <c r="G27" s="485"/>
      <c r="H27" s="480" t="s">
        <v>350</v>
      </c>
      <c r="I27" s="474">
        <v>703.95</v>
      </c>
      <c r="J27" s="474">
        <v>401.59</v>
      </c>
      <c r="K27" s="474">
        <v>1093.1500000000001</v>
      </c>
      <c r="L27" s="474">
        <f>SUM(I27:K27)</f>
        <v>2198.69</v>
      </c>
    </row>
    <row r="28" spans="1:12">
      <c r="A28" s="384">
        <v>26</v>
      </c>
      <c r="B28" s="385">
        <f t="shared" si="4"/>
        <v>29764.800000000003</v>
      </c>
      <c r="C28" s="385">
        <f t="shared" si="0"/>
        <v>1984.32</v>
      </c>
      <c r="D28" s="385">
        <f t="shared" si="1"/>
        <v>2.9764800000000005</v>
      </c>
      <c r="E28" s="385">
        <f t="shared" si="2"/>
        <v>1987.29648</v>
      </c>
      <c r="F28" s="385">
        <f t="shared" si="3"/>
        <v>27780.480000000003</v>
      </c>
      <c r="G28" s="485"/>
      <c r="H28" s="480" t="s">
        <v>351</v>
      </c>
      <c r="I28" s="474">
        <v>4854.6000000000004</v>
      </c>
      <c r="J28" s="474">
        <v>860.19</v>
      </c>
      <c r="K28" s="474"/>
      <c r="L28" s="474">
        <f>SUM(I28:K28)</f>
        <v>5714.7900000000009</v>
      </c>
    </row>
    <row r="29" spans="1:12">
      <c r="A29" s="384">
        <v>27</v>
      </c>
      <c r="B29" s="385">
        <f t="shared" si="4"/>
        <v>27780.480000000003</v>
      </c>
      <c r="C29" s="385">
        <f t="shared" si="0"/>
        <v>1984.32</v>
      </c>
      <c r="D29" s="385">
        <f t="shared" si="1"/>
        <v>2.7780480000000005</v>
      </c>
      <c r="E29" s="385">
        <f t="shared" si="2"/>
        <v>1987.0980479999998</v>
      </c>
      <c r="F29" s="385">
        <f t="shared" si="3"/>
        <v>25796.160000000003</v>
      </c>
      <c r="G29" s="485"/>
      <c r="H29" s="480" t="s">
        <v>12</v>
      </c>
      <c r="I29" s="474">
        <f>SUM(I27:I28)</f>
        <v>5558.55</v>
      </c>
      <c r="J29" s="474">
        <f>SUM(J27:J28)</f>
        <v>1261.78</v>
      </c>
      <c r="K29" s="474">
        <f>SUM(K27:K28)</f>
        <v>1093.1500000000001</v>
      </c>
      <c r="L29" s="474">
        <f>SUM(L27:L28)</f>
        <v>7913.4800000000014</v>
      </c>
    </row>
    <row r="30" spans="1:12">
      <c r="A30" s="384">
        <v>28</v>
      </c>
      <c r="B30" s="385">
        <f t="shared" si="4"/>
        <v>25796.160000000003</v>
      </c>
      <c r="C30" s="385">
        <f t="shared" si="0"/>
        <v>1984.32</v>
      </c>
      <c r="D30" s="385">
        <f t="shared" si="1"/>
        <v>2.5796160000000001</v>
      </c>
      <c r="E30" s="385">
        <f t="shared" si="2"/>
        <v>1986.8996159999999</v>
      </c>
      <c r="F30" s="385">
        <f t="shared" si="3"/>
        <v>23811.840000000004</v>
      </c>
      <c r="G30" s="485"/>
      <c r="H30" s="610" t="s">
        <v>353</v>
      </c>
      <c r="I30" s="610">
        <f>I22+I29</f>
        <v>6989.4500000000007</v>
      </c>
      <c r="J30" s="610">
        <f>J22+J29</f>
        <v>1271</v>
      </c>
      <c r="K30" s="610">
        <f>K22+K29</f>
        <v>3792.25</v>
      </c>
      <c r="L30" s="610">
        <f>L22+L29</f>
        <v>12052.7</v>
      </c>
    </row>
    <row r="31" spans="1:12">
      <c r="A31" s="384">
        <v>29</v>
      </c>
      <c r="B31" s="385">
        <f t="shared" si="4"/>
        <v>23811.840000000004</v>
      </c>
      <c r="C31" s="385">
        <f t="shared" si="0"/>
        <v>1984.32</v>
      </c>
      <c r="D31" s="385">
        <f t="shared" si="1"/>
        <v>2.3811840000000002</v>
      </c>
      <c r="E31" s="385">
        <f t="shared" si="2"/>
        <v>1986.701184</v>
      </c>
      <c r="F31" s="385">
        <f t="shared" si="3"/>
        <v>21827.520000000004</v>
      </c>
      <c r="G31" s="478"/>
    </row>
    <row r="32" spans="1:12">
      <c r="A32" s="384">
        <v>30</v>
      </c>
      <c r="B32" s="385">
        <f t="shared" si="4"/>
        <v>21827.520000000004</v>
      </c>
      <c r="C32" s="385">
        <f t="shared" si="0"/>
        <v>1984.32</v>
      </c>
      <c r="D32" s="385">
        <f t="shared" si="1"/>
        <v>2.1827520000000002</v>
      </c>
      <c r="E32" s="385">
        <f t="shared" si="2"/>
        <v>1986.5027519999999</v>
      </c>
      <c r="F32" s="385">
        <f t="shared" si="3"/>
        <v>19843.200000000004</v>
      </c>
      <c r="G32" s="478"/>
      <c r="H32" s="479" t="s">
        <v>355</v>
      </c>
      <c r="I32" s="384" t="s">
        <v>356</v>
      </c>
      <c r="J32" s="384"/>
      <c r="K32" s="384"/>
      <c r="L32" s="384"/>
    </row>
    <row r="33" spans="1:12">
      <c r="A33" s="384">
        <v>31</v>
      </c>
      <c r="B33" s="385">
        <f t="shared" si="4"/>
        <v>19843.200000000004</v>
      </c>
      <c r="C33" s="385">
        <f t="shared" si="0"/>
        <v>1984.32</v>
      </c>
      <c r="D33" s="385">
        <f t="shared" si="1"/>
        <v>1.9843200000000005</v>
      </c>
      <c r="E33" s="385">
        <f t="shared" si="2"/>
        <v>1986.30432</v>
      </c>
      <c r="F33" s="385">
        <f t="shared" si="3"/>
        <v>17858.880000000005</v>
      </c>
      <c r="G33" s="485"/>
      <c r="H33" s="480"/>
      <c r="I33" s="474" t="s">
        <v>349</v>
      </c>
      <c r="J33" s="474" t="s">
        <v>17</v>
      </c>
      <c r="K33" s="474" t="s">
        <v>18</v>
      </c>
      <c r="L33" s="474" t="s">
        <v>12</v>
      </c>
    </row>
    <row r="34" spans="1:12">
      <c r="A34" s="384">
        <v>32</v>
      </c>
      <c r="B34" s="385">
        <f t="shared" si="4"/>
        <v>17858.880000000005</v>
      </c>
      <c r="C34" s="385">
        <f t="shared" si="0"/>
        <v>1984.32</v>
      </c>
      <c r="D34" s="385">
        <f t="shared" si="1"/>
        <v>1.7858880000000006</v>
      </c>
      <c r="E34" s="385">
        <f t="shared" si="2"/>
        <v>1986.105888</v>
      </c>
      <c r="F34" s="385">
        <f t="shared" si="3"/>
        <v>15874.560000000005</v>
      </c>
      <c r="G34" s="485"/>
      <c r="H34" s="480" t="s">
        <v>350</v>
      </c>
      <c r="I34" s="474">
        <v>700</v>
      </c>
      <c r="J34" s="474">
        <v>800</v>
      </c>
      <c r="K34" s="474">
        <v>800</v>
      </c>
      <c r="L34" s="474">
        <f>SUM(I34:K34)</f>
        <v>2300</v>
      </c>
    </row>
    <row r="35" spans="1:12">
      <c r="A35" s="384">
        <v>33</v>
      </c>
      <c r="B35" s="385">
        <f t="shared" si="4"/>
        <v>15874.560000000005</v>
      </c>
      <c r="C35" s="385">
        <f t="shared" si="0"/>
        <v>1984.32</v>
      </c>
      <c r="D35" s="385">
        <f t="shared" si="1"/>
        <v>1.5874560000000004</v>
      </c>
      <c r="E35" s="385">
        <f t="shared" si="2"/>
        <v>1985.9074559999999</v>
      </c>
      <c r="F35" s="385">
        <f t="shared" si="3"/>
        <v>13890.240000000005</v>
      </c>
      <c r="G35" s="485"/>
      <c r="H35" s="480" t="s">
        <v>351</v>
      </c>
      <c r="I35" s="474">
        <v>10300</v>
      </c>
      <c r="J35" s="474">
        <v>7400</v>
      </c>
      <c r="K35" s="474"/>
      <c r="L35" s="474">
        <f>SUM(I35:K35)</f>
        <v>17700</v>
      </c>
    </row>
    <row r="36" spans="1:12">
      <c r="A36" s="384">
        <v>34</v>
      </c>
      <c r="B36" s="385">
        <f t="shared" si="4"/>
        <v>13890.240000000005</v>
      </c>
      <c r="C36" s="385">
        <f t="shared" si="0"/>
        <v>1984.32</v>
      </c>
      <c r="D36" s="385">
        <f t="shared" si="1"/>
        <v>1.3890240000000005</v>
      </c>
      <c r="E36" s="385">
        <f t="shared" si="2"/>
        <v>1985.709024</v>
      </c>
      <c r="F36" s="385">
        <f t="shared" si="3"/>
        <v>11905.920000000006</v>
      </c>
      <c r="G36" s="485"/>
      <c r="H36" s="480" t="s">
        <v>12</v>
      </c>
      <c r="I36" s="474">
        <f>SUM(I34:I35)</f>
        <v>11000</v>
      </c>
      <c r="J36" s="474">
        <f>SUM(J34:J35)</f>
        <v>8200</v>
      </c>
      <c r="K36" s="474">
        <f>SUM(K34:K35)</f>
        <v>800</v>
      </c>
      <c r="L36" s="474">
        <f>SUM(L34:L35)</f>
        <v>20000</v>
      </c>
    </row>
    <row r="37" spans="1:12">
      <c r="A37" s="384">
        <v>35</v>
      </c>
      <c r="B37" s="385">
        <f t="shared" si="4"/>
        <v>11905.920000000006</v>
      </c>
      <c r="C37" s="385">
        <f t="shared" si="0"/>
        <v>1984.32</v>
      </c>
      <c r="D37" s="385">
        <f t="shared" si="1"/>
        <v>1.1905920000000005</v>
      </c>
      <c r="E37" s="385">
        <f t="shared" si="2"/>
        <v>1985.5105919999999</v>
      </c>
      <c r="F37" s="385">
        <f t="shared" si="3"/>
        <v>9921.6000000000058</v>
      </c>
      <c r="G37" s="485"/>
    </row>
    <row r="38" spans="1:12">
      <c r="A38" s="384">
        <v>36</v>
      </c>
      <c r="B38" s="385">
        <f t="shared" si="4"/>
        <v>9921.6000000000058</v>
      </c>
      <c r="C38" s="385">
        <f t="shared" si="0"/>
        <v>1984.32</v>
      </c>
      <c r="D38" s="385">
        <f t="shared" si="1"/>
        <v>0.9921600000000006</v>
      </c>
      <c r="E38" s="385">
        <f t="shared" si="2"/>
        <v>1985.3121599999999</v>
      </c>
      <c r="F38" s="385">
        <f t="shared" si="3"/>
        <v>7937.2800000000061</v>
      </c>
      <c r="G38" s="478"/>
      <c r="H38" s="479"/>
      <c r="I38" s="384" t="s">
        <v>357</v>
      </c>
      <c r="J38" s="384"/>
      <c r="K38" s="384"/>
      <c r="L38" s="384"/>
    </row>
    <row r="39" spans="1:12">
      <c r="A39" s="384">
        <v>37</v>
      </c>
      <c r="B39" s="385">
        <f t="shared" si="4"/>
        <v>7937.2800000000061</v>
      </c>
      <c r="C39" s="385">
        <f t="shared" si="0"/>
        <v>1984.32</v>
      </c>
      <c r="D39" s="385">
        <f t="shared" si="1"/>
        <v>0.79372800000000066</v>
      </c>
      <c r="E39" s="385">
        <f t="shared" si="2"/>
        <v>1985.113728</v>
      </c>
      <c r="F39" s="385">
        <f t="shared" si="3"/>
        <v>5952.9600000000064</v>
      </c>
      <c r="G39" s="485"/>
      <c r="H39" s="480"/>
      <c r="I39" s="474" t="s">
        <v>349</v>
      </c>
      <c r="J39" s="474" t="s">
        <v>17</v>
      </c>
      <c r="K39" s="474" t="s">
        <v>18</v>
      </c>
      <c r="L39" s="474" t="s">
        <v>12</v>
      </c>
    </row>
    <row r="40" spans="1:12">
      <c r="A40" s="384">
        <v>38</v>
      </c>
      <c r="B40" s="385">
        <f t="shared" si="4"/>
        <v>5952.9600000000064</v>
      </c>
      <c r="C40" s="385">
        <f t="shared" si="0"/>
        <v>1984.32</v>
      </c>
      <c r="D40" s="385">
        <f t="shared" si="1"/>
        <v>0.59529600000000071</v>
      </c>
      <c r="E40" s="385">
        <f t="shared" si="2"/>
        <v>1984.9152959999999</v>
      </c>
      <c r="F40" s="385">
        <f t="shared" si="3"/>
        <v>3968.6400000000067</v>
      </c>
      <c r="G40" s="485"/>
      <c r="H40" s="480" t="s">
        <v>350</v>
      </c>
      <c r="I40" s="474">
        <f t="shared" ref="I40:K41" si="5">I34-I13-I19</f>
        <v>-166.51</v>
      </c>
      <c r="J40" s="474">
        <f t="shared" si="5"/>
        <v>790.78</v>
      </c>
      <c r="K40" s="474">
        <f t="shared" si="5"/>
        <v>-1899.1</v>
      </c>
      <c r="L40" s="474">
        <f>SUM(I40:K40)</f>
        <v>-1274.83</v>
      </c>
    </row>
    <row r="41" spans="1:12">
      <c r="A41" s="384">
        <v>39</v>
      </c>
      <c r="B41" s="385">
        <f t="shared" si="4"/>
        <v>3968.6400000000067</v>
      </c>
      <c r="C41" s="385">
        <f t="shared" si="0"/>
        <v>1984.32</v>
      </c>
      <c r="D41" s="385">
        <f t="shared" si="1"/>
        <v>0.39686400000000072</v>
      </c>
      <c r="E41" s="385">
        <f t="shared" si="2"/>
        <v>1984.716864</v>
      </c>
      <c r="F41" s="385">
        <f t="shared" si="3"/>
        <v>1984.3200000000068</v>
      </c>
      <c r="G41" s="485"/>
      <c r="H41" s="480" t="s">
        <v>351</v>
      </c>
      <c r="I41" s="474">
        <f t="shared" si="5"/>
        <v>9735.6099999999988</v>
      </c>
      <c r="J41" s="474">
        <f t="shared" si="5"/>
        <v>7400</v>
      </c>
      <c r="K41" s="474">
        <f t="shared" si="5"/>
        <v>0</v>
      </c>
      <c r="L41" s="474">
        <f>SUM(I41:K41)</f>
        <v>17135.61</v>
      </c>
    </row>
    <row r="42" spans="1:12">
      <c r="A42" s="384">
        <v>40</v>
      </c>
      <c r="B42" s="385">
        <f t="shared" si="4"/>
        <v>1984.3200000000068</v>
      </c>
      <c r="C42" s="385">
        <f t="shared" si="0"/>
        <v>1984.32</v>
      </c>
      <c r="D42" s="385">
        <f t="shared" si="1"/>
        <v>0.19843200000000066</v>
      </c>
      <c r="E42" s="385">
        <f t="shared" si="2"/>
        <v>1984.5184319999998</v>
      </c>
      <c r="F42" s="385">
        <f t="shared" si="3"/>
        <v>6.8212102632969618E-12</v>
      </c>
      <c r="G42" s="485"/>
      <c r="H42" s="480" t="s">
        <v>12</v>
      </c>
      <c r="I42" s="474">
        <f>SUM(I40:I41)</f>
        <v>9569.0999999999985</v>
      </c>
      <c r="J42" s="474">
        <f>SUM(J40:J41)</f>
        <v>8190.78</v>
      </c>
      <c r="K42" s="474">
        <f>SUM(K40:K41)</f>
        <v>-1899.1</v>
      </c>
      <c r="L42" s="474">
        <f>SUM(L40:L41)</f>
        <v>15860.78</v>
      </c>
    </row>
    <row r="43" spans="1:12">
      <c r="A43" s="732" t="s">
        <v>12</v>
      </c>
      <c r="B43" s="618"/>
      <c r="C43" s="386">
        <f>SUM(C13:C42)</f>
        <v>59529.599999999999</v>
      </c>
      <c r="D43" s="386">
        <f>SUM(D13:D42)</f>
        <v>92.270880000000005</v>
      </c>
      <c r="E43" s="386">
        <f t="shared" si="2"/>
        <v>59621.870879999995</v>
      </c>
      <c r="F43" s="385"/>
      <c r="G43" s="485"/>
    </row>
    <row r="44" spans="1:12">
      <c r="H44" s="479"/>
      <c r="I44" s="384" t="s">
        <v>358</v>
      </c>
      <c r="J44" s="384"/>
      <c r="K44" s="384"/>
      <c r="L44" s="384"/>
    </row>
    <row r="45" spans="1:12">
      <c r="H45" s="480"/>
      <c r="I45" s="474" t="s">
        <v>349</v>
      </c>
      <c r="J45" s="474" t="s">
        <v>17</v>
      </c>
      <c r="K45" s="474" t="s">
        <v>18</v>
      </c>
      <c r="L45" s="474" t="s">
        <v>12</v>
      </c>
    </row>
    <row r="46" spans="1:12">
      <c r="H46" s="480" t="s">
        <v>350</v>
      </c>
      <c r="I46" s="474">
        <f t="shared" ref="I46:K47" si="6">I27-I40</f>
        <v>870.46</v>
      </c>
      <c r="J46" s="474">
        <f t="shared" si="6"/>
        <v>-389.19</v>
      </c>
      <c r="K46" s="474">
        <f t="shared" si="6"/>
        <v>2992.25</v>
      </c>
      <c r="L46" s="474">
        <f>SUM(I46:K46)</f>
        <v>3473.52</v>
      </c>
    </row>
    <row r="47" spans="1:12">
      <c r="H47" s="480" t="s">
        <v>351</v>
      </c>
      <c r="I47" s="474">
        <f t="shared" si="6"/>
        <v>-4881.0099999999984</v>
      </c>
      <c r="J47" s="474">
        <f t="shared" si="6"/>
        <v>-6539.8099999999995</v>
      </c>
      <c r="K47" s="474">
        <f t="shared" si="6"/>
        <v>0</v>
      </c>
      <c r="L47" s="474">
        <f>SUM(I47:K47)</f>
        <v>-11420.819999999998</v>
      </c>
    </row>
    <row r="48" spans="1:12">
      <c r="H48" s="480" t="s">
        <v>12</v>
      </c>
      <c r="I48" s="474">
        <f>SUM(I46:I47)</f>
        <v>-4010.5499999999984</v>
      </c>
      <c r="J48" s="474">
        <f>SUM(J46:J47)</f>
        <v>-6928.9999999999991</v>
      </c>
      <c r="K48" s="474">
        <f>SUM(K46:K47)</f>
        <v>2992.25</v>
      </c>
      <c r="L48" s="474">
        <f>SUM(L46:L47)</f>
        <v>-7947.2999999999975</v>
      </c>
    </row>
  </sheetData>
  <mergeCells count="13">
    <mergeCell ref="A43:B43"/>
    <mergeCell ref="A7:B7"/>
    <mergeCell ref="C7:F7"/>
    <mergeCell ref="A8:B8"/>
    <mergeCell ref="C8:F8"/>
    <mergeCell ref="A9:B9"/>
    <mergeCell ref="C9:F9"/>
    <mergeCell ref="A1:F1"/>
    <mergeCell ref="A3:F3"/>
    <mergeCell ref="A5:B5"/>
    <mergeCell ref="C5:F5"/>
    <mergeCell ref="A6:B6"/>
    <mergeCell ref="C6:F6"/>
  </mergeCells>
  <pageMargins left="0.7" right="0.3" top="0.59" bottom="0.75" header="0.3" footer="0.3"/>
  <pageSetup paperSize="9" orientation="portrait" r:id="rId1"/>
  <headerFooter>
    <oddFooter>&amp;C&amp;12 P - 44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06"/>
  <sheetViews>
    <sheetView tabSelected="1" workbookViewId="0">
      <selection activeCell="D3" sqref="D3:M3"/>
    </sheetView>
  </sheetViews>
  <sheetFormatPr defaultRowHeight="12.75"/>
  <cols>
    <col min="1" max="1" width="7.42578125" style="578" customWidth="1"/>
    <col min="2" max="2" width="10.28515625" style="578" bestFit="1" customWidth="1"/>
    <col min="3" max="3" width="66.5703125" style="328" customWidth="1"/>
    <col min="4" max="4" width="5.140625" style="328" customWidth="1"/>
    <col min="5" max="5" width="11.7109375" style="328" customWidth="1"/>
    <col min="6" max="6" width="11.28515625" style="328" customWidth="1"/>
    <col min="7" max="7" width="9.28515625" style="578" customWidth="1"/>
    <col min="8" max="8" width="5.5703125" style="578" customWidth="1"/>
    <col min="9" max="10" width="7.42578125" style="578" customWidth="1"/>
    <col min="11" max="11" width="7.85546875" style="578" customWidth="1"/>
    <col min="12" max="12" width="4.7109375" style="578" customWidth="1"/>
    <col min="13" max="14" width="4.85546875" style="578" customWidth="1"/>
    <col min="15" max="15" width="8" style="578" customWidth="1"/>
    <col min="16" max="16" width="9.140625" style="578" customWidth="1"/>
    <col min="17" max="17" width="9.7109375" style="578" customWidth="1"/>
    <col min="18" max="18" width="5.28515625" style="578" customWidth="1"/>
    <col min="19" max="19" width="9.5703125" style="578" customWidth="1"/>
    <col min="20" max="21" width="8" style="578" customWidth="1"/>
    <col min="22" max="24" width="4.7109375" style="578" customWidth="1"/>
    <col min="25" max="25" width="8.140625" style="578" customWidth="1"/>
    <col min="26" max="26" width="8.5703125" style="578" customWidth="1"/>
    <col min="27" max="27" width="8.85546875" style="578" customWidth="1"/>
    <col min="28" max="28" width="3.7109375" style="578" customWidth="1"/>
    <col min="29" max="29" width="8.140625" style="578" customWidth="1"/>
    <col min="30" max="30" width="7.42578125" style="578" customWidth="1"/>
    <col min="31" max="31" width="3.7109375" style="578" customWidth="1"/>
    <col min="32" max="32" width="2.85546875" style="578" customWidth="1"/>
    <col min="33" max="33" width="2.7109375" style="578" customWidth="1"/>
    <col min="34" max="34" width="4.7109375" style="578" customWidth="1"/>
    <col min="35" max="35" width="7.42578125" style="578" customWidth="1"/>
    <col min="36" max="36" width="8.5703125" style="578" customWidth="1"/>
    <col min="37" max="37" width="9.28515625" style="578" bestFit="1" customWidth="1"/>
    <col min="38" max="38" width="4.140625" style="578" customWidth="1"/>
    <col min="39" max="39" width="8.28515625" style="578" customWidth="1"/>
    <col min="40" max="40" width="8" style="578" customWidth="1"/>
    <col min="41" max="41" width="3.5703125" style="578" customWidth="1"/>
    <col min="42" max="43" width="3" style="578" customWidth="1"/>
    <col min="44" max="44" width="5" style="578" customWidth="1"/>
    <col min="45" max="45" width="9.140625" style="578" customWidth="1"/>
    <col min="46" max="46" width="8" style="578" customWidth="1"/>
    <col min="47" max="47" width="8.7109375" style="578" customWidth="1"/>
    <col min="48" max="48" width="3.5703125" style="578" customWidth="1"/>
    <col min="49" max="49" width="8.42578125" style="578" customWidth="1"/>
    <col min="50" max="50" width="7.42578125" style="578" customWidth="1"/>
    <col min="51" max="51" width="3.7109375" style="578" customWidth="1"/>
    <col min="52" max="52" width="2.7109375" style="578" customWidth="1"/>
    <col min="53" max="53" width="3.140625" style="578" customWidth="1"/>
    <col min="54" max="54" width="4.85546875" style="578" customWidth="1"/>
    <col min="55" max="55" width="7.7109375" style="578" customWidth="1"/>
    <col min="56" max="56" width="8.28515625" style="578" customWidth="1"/>
    <col min="57" max="57" width="8.140625" style="578" customWidth="1"/>
    <col min="58" max="58" width="5.42578125" style="578" customWidth="1"/>
    <col min="59" max="60" width="8.28515625" style="578" customWidth="1"/>
    <col min="61" max="61" width="6.42578125" style="578" customWidth="1"/>
    <col min="62" max="62" width="4.85546875" style="578" customWidth="1"/>
    <col min="63" max="64" width="4.7109375" style="578" customWidth="1"/>
    <col min="65" max="65" width="7.7109375" style="578" customWidth="1"/>
    <col min="66" max="67" width="8.5703125" style="578" customWidth="1"/>
    <col min="68" max="68" width="5.140625" style="578" customWidth="1"/>
    <col min="69" max="69" width="8.5703125" style="578" customWidth="1"/>
    <col min="70" max="70" width="7.42578125" style="578" customWidth="1"/>
    <col min="71" max="71" width="6.7109375" style="578" customWidth="1"/>
    <col min="72" max="73" width="4.85546875" style="578" customWidth="1"/>
    <col min="74" max="74" width="48.85546875" style="578" customWidth="1"/>
    <col min="75" max="75" width="4.7109375" style="578" customWidth="1"/>
    <col min="76" max="76" width="7.7109375" style="578" customWidth="1"/>
    <col min="77" max="77" width="10.85546875" style="578" customWidth="1"/>
    <col min="78" max="78" width="10" style="578" customWidth="1"/>
    <col min="79" max="79" width="5.140625" style="578" customWidth="1"/>
    <col min="80" max="80" width="9.85546875" style="578" customWidth="1"/>
    <col min="81" max="81" width="9.140625" style="578" customWidth="1"/>
    <col min="82" max="82" width="6.7109375" style="578" customWidth="1"/>
    <col min="83" max="84" width="4.85546875" style="578" customWidth="1"/>
    <col min="85" max="86" width="10.5703125" style="578" customWidth="1"/>
    <col min="87" max="87" width="3.140625" style="578" customWidth="1"/>
    <col min="88" max="88" width="10.5703125" style="578" customWidth="1"/>
    <col min="89" max="89" width="3.5703125" style="578" customWidth="1"/>
    <col min="90" max="90" width="9" style="586" customWidth="1"/>
    <col min="91" max="91" width="10.5703125" style="582" customWidth="1"/>
    <col min="92" max="92" width="6.85546875" style="578" customWidth="1"/>
    <col min="93" max="93" width="11.42578125" style="578" customWidth="1"/>
    <col min="94" max="94" width="9" style="578" customWidth="1"/>
    <col min="95" max="95" width="5.5703125" style="578" customWidth="1"/>
    <col min="96" max="96" width="5.7109375" style="586" customWidth="1"/>
    <col min="97" max="105" width="9.140625" style="578" customWidth="1"/>
    <col min="106" max="16384" width="9.140625" style="578"/>
  </cols>
  <sheetData>
    <row r="1" spans="1:96" ht="24.75" customHeight="1">
      <c r="A1" s="374" t="s">
        <v>0</v>
      </c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  <c r="M1" s="374"/>
      <c r="N1" s="374"/>
      <c r="O1" s="374"/>
      <c r="P1" s="374"/>
      <c r="Q1" s="374"/>
      <c r="R1" s="374"/>
      <c r="S1" s="374"/>
      <c r="T1" s="630" t="s">
        <v>1</v>
      </c>
      <c r="U1" s="631"/>
      <c r="V1" s="631"/>
      <c r="W1" s="631"/>
      <c r="X1" s="440"/>
      <c r="Y1" s="374"/>
      <c r="Z1" s="374"/>
      <c r="AA1" s="374"/>
      <c r="AB1" s="374"/>
      <c r="AC1" s="374"/>
      <c r="AD1" s="374"/>
      <c r="AE1" s="374"/>
      <c r="AF1" s="374"/>
      <c r="AG1" s="374"/>
      <c r="AH1" s="440"/>
      <c r="AI1" s="374"/>
      <c r="AJ1" s="374"/>
      <c r="AK1" s="374"/>
      <c r="AL1" s="374"/>
      <c r="AM1" s="374"/>
      <c r="AN1" s="374"/>
      <c r="AO1" s="374"/>
      <c r="AP1" s="374"/>
      <c r="AQ1" s="374"/>
      <c r="AR1" s="440"/>
      <c r="AS1" s="374"/>
      <c r="AT1" s="374"/>
      <c r="AU1" s="630"/>
      <c r="AV1" s="631"/>
      <c r="AW1" s="631"/>
      <c r="AX1" s="631"/>
      <c r="AY1" s="374"/>
      <c r="AZ1" s="374"/>
      <c r="BA1" s="374"/>
      <c r="BB1" s="440"/>
      <c r="BC1" s="374"/>
      <c r="BD1" s="374"/>
      <c r="BE1" s="374"/>
      <c r="BF1" s="374"/>
      <c r="BG1" s="374"/>
      <c r="BH1" s="374"/>
      <c r="BI1" s="374"/>
      <c r="BJ1" s="374"/>
      <c r="BK1" s="374"/>
      <c r="BL1" s="440"/>
      <c r="BM1" s="374"/>
      <c r="BN1" s="374"/>
      <c r="BO1" s="374"/>
      <c r="BP1" s="374"/>
      <c r="BQ1" s="374"/>
      <c r="BR1" s="374"/>
      <c r="BS1" s="374"/>
      <c r="BT1" s="374"/>
      <c r="BU1" s="374"/>
      <c r="BV1" s="577"/>
      <c r="CP1" s="710"/>
      <c r="CQ1" s="631"/>
      <c r="CR1" s="648"/>
    </row>
    <row r="2" spans="1:96" ht="10.5" customHeight="1"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Q2" s="186"/>
      <c r="T2" s="186"/>
      <c r="U2" s="186"/>
      <c r="V2" s="186"/>
      <c r="W2" s="577"/>
      <c r="X2" s="441"/>
      <c r="Y2" s="577"/>
      <c r="Z2" s="577"/>
      <c r="AA2" s="186"/>
      <c r="AB2" s="186"/>
      <c r="AC2" s="632"/>
      <c r="AD2" s="631"/>
      <c r="AE2" s="631"/>
      <c r="AF2" s="631"/>
      <c r="AG2" s="631"/>
      <c r="AH2" s="441"/>
      <c r="AI2" s="577"/>
      <c r="AJ2" s="577"/>
      <c r="AK2" s="186"/>
      <c r="AL2" s="186"/>
      <c r="AM2" s="186"/>
      <c r="AW2" s="632"/>
      <c r="AX2" s="631"/>
      <c r="AY2" s="631"/>
      <c r="AZ2" s="631"/>
      <c r="BA2" s="631"/>
      <c r="BB2" s="441"/>
      <c r="BC2" s="577"/>
      <c r="BD2" s="577"/>
      <c r="BQ2" s="632"/>
      <c r="BR2" s="631"/>
      <c r="BS2" s="631"/>
      <c r="BT2" s="631"/>
      <c r="BU2" s="631"/>
      <c r="BV2" s="577"/>
      <c r="CB2" s="632"/>
      <c r="CC2" s="631"/>
      <c r="CD2" s="631"/>
      <c r="CE2" s="631"/>
      <c r="CF2" s="631"/>
      <c r="CL2" s="578"/>
      <c r="CM2" s="578"/>
      <c r="CR2" s="578"/>
    </row>
    <row r="3" spans="1:96" ht="24.75" customHeight="1">
      <c r="A3" s="634" t="s">
        <v>2</v>
      </c>
      <c r="B3" s="634" t="s">
        <v>3</v>
      </c>
      <c r="C3" s="734" t="s">
        <v>4</v>
      </c>
      <c r="D3" s="735" t="s">
        <v>359</v>
      </c>
      <c r="E3" s="617"/>
      <c r="F3" s="617"/>
      <c r="G3" s="617"/>
      <c r="H3" s="617"/>
      <c r="I3" s="617"/>
      <c r="J3" s="617"/>
      <c r="K3" s="617"/>
      <c r="L3" s="617"/>
      <c r="M3" s="617"/>
      <c r="N3" s="634" t="s">
        <v>360</v>
      </c>
      <c r="O3" s="617"/>
      <c r="P3" s="617"/>
      <c r="Q3" s="617"/>
      <c r="R3" s="617"/>
      <c r="S3" s="617"/>
      <c r="T3" s="617"/>
      <c r="U3" s="617"/>
      <c r="V3" s="617"/>
      <c r="W3" s="618"/>
      <c r="X3" s="634" t="s">
        <v>361</v>
      </c>
      <c r="Y3" s="617"/>
      <c r="Z3" s="617"/>
      <c r="AA3" s="617"/>
      <c r="AB3" s="617"/>
      <c r="AC3" s="617"/>
      <c r="AD3" s="617"/>
      <c r="AE3" s="617"/>
      <c r="AF3" s="617"/>
      <c r="AG3" s="618"/>
      <c r="AH3" s="634" t="s">
        <v>362</v>
      </c>
      <c r="AI3" s="617"/>
      <c r="AJ3" s="617"/>
      <c r="AK3" s="617"/>
      <c r="AL3" s="617"/>
      <c r="AM3" s="617"/>
      <c r="AN3" s="617"/>
      <c r="AO3" s="617"/>
      <c r="AP3" s="617"/>
      <c r="AQ3" s="618"/>
      <c r="AR3" s="641" t="s">
        <v>6</v>
      </c>
      <c r="AS3" s="642"/>
      <c r="AT3" s="642"/>
      <c r="AU3" s="642"/>
      <c r="AV3" s="642"/>
      <c r="AW3" s="642"/>
      <c r="AX3" s="642"/>
      <c r="AY3" s="642"/>
      <c r="AZ3" s="642"/>
      <c r="BA3" s="627"/>
      <c r="BB3" s="634" t="s">
        <v>363</v>
      </c>
      <c r="BC3" s="617"/>
      <c r="BD3" s="617"/>
      <c r="BE3" s="617"/>
      <c r="BF3" s="617"/>
      <c r="BG3" s="617"/>
      <c r="BH3" s="617"/>
      <c r="BI3" s="617"/>
      <c r="BJ3" s="617"/>
      <c r="BK3" s="618"/>
      <c r="BL3" s="634" t="s">
        <v>8</v>
      </c>
      <c r="BM3" s="617"/>
      <c r="BN3" s="617"/>
      <c r="BO3" s="617"/>
      <c r="BP3" s="617"/>
      <c r="BQ3" s="617"/>
      <c r="BR3" s="617"/>
      <c r="BS3" s="617"/>
      <c r="BT3" s="617"/>
      <c r="BU3" s="618"/>
      <c r="BV3" s="331"/>
      <c r="BW3" s="634" t="s">
        <v>12</v>
      </c>
      <c r="BX3" s="617"/>
      <c r="BY3" s="617"/>
      <c r="BZ3" s="617"/>
      <c r="CA3" s="617"/>
      <c r="CB3" s="617"/>
      <c r="CC3" s="617"/>
      <c r="CD3" s="617"/>
      <c r="CE3" s="617"/>
      <c r="CF3" s="618"/>
      <c r="CL3" s="606"/>
      <c r="CM3" s="578"/>
      <c r="CR3" s="578"/>
    </row>
    <row r="4" spans="1:96" ht="12.75" customHeight="1">
      <c r="A4" s="624"/>
      <c r="B4" s="624"/>
      <c r="C4" s="624"/>
      <c r="D4" s="634" t="s">
        <v>9</v>
      </c>
      <c r="E4" s="637" t="s">
        <v>10</v>
      </c>
      <c r="F4" s="637" t="s">
        <v>11</v>
      </c>
      <c r="G4" s="617"/>
      <c r="H4" s="617"/>
      <c r="I4" s="617"/>
      <c r="J4" s="617"/>
      <c r="K4" s="617"/>
      <c r="L4" s="617"/>
      <c r="M4" s="618"/>
      <c r="N4" s="634" t="s">
        <v>9</v>
      </c>
      <c r="O4" s="637" t="s">
        <v>10</v>
      </c>
      <c r="P4" s="637" t="s">
        <v>11</v>
      </c>
      <c r="Q4" s="617"/>
      <c r="R4" s="617"/>
      <c r="S4" s="617"/>
      <c r="T4" s="617"/>
      <c r="U4" s="617"/>
      <c r="V4" s="617"/>
      <c r="W4" s="618"/>
      <c r="X4" s="634" t="s">
        <v>9</v>
      </c>
      <c r="Y4" s="637" t="s">
        <v>10</v>
      </c>
      <c r="Z4" s="637" t="s">
        <v>11</v>
      </c>
      <c r="AA4" s="617"/>
      <c r="AB4" s="617"/>
      <c r="AC4" s="617"/>
      <c r="AD4" s="617"/>
      <c r="AE4" s="617"/>
      <c r="AF4" s="617"/>
      <c r="AG4" s="618"/>
      <c r="AH4" s="634" t="s">
        <v>9</v>
      </c>
      <c r="AI4" s="637" t="s">
        <v>10</v>
      </c>
      <c r="AJ4" s="637" t="s">
        <v>11</v>
      </c>
      <c r="AK4" s="617"/>
      <c r="AL4" s="617"/>
      <c r="AM4" s="617"/>
      <c r="AN4" s="617"/>
      <c r="AO4" s="617"/>
      <c r="AP4" s="617"/>
      <c r="AQ4" s="618"/>
      <c r="AR4" s="634" t="s">
        <v>9</v>
      </c>
      <c r="AS4" s="637" t="s">
        <v>10</v>
      </c>
      <c r="AT4" s="637" t="s">
        <v>11</v>
      </c>
      <c r="AU4" s="617"/>
      <c r="AV4" s="617"/>
      <c r="AW4" s="617"/>
      <c r="AX4" s="617"/>
      <c r="AY4" s="617"/>
      <c r="AZ4" s="617"/>
      <c r="BA4" s="618"/>
      <c r="BB4" s="634" t="s">
        <v>9</v>
      </c>
      <c r="BC4" s="637" t="s">
        <v>10</v>
      </c>
      <c r="BD4" s="637" t="s">
        <v>11</v>
      </c>
      <c r="BE4" s="617"/>
      <c r="BF4" s="617"/>
      <c r="BG4" s="617"/>
      <c r="BH4" s="617"/>
      <c r="BI4" s="617"/>
      <c r="BJ4" s="617"/>
      <c r="BK4" s="618"/>
      <c r="BL4" s="634" t="s">
        <v>9</v>
      </c>
      <c r="BM4" s="637" t="s">
        <v>10</v>
      </c>
      <c r="BN4" s="637" t="s">
        <v>11</v>
      </c>
      <c r="BO4" s="617"/>
      <c r="BP4" s="617"/>
      <c r="BQ4" s="617"/>
      <c r="BR4" s="617"/>
      <c r="BS4" s="617"/>
      <c r="BT4" s="617"/>
      <c r="BU4" s="618"/>
      <c r="BV4" s="564"/>
      <c r="BW4" s="634" t="s">
        <v>9</v>
      </c>
      <c r="BX4" s="637" t="s">
        <v>10</v>
      </c>
      <c r="BY4" s="637" t="s">
        <v>11</v>
      </c>
      <c r="BZ4" s="617"/>
      <c r="CA4" s="617"/>
      <c r="CB4" s="617"/>
      <c r="CC4" s="617"/>
      <c r="CD4" s="617"/>
      <c r="CE4" s="617"/>
      <c r="CF4" s="618"/>
      <c r="CL4" s="713"/>
      <c r="CM4" s="617"/>
      <c r="CN4" s="617"/>
      <c r="CO4" s="617"/>
      <c r="CP4" s="617"/>
      <c r="CQ4" s="617"/>
      <c r="CR4" s="701"/>
    </row>
    <row r="5" spans="1:96" ht="12.75" customHeight="1">
      <c r="A5" s="624"/>
      <c r="B5" s="624"/>
      <c r="C5" s="624"/>
      <c r="D5" s="624"/>
      <c r="E5" s="624"/>
      <c r="F5" s="634" t="s">
        <v>12</v>
      </c>
      <c r="G5" s="634" t="s">
        <v>13</v>
      </c>
      <c r="H5" s="634" t="s">
        <v>14</v>
      </c>
      <c r="I5" s="617"/>
      <c r="J5" s="617"/>
      <c r="K5" s="618"/>
      <c r="L5" s="635" t="s">
        <v>15</v>
      </c>
      <c r="M5" s="635" t="s">
        <v>16</v>
      </c>
      <c r="N5" s="624"/>
      <c r="O5" s="624"/>
      <c r="P5" s="634" t="s">
        <v>12</v>
      </c>
      <c r="Q5" s="634" t="s">
        <v>13</v>
      </c>
      <c r="R5" s="634" t="s">
        <v>14</v>
      </c>
      <c r="S5" s="617"/>
      <c r="T5" s="617"/>
      <c r="U5" s="618"/>
      <c r="V5" s="635" t="s">
        <v>15</v>
      </c>
      <c r="W5" s="635" t="s">
        <v>16</v>
      </c>
      <c r="X5" s="624"/>
      <c r="Y5" s="624"/>
      <c r="Z5" s="634" t="s">
        <v>12</v>
      </c>
      <c r="AA5" s="634" t="s">
        <v>13</v>
      </c>
      <c r="AB5" s="634" t="s">
        <v>14</v>
      </c>
      <c r="AC5" s="617"/>
      <c r="AD5" s="617"/>
      <c r="AE5" s="618"/>
      <c r="AF5" s="635" t="s">
        <v>15</v>
      </c>
      <c r="AG5" s="635" t="s">
        <v>16</v>
      </c>
      <c r="AH5" s="624"/>
      <c r="AI5" s="624"/>
      <c r="AJ5" s="634" t="s">
        <v>12</v>
      </c>
      <c r="AK5" s="634" t="s">
        <v>13</v>
      </c>
      <c r="AL5" s="634" t="s">
        <v>14</v>
      </c>
      <c r="AM5" s="617"/>
      <c r="AN5" s="617"/>
      <c r="AO5" s="618"/>
      <c r="AP5" s="635" t="s">
        <v>15</v>
      </c>
      <c r="AQ5" s="635" t="s">
        <v>16</v>
      </c>
      <c r="AR5" s="624"/>
      <c r="AS5" s="624"/>
      <c r="AT5" s="634" t="s">
        <v>12</v>
      </c>
      <c r="AU5" s="634" t="s">
        <v>13</v>
      </c>
      <c r="AV5" s="634" t="s">
        <v>14</v>
      </c>
      <c r="AW5" s="617"/>
      <c r="AX5" s="617"/>
      <c r="AY5" s="618"/>
      <c r="AZ5" s="635" t="s">
        <v>15</v>
      </c>
      <c r="BA5" s="635" t="s">
        <v>16</v>
      </c>
      <c r="BB5" s="624"/>
      <c r="BC5" s="624"/>
      <c r="BD5" s="634" t="s">
        <v>12</v>
      </c>
      <c r="BE5" s="634" t="s">
        <v>13</v>
      </c>
      <c r="BF5" s="634" t="s">
        <v>14</v>
      </c>
      <c r="BG5" s="617"/>
      <c r="BH5" s="617"/>
      <c r="BI5" s="618"/>
      <c r="BJ5" s="635" t="s">
        <v>15</v>
      </c>
      <c r="BK5" s="635" t="s">
        <v>16</v>
      </c>
      <c r="BL5" s="624"/>
      <c r="BM5" s="624"/>
      <c r="BN5" s="634" t="s">
        <v>12</v>
      </c>
      <c r="BO5" s="634" t="s">
        <v>13</v>
      </c>
      <c r="BP5" s="634" t="s">
        <v>14</v>
      </c>
      <c r="BQ5" s="617"/>
      <c r="BR5" s="617"/>
      <c r="BS5" s="618"/>
      <c r="BT5" s="635" t="s">
        <v>15</v>
      </c>
      <c r="BU5" s="635" t="s">
        <v>16</v>
      </c>
      <c r="BV5" s="564"/>
      <c r="BW5" s="624"/>
      <c r="BX5" s="624"/>
      <c r="BY5" s="634" t="s">
        <v>12</v>
      </c>
      <c r="BZ5" s="634" t="s">
        <v>13</v>
      </c>
      <c r="CA5" s="634" t="s">
        <v>14</v>
      </c>
      <c r="CB5" s="617"/>
      <c r="CC5" s="617"/>
      <c r="CD5" s="618"/>
      <c r="CE5" s="635" t="s">
        <v>15</v>
      </c>
      <c r="CF5" s="635" t="s">
        <v>16</v>
      </c>
      <c r="CL5" s="332" t="s">
        <v>11</v>
      </c>
      <c r="CM5" s="333"/>
      <c r="CN5" s="333"/>
      <c r="CO5" s="333"/>
      <c r="CP5" s="333"/>
      <c r="CQ5" s="333"/>
      <c r="CR5" s="333"/>
    </row>
    <row r="6" spans="1:96" ht="18.75" customHeight="1">
      <c r="A6" s="624"/>
      <c r="B6" s="624"/>
      <c r="C6" s="624"/>
      <c r="D6" s="624"/>
      <c r="E6" s="624"/>
      <c r="F6" s="624"/>
      <c r="G6" s="624"/>
      <c r="H6" s="634" t="s">
        <v>17</v>
      </c>
      <c r="I6" s="618"/>
      <c r="J6" s="636" t="s">
        <v>18</v>
      </c>
      <c r="K6" s="627"/>
      <c r="L6" s="624"/>
      <c r="M6" s="624"/>
      <c r="N6" s="624"/>
      <c r="O6" s="624"/>
      <c r="P6" s="624"/>
      <c r="Q6" s="624"/>
      <c r="R6" s="634" t="s">
        <v>17</v>
      </c>
      <c r="S6" s="618"/>
      <c r="T6" s="636" t="s">
        <v>18</v>
      </c>
      <c r="U6" s="627"/>
      <c r="V6" s="624"/>
      <c r="W6" s="624"/>
      <c r="X6" s="624"/>
      <c r="Y6" s="624"/>
      <c r="Z6" s="624"/>
      <c r="AA6" s="624"/>
      <c r="AB6" s="634" t="s">
        <v>17</v>
      </c>
      <c r="AC6" s="618"/>
      <c r="AD6" s="636" t="s">
        <v>18</v>
      </c>
      <c r="AE6" s="627"/>
      <c r="AF6" s="624"/>
      <c r="AG6" s="624"/>
      <c r="AH6" s="624"/>
      <c r="AI6" s="624"/>
      <c r="AJ6" s="624"/>
      <c r="AK6" s="624"/>
      <c r="AL6" s="634" t="s">
        <v>17</v>
      </c>
      <c r="AM6" s="618"/>
      <c r="AN6" s="636" t="s">
        <v>18</v>
      </c>
      <c r="AO6" s="627"/>
      <c r="AP6" s="624"/>
      <c r="AQ6" s="624"/>
      <c r="AR6" s="624"/>
      <c r="AS6" s="624"/>
      <c r="AT6" s="624"/>
      <c r="AU6" s="624"/>
      <c r="AV6" s="634" t="s">
        <v>17</v>
      </c>
      <c r="AW6" s="618"/>
      <c r="AX6" s="636" t="s">
        <v>18</v>
      </c>
      <c r="AY6" s="627"/>
      <c r="AZ6" s="624"/>
      <c r="BA6" s="624"/>
      <c r="BB6" s="624"/>
      <c r="BC6" s="624"/>
      <c r="BD6" s="624"/>
      <c r="BE6" s="624"/>
      <c r="BF6" s="634" t="s">
        <v>17</v>
      </c>
      <c r="BG6" s="618"/>
      <c r="BH6" s="636" t="s">
        <v>18</v>
      </c>
      <c r="BI6" s="627"/>
      <c r="BJ6" s="624"/>
      <c r="BK6" s="624"/>
      <c r="BL6" s="624"/>
      <c r="BM6" s="624"/>
      <c r="BN6" s="624"/>
      <c r="BO6" s="624"/>
      <c r="BP6" s="634" t="s">
        <v>17</v>
      </c>
      <c r="BQ6" s="618"/>
      <c r="BR6" s="636" t="s">
        <v>18</v>
      </c>
      <c r="BS6" s="627"/>
      <c r="BT6" s="624"/>
      <c r="BU6" s="624"/>
      <c r="BV6" s="564"/>
      <c r="BW6" s="624"/>
      <c r="BX6" s="624"/>
      <c r="BY6" s="624"/>
      <c r="BZ6" s="624"/>
      <c r="CA6" s="634" t="s">
        <v>17</v>
      </c>
      <c r="CB6" s="618"/>
      <c r="CC6" s="636" t="s">
        <v>18</v>
      </c>
      <c r="CD6" s="627"/>
      <c r="CE6" s="624"/>
      <c r="CF6" s="624"/>
      <c r="CL6" s="334" t="s">
        <v>12</v>
      </c>
      <c r="CM6" s="335" t="s">
        <v>13</v>
      </c>
      <c r="CN6" s="336" t="s">
        <v>14</v>
      </c>
      <c r="CO6" s="337"/>
      <c r="CP6" s="338"/>
      <c r="CQ6" s="339" t="s">
        <v>15</v>
      </c>
      <c r="CR6" s="340" t="s">
        <v>16</v>
      </c>
    </row>
    <row r="7" spans="1:96" ht="35.25" customHeight="1">
      <c r="A7" s="625"/>
      <c r="B7" s="625"/>
      <c r="C7" s="625"/>
      <c r="D7" s="625"/>
      <c r="E7" s="625"/>
      <c r="F7" s="625"/>
      <c r="G7" s="625"/>
      <c r="H7" s="187" t="s">
        <v>19</v>
      </c>
      <c r="I7" s="581" t="s">
        <v>20</v>
      </c>
      <c r="J7" s="187" t="s">
        <v>21</v>
      </c>
      <c r="K7" s="187" t="s">
        <v>22</v>
      </c>
      <c r="L7" s="625"/>
      <c r="M7" s="625"/>
      <c r="N7" s="625"/>
      <c r="O7" s="625"/>
      <c r="P7" s="625"/>
      <c r="Q7" s="625"/>
      <c r="R7" s="187" t="s">
        <v>19</v>
      </c>
      <c r="S7" s="581" t="s">
        <v>20</v>
      </c>
      <c r="T7" s="187" t="s">
        <v>21</v>
      </c>
      <c r="U7" s="187" t="s">
        <v>22</v>
      </c>
      <c r="V7" s="625"/>
      <c r="W7" s="625"/>
      <c r="X7" s="625"/>
      <c r="Y7" s="625"/>
      <c r="Z7" s="625"/>
      <c r="AA7" s="625"/>
      <c r="AB7" s="376" t="s">
        <v>19</v>
      </c>
      <c r="AC7" s="581" t="s">
        <v>20</v>
      </c>
      <c r="AD7" s="187" t="s">
        <v>21</v>
      </c>
      <c r="AE7" s="376" t="s">
        <v>22</v>
      </c>
      <c r="AF7" s="625"/>
      <c r="AG7" s="625"/>
      <c r="AH7" s="625"/>
      <c r="AI7" s="625"/>
      <c r="AJ7" s="625"/>
      <c r="AK7" s="625"/>
      <c r="AL7" s="376" t="s">
        <v>19</v>
      </c>
      <c r="AM7" s="581" t="s">
        <v>20</v>
      </c>
      <c r="AN7" s="187" t="s">
        <v>21</v>
      </c>
      <c r="AO7" s="376" t="s">
        <v>22</v>
      </c>
      <c r="AP7" s="625"/>
      <c r="AQ7" s="625"/>
      <c r="AR7" s="625"/>
      <c r="AS7" s="625"/>
      <c r="AT7" s="625"/>
      <c r="AU7" s="625"/>
      <c r="AV7" s="376" t="s">
        <v>19</v>
      </c>
      <c r="AW7" s="581" t="s">
        <v>20</v>
      </c>
      <c r="AX7" s="187" t="s">
        <v>21</v>
      </c>
      <c r="AY7" s="376" t="s">
        <v>22</v>
      </c>
      <c r="AZ7" s="625"/>
      <c r="BA7" s="625"/>
      <c r="BB7" s="625"/>
      <c r="BC7" s="625"/>
      <c r="BD7" s="625"/>
      <c r="BE7" s="625"/>
      <c r="BF7" s="187" t="s">
        <v>19</v>
      </c>
      <c r="BG7" s="581" t="s">
        <v>20</v>
      </c>
      <c r="BH7" s="187" t="s">
        <v>21</v>
      </c>
      <c r="BI7" s="187" t="s">
        <v>22</v>
      </c>
      <c r="BJ7" s="625"/>
      <c r="BK7" s="625"/>
      <c r="BL7" s="625"/>
      <c r="BM7" s="625"/>
      <c r="BN7" s="625"/>
      <c r="BO7" s="625"/>
      <c r="BP7" s="187" t="s">
        <v>19</v>
      </c>
      <c r="BQ7" s="581" t="s">
        <v>20</v>
      </c>
      <c r="BR7" s="187" t="s">
        <v>21</v>
      </c>
      <c r="BS7" s="187" t="s">
        <v>22</v>
      </c>
      <c r="BT7" s="625"/>
      <c r="BU7" s="625"/>
      <c r="BV7" s="564"/>
      <c r="BW7" s="625"/>
      <c r="BX7" s="625"/>
      <c r="BY7" s="625"/>
      <c r="BZ7" s="625"/>
      <c r="CA7" s="187" t="s">
        <v>19</v>
      </c>
      <c r="CB7" s="581" t="s">
        <v>20</v>
      </c>
      <c r="CC7" s="187" t="s">
        <v>21</v>
      </c>
      <c r="CD7" s="187" t="s">
        <v>22</v>
      </c>
      <c r="CE7" s="625"/>
      <c r="CF7" s="625"/>
      <c r="CL7" s="341"/>
      <c r="CM7" s="342"/>
      <c r="CN7" s="336" t="s">
        <v>17</v>
      </c>
      <c r="CO7" s="338"/>
      <c r="CP7" s="334" t="s">
        <v>18</v>
      </c>
      <c r="CQ7" s="343"/>
      <c r="CR7" s="344"/>
    </row>
    <row r="8" spans="1:96" s="346" customFormat="1" ht="15.75" customHeight="1">
      <c r="A8" s="585">
        <v>1</v>
      </c>
      <c r="B8" s="585">
        <v>2</v>
      </c>
      <c r="C8" s="575">
        <v>3</v>
      </c>
      <c r="D8" s="575">
        <v>4</v>
      </c>
      <c r="E8" s="575">
        <v>5</v>
      </c>
      <c r="F8" s="295">
        <v>6</v>
      </c>
      <c r="G8" s="585">
        <v>7</v>
      </c>
      <c r="H8" s="585">
        <v>8</v>
      </c>
      <c r="I8" s="585">
        <v>9</v>
      </c>
      <c r="J8" s="585">
        <v>10</v>
      </c>
      <c r="K8" s="585">
        <v>11</v>
      </c>
      <c r="L8" s="585">
        <v>12</v>
      </c>
      <c r="M8" s="585">
        <v>13</v>
      </c>
      <c r="N8" s="575">
        <v>14</v>
      </c>
      <c r="O8" s="575">
        <v>15</v>
      </c>
      <c r="P8" s="295">
        <v>16</v>
      </c>
      <c r="Q8" s="585">
        <v>17</v>
      </c>
      <c r="R8" s="585">
        <v>18</v>
      </c>
      <c r="S8" s="585">
        <v>19</v>
      </c>
      <c r="T8" s="585">
        <v>20</v>
      </c>
      <c r="U8" s="585">
        <v>21</v>
      </c>
      <c r="V8" s="585">
        <v>22</v>
      </c>
      <c r="W8" s="585">
        <v>23</v>
      </c>
      <c r="X8" s="585">
        <v>24</v>
      </c>
      <c r="Y8" s="585">
        <v>25</v>
      </c>
      <c r="Z8" s="585">
        <v>26</v>
      </c>
      <c r="AA8" s="585">
        <v>27</v>
      </c>
      <c r="AB8" s="585">
        <v>28</v>
      </c>
      <c r="AC8" s="585">
        <v>29</v>
      </c>
      <c r="AD8" s="585">
        <v>30</v>
      </c>
      <c r="AE8" s="585">
        <v>31</v>
      </c>
      <c r="AF8" s="585">
        <v>32</v>
      </c>
      <c r="AG8" s="585">
        <v>33</v>
      </c>
      <c r="AH8" s="519">
        <v>34</v>
      </c>
      <c r="AI8" s="519">
        <v>35</v>
      </c>
      <c r="AJ8" s="519">
        <v>36</v>
      </c>
      <c r="AK8" s="519">
        <v>37</v>
      </c>
      <c r="AL8" s="585">
        <v>38</v>
      </c>
      <c r="AM8" s="585">
        <v>39</v>
      </c>
      <c r="AN8" s="585">
        <v>40</v>
      </c>
      <c r="AO8" s="585">
        <v>41</v>
      </c>
      <c r="AP8" s="585">
        <v>42</v>
      </c>
      <c r="AQ8" s="585">
        <v>43</v>
      </c>
      <c r="AR8" s="519">
        <v>44</v>
      </c>
      <c r="AS8" s="519">
        <v>45</v>
      </c>
      <c r="AT8" s="519">
        <v>46</v>
      </c>
      <c r="AU8" s="519">
        <v>47</v>
      </c>
      <c r="AV8" s="585">
        <v>48</v>
      </c>
      <c r="AW8" s="585">
        <v>49</v>
      </c>
      <c r="AX8" s="585">
        <v>50</v>
      </c>
      <c r="AY8" s="585">
        <v>51</v>
      </c>
      <c r="AZ8" s="585">
        <v>52</v>
      </c>
      <c r="BA8" s="585">
        <v>53</v>
      </c>
      <c r="BB8" s="519">
        <v>54</v>
      </c>
      <c r="BC8" s="519">
        <v>55</v>
      </c>
      <c r="BD8" s="519">
        <v>56</v>
      </c>
      <c r="BE8" s="519">
        <v>57</v>
      </c>
      <c r="BF8" s="585">
        <v>58</v>
      </c>
      <c r="BG8" s="585">
        <v>59</v>
      </c>
      <c r="BH8" s="585">
        <v>60</v>
      </c>
      <c r="BI8" s="585">
        <v>61</v>
      </c>
      <c r="BJ8" s="585">
        <v>62</v>
      </c>
      <c r="BK8" s="585">
        <v>63</v>
      </c>
      <c r="BL8" s="519">
        <v>64</v>
      </c>
      <c r="BM8" s="519">
        <v>65</v>
      </c>
      <c r="BN8" s="519">
        <v>66</v>
      </c>
      <c r="BO8" s="519">
        <v>67</v>
      </c>
      <c r="BP8" s="585">
        <v>68</v>
      </c>
      <c r="BQ8" s="585">
        <v>69</v>
      </c>
      <c r="BR8" s="585">
        <v>70</v>
      </c>
      <c r="BS8" s="585">
        <v>71</v>
      </c>
      <c r="BT8" s="585">
        <v>72</v>
      </c>
      <c r="BU8" s="585">
        <v>73</v>
      </c>
      <c r="BV8" s="345"/>
      <c r="BW8" s="519">
        <v>64</v>
      </c>
      <c r="BX8" s="519">
        <v>65</v>
      </c>
      <c r="BY8" s="519">
        <v>66</v>
      </c>
      <c r="BZ8" s="519">
        <v>67</v>
      </c>
      <c r="CA8" s="585">
        <v>68</v>
      </c>
      <c r="CB8" s="585">
        <v>69</v>
      </c>
      <c r="CC8" s="585">
        <v>70</v>
      </c>
      <c r="CD8" s="585">
        <v>71</v>
      </c>
      <c r="CE8" s="585">
        <v>72</v>
      </c>
      <c r="CF8" s="585">
        <v>73</v>
      </c>
      <c r="CL8" s="233">
        <v>15</v>
      </c>
      <c r="CM8" s="233">
        <v>16</v>
      </c>
      <c r="CN8" s="233">
        <v>17</v>
      </c>
      <c r="CO8" s="233">
        <v>18</v>
      </c>
      <c r="CP8" s="233">
        <v>19</v>
      </c>
      <c r="CQ8" s="233">
        <v>20</v>
      </c>
      <c r="CR8" s="347">
        <v>21</v>
      </c>
    </row>
    <row r="9" spans="1:96" ht="15.75" customHeight="1">
      <c r="A9" s="725" t="s">
        <v>23</v>
      </c>
      <c r="B9" s="617"/>
      <c r="C9" s="618"/>
      <c r="D9" s="296"/>
      <c r="E9" s="296"/>
      <c r="F9" s="296"/>
      <c r="M9" s="300"/>
      <c r="N9" s="389"/>
      <c r="P9" s="466"/>
      <c r="Q9" s="466"/>
      <c r="W9" s="300"/>
      <c r="X9" s="389"/>
      <c r="Z9" s="466"/>
      <c r="AA9" s="466"/>
      <c r="AE9" s="466"/>
      <c r="AF9" s="466"/>
      <c r="AG9" s="466"/>
      <c r="AH9" s="466"/>
      <c r="AQ9" s="188"/>
      <c r="BA9" s="188"/>
      <c r="BK9" s="188"/>
      <c r="BU9" s="188"/>
      <c r="BV9" s="188"/>
      <c r="CF9" s="188"/>
      <c r="CL9" s="348"/>
      <c r="CM9" s="348"/>
      <c r="CN9" s="348"/>
      <c r="CO9" s="348"/>
      <c r="CP9" s="348"/>
      <c r="CQ9" s="348"/>
      <c r="CR9" s="348"/>
    </row>
    <row r="10" spans="1:96" ht="13.5" customHeight="1">
      <c r="A10" s="349"/>
      <c r="B10" s="350">
        <v>4700</v>
      </c>
      <c r="C10" s="297" t="s">
        <v>24</v>
      </c>
      <c r="D10" s="297"/>
      <c r="E10" s="297"/>
      <c r="F10" s="189"/>
      <c r="G10" s="496"/>
      <c r="H10" s="496"/>
      <c r="I10" s="496"/>
      <c r="J10" s="496"/>
      <c r="K10" s="496"/>
      <c r="L10" s="298"/>
      <c r="M10" s="299"/>
      <c r="N10" s="297"/>
      <c r="O10" s="224"/>
      <c r="P10" s="189"/>
      <c r="Q10" s="496"/>
      <c r="R10" s="496"/>
      <c r="S10" s="496"/>
      <c r="T10" s="496"/>
      <c r="U10" s="496"/>
      <c r="V10" s="496"/>
      <c r="W10" s="189"/>
      <c r="X10" s="442"/>
      <c r="Y10" s="189"/>
      <c r="Z10" s="189"/>
      <c r="AA10" s="496"/>
      <c r="AB10" s="496"/>
      <c r="AC10" s="496"/>
      <c r="AD10" s="496"/>
      <c r="AE10" s="496"/>
      <c r="AF10" s="496"/>
      <c r="AG10" s="189"/>
      <c r="AH10" s="442"/>
      <c r="AI10" s="224"/>
      <c r="AJ10" s="189"/>
      <c r="AK10" s="225"/>
      <c r="AL10" s="496"/>
      <c r="AM10" s="496"/>
      <c r="AN10" s="496"/>
      <c r="AO10" s="496"/>
      <c r="AP10" s="496"/>
      <c r="AQ10" s="189"/>
      <c r="AR10" s="442"/>
      <c r="AS10" s="299"/>
      <c r="AT10" s="189"/>
      <c r="AU10" s="225"/>
      <c r="AV10" s="496"/>
      <c r="AW10" s="496"/>
      <c r="AX10" s="496"/>
      <c r="AY10" s="496"/>
      <c r="AZ10" s="496"/>
      <c r="BA10" s="189"/>
      <c r="BB10" s="442"/>
      <c r="BC10" s="224"/>
      <c r="BD10" s="189"/>
      <c r="BE10" s="225"/>
      <c r="BF10" s="496"/>
      <c r="BG10" s="496"/>
      <c r="BH10" s="496"/>
      <c r="BI10" s="496"/>
      <c r="BJ10" s="496"/>
      <c r="BK10" s="189"/>
      <c r="BL10" s="442"/>
      <c r="BM10" s="224"/>
      <c r="BN10" s="189"/>
      <c r="BO10" s="225"/>
      <c r="BP10" s="496"/>
      <c r="BQ10" s="496"/>
      <c r="BR10" s="496"/>
      <c r="BS10" s="496"/>
      <c r="BT10" s="496"/>
      <c r="BU10" s="189"/>
      <c r="BV10" s="351"/>
      <c r="BW10" s="224"/>
      <c r="BX10" s="224"/>
      <c r="BY10" s="189"/>
      <c r="BZ10" s="225"/>
      <c r="CA10" s="496"/>
      <c r="CB10" s="496"/>
      <c r="CC10" s="496"/>
      <c r="CD10" s="496"/>
      <c r="CE10" s="496"/>
      <c r="CF10" s="189"/>
      <c r="CL10" s="352"/>
      <c r="CM10" s="352"/>
      <c r="CN10" s="352"/>
      <c r="CO10" s="352"/>
      <c r="CP10" s="352"/>
      <c r="CQ10" s="352"/>
      <c r="CR10" s="352"/>
    </row>
    <row r="11" spans="1:96" ht="16.5" customHeight="1">
      <c r="A11" s="349"/>
      <c r="B11" s="353">
        <v>4765</v>
      </c>
      <c r="C11" s="354" t="s">
        <v>25</v>
      </c>
      <c r="D11" s="354"/>
      <c r="E11" s="362" t="s">
        <v>26</v>
      </c>
      <c r="F11" s="189">
        <f>SUM(G11:M11)</f>
        <v>0.43</v>
      </c>
      <c r="G11" s="496">
        <v>0.43</v>
      </c>
      <c r="H11" s="496"/>
      <c r="I11" s="496"/>
      <c r="J11" s="496"/>
      <c r="K11" s="496"/>
      <c r="L11" s="298"/>
      <c r="M11" s="299"/>
      <c r="N11" s="354"/>
      <c r="O11" s="301" t="s">
        <v>26</v>
      </c>
      <c r="P11" s="189">
        <f>SUM(Q11:W11)</f>
        <v>0.02</v>
      </c>
      <c r="Q11" s="496">
        <v>0.02</v>
      </c>
      <c r="R11" s="496"/>
      <c r="S11" s="496"/>
      <c r="T11" s="496"/>
      <c r="U11" s="496"/>
      <c r="V11" s="496"/>
      <c r="W11" s="189"/>
      <c r="X11" s="443"/>
      <c r="Y11" s="362" t="s">
        <v>26</v>
      </c>
      <c r="Z11" s="189">
        <f>SUM(AA11:AG11)</f>
        <v>2.4</v>
      </c>
      <c r="AA11" s="496">
        <v>2.4</v>
      </c>
      <c r="AB11" s="496"/>
      <c r="AC11" s="496"/>
      <c r="AD11" s="496"/>
      <c r="AE11" s="496"/>
      <c r="AF11" s="496"/>
      <c r="AG11" s="189"/>
      <c r="AH11" s="443"/>
      <c r="AI11" s="362" t="s">
        <v>26</v>
      </c>
      <c r="AJ11" s="189">
        <f>SUM(AK11:AQ11)</f>
        <v>2</v>
      </c>
      <c r="AK11" s="496">
        <v>2</v>
      </c>
      <c r="AL11" s="496"/>
      <c r="AM11" s="496"/>
      <c r="AN11" s="496"/>
      <c r="AO11" s="496"/>
      <c r="AP11" s="496"/>
      <c r="AQ11" s="189"/>
      <c r="AR11" s="443"/>
      <c r="AS11" s="362" t="s">
        <v>26</v>
      </c>
      <c r="AT11" s="189">
        <f>SUM(AU11:BA11)</f>
        <v>2</v>
      </c>
      <c r="AU11" s="225">
        <v>2</v>
      </c>
      <c r="AV11" s="496"/>
      <c r="AW11" s="496"/>
      <c r="AX11" s="496"/>
      <c r="AY11" s="496"/>
      <c r="AZ11" s="496"/>
      <c r="BA11" s="189"/>
      <c r="BB11" s="443"/>
      <c r="BC11" s="362" t="s">
        <v>26</v>
      </c>
      <c r="BD11" s="189">
        <f>SUM(BE11:BK11)</f>
        <v>2</v>
      </c>
      <c r="BE11" s="496">
        <v>2</v>
      </c>
      <c r="BF11" s="496"/>
      <c r="BG11" s="496"/>
      <c r="BH11" s="496"/>
      <c r="BI11" s="496"/>
      <c r="BJ11" s="496"/>
      <c r="BK11" s="189"/>
      <c r="BL11" s="443"/>
      <c r="BM11" s="362" t="s">
        <v>26</v>
      </c>
      <c r="BN11" s="189">
        <f>SUM(BO11:BU11)</f>
        <v>1.1499999999999999</v>
      </c>
      <c r="BO11" s="496">
        <v>1.1499999999999999</v>
      </c>
      <c r="BP11" s="496"/>
      <c r="BQ11" s="496"/>
      <c r="BR11" s="496"/>
      <c r="BS11" s="496"/>
      <c r="BT11" s="496"/>
      <c r="BU11" s="189"/>
      <c r="BV11" s="351"/>
      <c r="BW11" s="189"/>
      <c r="BX11" s="362" t="s">
        <v>26</v>
      </c>
      <c r="BY11" s="189">
        <f t="shared" ref="BY11:BZ13" si="0">F11+P11+Z11+AJ11+AT11+BD11+BN11</f>
        <v>10</v>
      </c>
      <c r="BZ11" s="189">
        <f t="shared" si="0"/>
        <v>10</v>
      </c>
      <c r="CA11" s="496"/>
      <c r="CB11" s="496"/>
      <c r="CC11" s="496"/>
      <c r="CD11" s="496"/>
      <c r="CE11" s="496"/>
      <c r="CF11" s="189"/>
      <c r="CG11" s="582">
        <f t="shared" ref="CG11:CG42" si="1">BY11-CL11</f>
        <v>0</v>
      </c>
      <c r="CH11" s="582">
        <f t="shared" ref="CH11:CH42" si="2">BZ11-CM11</f>
        <v>0</v>
      </c>
      <c r="CI11" s="582"/>
      <c r="CJ11" s="582">
        <f t="shared" ref="CJ11:CJ42" si="3">CB11-CO11</f>
        <v>0</v>
      </c>
      <c r="CL11" s="240">
        <f>SUM(CM11:CR11)</f>
        <v>10</v>
      </c>
      <c r="CM11" s="192">
        <v>10</v>
      </c>
      <c r="CN11" s="192"/>
      <c r="CO11" s="192"/>
      <c r="CP11" s="192"/>
      <c r="CQ11" s="244"/>
      <c r="CR11" s="272"/>
    </row>
    <row r="12" spans="1:96" ht="17.25" customHeight="1">
      <c r="A12" s="349"/>
      <c r="B12" s="353">
        <v>4769</v>
      </c>
      <c r="C12" s="354" t="s">
        <v>27</v>
      </c>
      <c r="D12" s="354"/>
      <c r="E12" s="354"/>
      <c r="F12" s="189"/>
      <c r="G12" s="496"/>
      <c r="H12" s="496"/>
      <c r="I12" s="496"/>
      <c r="J12" s="496"/>
      <c r="K12" s="496"/>
      <c r="L12" s="298"/>
      <c r="M12" s="299"/>
      <c r="N12" s="354"/>
      <c r="O12" s="302"/>
      <c r="P12" s="189"/>
      <c r="Q12" s="496"/>
      <c r="R12" s="496"/>
      <c r="S12" s="496"/>
      <c r="T12" s="496"/>
      <c r="U12" s="496"/>
      <c r="V12" s="496"/>
      <c r="W12" s="189"/>
      <c r="X12" s="443"/>
      <c r="Y12" s="362" t="s">
        <v>26</v>
      </c>
      <c r="Z12" s="189">
        <f>SUM(AA12:AG12)</f>
        <v>2</v>
      </c>
      <c r="AA12" s="496">
        <v>2</v>
      </c>
      <c r="AB12" s="496"/>
      <c r="AC12" s="496"/>
      <c r="AD12" s="496"/>
      <c r="AE12" s="496"/>
      <c r="AF12" s="496"/>
      <c r="AG12" s="189"/>
      <c r="AH12" s="443"/>
      <c r="AI12" s="362" t="s">
        <v>26</v>
      </c>
      <c r="AJ12" s="189">
        <f>SUM(AK12:AQ12)</f>
        <v>2</v>
      </c>
      <c r="AK12" s="496">
        <v>2</v>
      </c>
      <c r="AL12" s="496"/>
      <c r="AM12" s="496"/>
      <c r="AN12" s="496"/>
      <c r="AO12" s="496"/>
      <c r="AP12" s="496"/>
      <c r="AQ12" s="189"/>
      <c r="AR12" s="443"/>
      <c r="AS12" s="362" t="s">
        <v>26</v>
      </c>
      <c r="AT12" s="189">
        <f>SUM(AU12:BA12)</f>
        <v>2</v>
      </c>
      <c r="AU12" s="225">
        <v>2</v>
      </c>
      <c r="AV12" s="496"/>
      <c r="AW12" s="496"/>
      <c r="AX12" s="496"/>
      <c r="AY12" s="496"/>
      <c r="AZ12" s="496"/>
      <c r="BA12" s="189"/>
      <c r="BB12" s="443"/>
      <c r="BC12" s="362" t="s">
        <v>26</v>
      </c>
      <c r="BD12" s="189">
        <f>SUM(BE12:BK12)</f>
        <v>2</v>
      </c>
      <c r="BE12" s="496">
        <v>2</v>
      </c>
      <c r="BF12" s="496"/>
      <c r="BG12" s="496"/>
      <c r="BH12" s="496"/>
      <c r="BI12" s="496"/>
      <c r="BJ12" s="496"/>
      <c r="BK12" s="189"/>
      <c r="BL12" s="443"/>
      <c r="BM12" s="362" t="s">
        <v>26</v>
      </c>
      <c r="BN12" s="189">
        <f>SUM(BO12:BU12)</f>
        <v>2</v>
      </c>
      <c r="BO12" s="496">
        <v>2</v>
      </c>
      <c r="BP12" s="496"/>
      <c r="BQ12" s="496"/>
      <c r="BR12" s="496"/>
      <c r="BS12" s="496"/>
      <c r="BT12" s="496"/>
      <c r="BU12" s="189"/>
      <c r="BV12" s="351"/>
      <c r="BW12" s="189"/>
      <c r="BX12" s="362" t="s">
        <v>26</v>
      </c>
      <c r="BY12" s="189">
        <f t="shared" si="0"/>
        <v>10</v>
      </c>
      <c r="BZ12" s="189">
        <f t="shared" si="0"/>
        <v>10</v>
      </c>
      <c r="CA12" s="496"/>
      <c r="CB12" s="496"/>
      <c r="CC12" s="496"/>
      <c r="CD12" s="496"/>
      <c r="CE12" s="496"/>
      <c r="CF12" s="189"/>
      <c r="CG12" s="582">
        <f t="shared" si="1"/>
        <v>0</v>
      </c>
      <c r="CH12" s="582">
        <f t="shared" si="2"/>
        <v>0</v>
      </c>
      <c r="CI12" s="582"/>
      <c r="CJ12" s="582">
        <f t="shared" si="3"/>
        <v>0</v>
      </c>
      <c r="CL12" s="240">
        <f>SUM(CM12:CR12)</f>
        <v>10</v>
      </c>
      <c r="CM12" s="192">
        <v>10</v>
      </c>
      <c r="CN12" s="192"/>
      <c r="CO12" s="192"/>
      <c r="CP12" s="192"/>
      <c r="CQ12" s="244"/>
      <c r="CR12" s="272"/>
    </row>
    <row r="13" spans="1:96" ht="17.25" customHeight="1">
      <c r="A13" s="349"/>
      <c r="B13" s="353">
        <v>4795</v>
      </c>
      <c r="C13" s="354" t="s">
        <v>28</v>
      </c>
      <c r="D13" s="354"/>
      <c r="E13" s="354"/>
      <c r="F13" s="189"/>
      <c r="G13" s="496"/>
      <c r="H13" s="496"/>
      <c r="I13" s="496"/>
      <c r="J13" s="496"/>
      <c r="K13" s="496"/>
      <c r="L13" s="298"/>
      <c r="M13" s="299"/>
      <c r="N13" s="354"/>
      <c r="O13" s="301"/>
      <c r="P13" s="189"/>
      <c r="Q13" s="496"/>
      <c r="R13" s="496"/>
      <c r="S13" s="496"/>
      <c r="T13" s="496"/>
      <c r="U13" s="496"/>
      <c r="V13" s="496"/>
      <c r="W13" s="189"/>
      <c r="X13" s="443"/>
      <c r="Y13" s="362" t="s">
        <v>26</v>
      </c>
      <c r="Z13" s="189">
        <f>SUM(AA13:AG13)</f>
        <v>64</v>
      </c>
      <c r="AA13" s="496">
        <v>64</v>
      </c>
      <c r="AB13" s="496"/>
      <c r="AC13" s="496"/>
      <c r="AD13" s="496"/>
      <c r="AE13" s="496"/>
      <c r="AF13" s="496"/>
      <c r="AG13" s="189"/>
      <c r="AH13" s="443"/>
      <c r="AI13" s="362" t="s">
        <v>26</v>
      </c>
      <c r="AJ13" s="189">
        <f>SUM(AK13:AQ13)</f>
        <v>32</v>
      </c>
      <c r="AK13" s="496">
        <v>32</v>
      </c>
      <c r="AL13" s="496"/>
      <c r="AM13" s="496"/>
      <c r="AN13" s="496"/>
      <c r="AO13" s="496"/>
      <c r="AP13" s="496"/>
      <c r="AQ13" s="189"/>
      <c r="AR13" s="443"/>
      <c r="AS13" s="362" t="s">
        <v>26</v>
      </c>
      <c r="AT13" s="189">
        <f>SUM(AU13:BA13)</f>
        <v>20</v>
      </c>
      <c r="AU13" s="225">
        <v>20</v>
      </c>
      <c r="AV13" s="496"/>
      <c r="AW13" s="496"/>
      <c r="AX13" s="496"/>
      <c r="AY13" s="496"/>
      <c r="AZ13" s="496"/>
      <c r="BA13" s="189"/>
      <c r="BB13" s="443"/>
      <c r="BC13" s="362" t="s">
        <v>26</v>
      </c>
      <c r="BD13" s="189">
        <f>SUM(BE13:BK13)</f>
        <v>14</v>
      </c>
      <c r="BE13" s="496">
        <v>14</v>
      </c>
      <c r="BF13" s="496"/>
      <c r="BG13" s="496"/>
      <c r="BH13" s="496"/>
      <c r="BI13" s="496"/>
      <c r="BJ13" s="496"/>
      <c r="BK13" s="189"/>
      <c r="BL13" s="443"/>
      <c r="BM13" s="362" t="s">
        <v>26</v>
      </c>
      <c r="BN13" s="189">
        <f>SUM(BO13:BU13)</f>
        <v>10</v>
      </c>
      <c r="BO13" s="496">
        <v>10</v>
      </c>
      <c r="BP13" s="496"/>
      <c r="BQ13" s="496"/>
      <c r="BR13" s="496"/>
      <c r="BS13" s="496"/>
      <c r="BT13" s="496"/>
      <c r="BU13" s="189"/>
      <c r="BV13" s="351"/>
      <c r="BW13" s="189"/>
      <c r="BX13" s="362" t="s">
        <v>26</v>
      </c>
      <c r="BY13" s="189">
        <f t="shared" si="0"/>
        <v>140</v>
      </c>
      <c r="BZ13" s="189">
        <f t="shared" si="0"/>
        <v>140</v>
      </c>
      <c r="CA13" s="496"/>
      <c r="CB13" s="496"/>
      <c r="CC13" s="496"/>
      <c r="CD13" s="496"/>
      <c r="CE13" s="496"/>
      <c r="CF13" s="189"/>
      <c r="CG13" s="582">
        <f t="shared" si="1"/>
        <v>-10</v>
      </c>
      <c r="CH13" s="582">
        <f t="shared" si="2"/>
        <v>-10</v>
      </c>
      <c r="CI13" s="582"/>
      <c r="CJ13" s="582">
        <f t="shared" si="3"/>
        <v>0</v>
      </c>
      <c r="CL13" s="240">
        <f>SUM(CM13:CR13)</f>
        <v>150</v>
      </c>
      <c r="CM13" s="192">
        <v>150</v>
      </c>
      <c r="CN13" s="192"/>
      <c r="CO13" s="192"/>
      <c r="CP13" s="192"/>
      <c r="CQ13" s="244"/>
      <c r="CR13" s="272"/>
    </row>
    <row r="14" spans="1:96" ht="17.25" customHeight="1">
      <c r="A14" s="349"/>
      <c r="B14" s="350">
        <v>4800</v>
      </c>
      <c r="C14" s="297" t="s">
        <v>29</v>
      </c>
      <c r="D14" s="297"/>
      <c r="E14" s="297"/>
      <c r="F14" s="189"/>
      <c r="G14" s="496"/>
      <c r="H14" s="496"/>
      <c r="I14" s="496"/>
      <c r="J14" s="496"/>
      <c r="K14" s="496"/>
      <c r="L14" s="298"/>
      <c r="M14" s="299"/>
      <c r="N14" s="297"/>
      <c r="O14" s="303"/>
      <c r="P14" s="189"/>
      <c r="Q14" s="496"/>
      <c r="R14" s="496"/>
      <c r="S14" s="496"/>
      <c r="T14" s="496"/>
      <c r="U14" s="496"/>
      <c r="V14" s="496"/>
      <c r="W14" s="189"/>
      <c r="X14" s="442"/>
      <c r="Y14" s="297"/>
      <c r="Z14" s="189"/>
      <c r="AA14" s="496"/>
      <c r="AB14" s="496"/>
      <c r="AC14" s="496"/>
      <c r="AD14" s="496"/>
      <c r="AE14" s="496"/>
      <c r="AF14" s="496"/>
      <c r="AG14" s="189"/>
      <c r="AH14" s="442"/>
      <c r="AI14" s="297"/>
      <c r="AJ14" s="189"/>
      <c r="AK14" s="225"/>
      <c r="AL14" s="496"/>
      <c r="AM14" s="496"/>
      <c r="AN14" s="496"/>
      <c r="AO14" s="496"/>
      <c r="AP14" s="496"/>
      <c r="AQ14" s="189"/>
      <c r="AR14" s="442"/>
      <c r="AS14" s="297"/>
      <c r="AT14" s="189"/>
      <c r="AU14" s="225"/>
      <c r="AV14" s="496"/>
      <c r="AW14" s="496"/>
      <c r="AX14" s="496"/>
      <c r="AY14" s="496"/>
      <c r="AZ14" s="496"/>
      <c r="BA14" s="189"/>
      <c r="BB14" s="442"/>
      <c r="BC14" s="297"/>
      <c r="BD14" s="189"/>
      <c r="BE14" s="225"/>
      <c r="BF14" s="496"/>
      <c r="BG14" s="496"/>
      <c r="BH14" s="496"/>
      <c r="BI14" s="496"/>
      <c r="BJ14" s="496"/>
      <c r="BK14" s="189"/>
      <c r="BL14" s="442"/>
      <c r="BM14" s="297"/>
      <c r="BN14" s="189"/>
      <c r="BO14" s="225"/>
      <c r="BP14" s="496"/>
      <c r="BQ14" s="496"/>
      <c r="BR14" s="496"/>
      <c r="BS14" s="496"/>
      <c r="BT14" s="496"/>
      <c r="BU14" s="189"/>
      <c r="BV14" s="351"/>
      <c r="BW14" s="189"/>
      <c r="BX14" s="297"/>
      <c r="BY14" s="189"/>
      <c r="BZ14" s="225"/>
      <c r="CA14" s="496"/>
      <c r="CB14" s="496"/>
      <c r="CC14" s="496"/>
      <c r="CD14" s="496"/>
      <c r="CE14" s="496"/>
      <c r="CF14" s="189"/>
      <c r="CG14" s="582">
        <f t="shared" si="1"/>
        <v>0</v>
      </c>
      <c r="CH14" s="582">
        <f t="shared" si="2"/>
        <v>0</v>
      </c>
      <c r="CI14" s="582"/>
      <c r="CJ14" s="582">
        <f t="shared" si="3"/>
        <v>0</v>
      </c>
      <c r="CL14" s="352"/>
      <c r="CM14" s="352"/>
      <c r="CN14" s="352"/>
      <c r="CO14" s="352"/>
      <c r="CP14" s="352"/>
      <c r="CQ14" s="352"/>
      <c r="CR14" s="352"/>
    </row>
    <row r="15" spans="1:96" ht="18" customHeight="1">
      <c r="A15" s="349"/>
      <c r="B15" s="353">
        <v>4801</v>
      </c>
      <c r="C15" s="145" t="s">
        <v>30</v>
      </c>
      <c r="D15" s="354"/>
      <c r="E15" s="362" t="s">
        <v>26</v>
      </c>
      <c r="F15" s="189">
        <f t="shared" ref="F15:F29" si="4">SUM(G15:M15)</f>
        <v>27.88</v>
      </c>
      <c r="G15" s="496">
        <v>27.88</v>
      </c>
      <c r="H15" s="496"/>
      <c r="I15" s="496"/>
      <c r="J15" s="496"/>
      <c r="K15" s="496"/>
      <c r="L15" s="298"/>
      <c r="M15" s="299"/>
      <c r="N15" s="354"/>
      <c r="O15" s="301" t="s">
        <v>26</v>
      </c>
      <c r="P15" s="189">
        <v>0.02</v>
      </c>
      <c r="Q15" s="496">
        <v>1.0900000000000001</v>
      </c>
      <c r="R15" s="496"/>
      <c r="S15" s="496"/>
      <c r="T15" s="496"/>
      <c r="U15" s="496"/>
      <c r="V15" s="496"/>
      <c r="W15" s="189"/>
      <c r="X15" s="443"/>
      <c r="Y15" s="362" t="s">
        <v>26</v>
      </c>
      <c r="Z15" s="189">
        <f t="shared" ref="Z15:Z29" si="5">SUM(AA15:AG15)</f>
        <v>17</v>
      </c>
      <c r="AA15" s="496">
        <v>17</v>
      </c>
      <c r="AB15" s="496"/>
      <c r="AC15" s="496"/>
      <c r="AD15" s="496"/>
      <c r="AE15" s="496"/>
      <c r="AF15" s="496"/>
      <c r="AG15" s="189"/>
      <c r="AH15" s="443"/>
      <c r="AI15" s="362" t="s">
        <v>26</v>
      </c>
      <c r="AJ15" s="189">
        <f t="shared" ref="AJ15:AJ20" si="6">SUM(AK15:AQ15)</f>
        <v>17</v>
      </c>
      <c r="AK15" s="496">
        <v>17</v>
      </c>
      <c r="AL15" s="496"/>
      <c r="AM15" s="496"/>
      <c r="AN15" s="496"/>
      <c r="AO15" s="496"/>
      <c r="AP15" s="496"/>
      <c r="AQ15" s="189"/>
      <c r="AR15" s="443"/>
      <c r="AS15" s="362" t="s">
        <v>26</v>
      </c>
      <c r="AT15" s="189">
        <f t="shared" ref="AT15:AT20" si="7">SUM(AU15:BA15)</f>
        <v>15</v>
      </c>
      <c r="AU15" s="225">
        <v>15</v>
      </c>
      <c r="AV15" s="496"/>
      <c r="AW15" s="496"/>
      <c r="AX15" s="496"/>
      <c r="AY15" s="496"/>
      <c r="AZ15" s="496"/>
      <c r="BA15" s="189"/>
      <c r="BB15" s="443"/>
      <c r="BC15" s="362" t="s">
        <v>26</v>
      </c>
      <c r="BD15" s="189">
        <f t="shared" ref="BD15:BD20" si="8">SUM(BE15:BK15)</f>
        <v>13</v>
      </c>
      <c r="BE15" s="496">
        <v>13</v>
      </c>
      <c r="BF15" s="496"/>
      <c r="BG15" s="496"/>
      <c r="BH15" s="496"/>
      <c r="BI15" s="496"/>
      <c r="BJ15" s="496"/>
      <c r="BK15" s="189"/>
      <c r="BL15" s="443"/>
      <c r="BM15" s="362" t="s">
        <v>26</v>
      </c>
      <c r="BN15" s="189">
        <f t="shared" ref="BN15:BN20" si="9">SUM(BO15:BU15)</f>
        <v>10.1</v>
      </c>
      <c r="BO15" s="496">
        <v>10.1</v>
      </c>
      <c r="BP15" s="496"/>
      <c r="BQ15" s="496"/>
      <c r="BR15" s="496"/>
      <c r="BS15" s="496"/>
      <c r="BT15" s="496"/>
      <c r="BU15" s="189"/>
      <c r="BV15" s="351"/>
      <c r="BW15" s="189"/>
      <c r="BX15" s="362" t="s">
        <v>26</v>
      </c>
      <c r="BY15" s="189">
        <f t="shared" ref="BY15:BY29" si="10">F15+P15+Z15+AJ15+AT15+BD15+BN15</f>
        <v>100</v>
      </c>
      <c r="BZ15" s="189">
        <f t="shared" ref="BZ15:BZ29" si="11">G15+Q15+AA15+AK15+AU15+BE15+BO15</f>
        <v>101.07</v>
      </c>
      <c r="CA15" s="496"/>
      <c r="CB15" s="496"/>
      <c r="CC15" s="496"/>
      <c r="CD15" s="496"/>
      <c r="CE15" s="496"/>
      <c r="CF15" s="189"/>
      <c r="CG15" s="582">
        <f t="shared" si="1"/>
        <v>0</v>
      </c>
      <c r="CH15" s="582">
        <f t="shared" si="2"/>
        <v>1.0699999999999932</v>
      </c>
      <c r="CI15" s="582"/>
      <c r="CJ15" s="582">
        <f t="shared" si="3"/>
        <v>0</v>
      </c>
      <c r="CL15" s="240">
        <f t="shared" ref="CL15:CL29" si="12">SUM(CM15:CR15)</f>
        <v>100</v>
      </c>
      <c r="CM15" s="193">
        <v>100</v>
      </c>
      <c r="CN15" s="194"/>
      <c r="CO15" s="194"/>
      <c r="CP15" s="194"/>
      <c r="CQ15" s="193"/>
      <c r="CR15" s="272"/>
    </row>
    <row r="16" spans="1:96" ht="16.5" customHeight="1">
      <c r="A16" s="349"/>
      <c r="B16" s="353">
        <v>4806</v>
      </c>
      <c r="C16" s="95" t="s">
        <v>31</v>
      </c>
      <c r="D16" s="354"/>
      <c r="E16" s="362" t="s">
        <v>26</v>
      </c>
      <c r="F16" s="189">
        <f t="shared" si="4"/>
        <v>44.76</v>
      </c>
      <c r="G16" s="496">
        <v>44.76</v>
      </c>
      <c r="H16" s="496"/>
      <c r="I16" s="496"/>
      <c r="J16" s="496"/>
      <c r="K16" s="496"/>
      <c r="L16" s="298"/>
      <c r="M16" s="299"/>
      <c r="N16" s="354"/>
      <c r="O16" s="301" t="s">
        <v>26</v>
      </c>
      <c r="P16" s="189">
        <f>SUM(Q16:W16)</f>
        <v>2.84</v>
      </c>
      <c r="Q16" s="496">
        <v>2.84</v>
      </c>
      <c r="R16" s="496"/>
      <c r="S16" s="496"/>
      <c r="T16" s="496"/>
      <c r="U16" s="496"/>
      <c r="V16" s="496"/>
      <c r="W16" s="189"/>
      <c r="X16" s="443"/>
      <c r="Y16" s="362" t="s">
        <v>26</v>
      </c>
      <c r="Z16" s="189">
        <f t="shared" si="5"/>
        <v>39.4</v>
      </c>
      <c r="AA16" s="496">
        <v>39.4</v>
      </c>
      <c r="AB16" s="496"/>
      <c r="AC16" s="496"/>
      <c r="AD16" s="496"/>
      <c r="AE16" s="496"/>
      <c r="AF16" s="496"/>
      <c r="AG16" s="189"/>
      <c r="AH16" s="443"/>
      <c r="AI16" s="362" t="s">
        <v>26</v>
      </c>
      <c r="AJ16" s="189">
        <f t="shared" si="6"/>
        <v>39.4</v>
      </c>
      <c r="AK16" s="496">
        <v>39.4</v>
      </c>
      <c r="AL16" s="496"/>
      <c r="AM16" s="496"/>
      <c r="AN16" s="496"/>
      <c r="AO16" s="496"/>
      <c r="AP16" s="496"/>
      <c r="AQ16" s="189"/>
      <c r="AR16" s="443"/>
      <c r="AS16" s="362" t="s">
        <v>26</v>
      </c>
      <c r="AT16" s="189">
        <f t="shared" si="7"/>
        <v>39.4</v>
      </c>
      <c r="AU16" s="225">
        <v>39.4</v>
      </c>
      <c r="AV16" s="496"/>
      <c r="AW16" s="496"/>
      <c r="AX16" s="496"/>
      <c r="AY16" s="496"/>
      <c r="AZ16" s="496"/>
      <c r="BA16" s="189"/>
      <c r="BB16" s="443"/>
      <c r="BC16" s="362" t="s">
        <v>26</v>
      </c>
      <c r="BD16" s="189">
        <f t="shared" si="8"/>
        <v>39.6</v>
      </c>
      <c r="BE16" s="496">
        <v>39.6</v>
      </c>
      <c r="BF16" s="496"/>
      <c r="BG16" s="496"/>
      <c r="BH16" s="496"/>
      <c r="BI16" s="496"/>
      <c r="BJ16" s="496"/>
      <c r="BK16" s="189"/>
      <c r="BL16" s="443"/>
      <c r="BM16" s="362" t="s">
        <v>26</v>
      </c>
      <c r="BN16" s="189">
        <f t="shared" si="9"/>
        <v>39.6</v>
      </c>
      <c r="BO16" s="496">
        <v>39.6</v>
      </c>
      <c r="BP16" s="496"/>
      <c r="BQ16" s="496"/>
      <c r="BR16" s="496"/>
      <c r="BS16" s="496"/>
      <c r="BT16" s="496"/>
      <c r="BU16" s="189"/>
      <c r="BV16" s="351"/>
      <c r="BW16" s="189"/>
      <c r="BX16" s="362" t="s">
        <v>26</v>
      </c>
      <c r="BY16" s="189">
        <f t="shared" si="10"/>
        <v>245</v>
      </c>
      <c r="BZ16" s="189">
        <f t="shared" si="11"/>
        <v>245</v>
      </c>
      <c r="CA16" s="496"/>
      <c r="CB16" s="496"/>
      <c r="CC16" s="496"/>
      <c r="CD16" s="496"/>
      <c r="CE16" s="496"/>
      <c r="CF16" s="189"/>
      <c r="CG16" s="582">
        <f t="shared" si="1"/>
        <v>0</v>
      </c>
      <c r="CH16" s="582">
        <f t="shared" si="2"/>
        <v>0</v>
      </c>
      <c r="CI16" s="582"/>
      <c r="CJ16" s="582">
        <f t="shared" si="3"/>
        <v>0</v>
      </c>
      <c r="CL16" s="240">
        <f t="shared" si="12"/>
        <v>245</v>
      </c>
      <c r="CM16" s="193">
        <v>245</v>
      </c>
      <c r="CN16" s="194"/>
      <c r="CO16" s="194"/>
      <c r="CP16" s="194"/>
      <c r="CQ16" s="245"/>
      <c r="CR16" s="272"/>
    </row>
    <row r="17" spans="1:129" ht="30" customHeight="1">
      <c r="A17" s="349"/>
      <c r="B17" s="353">
        <v>4814</v>
      </c>
      <c r="C17" s="95" t="s">
        <v>32</v>
      </c>
      <c r="D17" s="354"/>
      <c r="E17" s="362" t="s">
        <v>26</v>
      </c>
      <c r="F17" s="189">
        <f t="shared" si="4"/>
        <v>997.69</v>
      </c>
      <c r="G17" s="496">
        <v>997.69</v>
      </c>
      <c r="H17" s="496"/>
      <c r="I17" s="496"/>
      <c r="J17" s="496"/>
      <c r="K17" s="496"/>
      <c r="L17" s="298"/>
      <c r="M17" s="299"/>
      <c r="N17" s="354"/>
      <c r="O17" s="301" t="s">
        <v>26</v>
      </c>
      <c r="P17" s="189">
        <v>18.41</v>
      </c>
      <c r="Q17" s="496">
        <v>30.46</v>
      </c>
      <c r="R17" s="496"/>
      <c r="S17" s="496"/>
      <c r="T17" s="496"/>
      <c r="U17" s="496"/>
      <c r="V17" s="496"/>
      <c r="W17" s="189"/>
      <c r="X17" s="443"/>
      <c r="Y17" s="362" t="s">
        <v>26</v>
      </c>
      <c r="Z17" s="189">
        <f t="shared" si="5"/>
        <v>375</v>
      </c>
      <c r="AA17" s="496">
        <v>375</v>
      </c>
      <c r="AB17" s="496"/>
      <c r="AC17" s="496"/>
      <c r="AD17" s="496"/>
      <c r="AE17" s="496"/>
      <c r="AF17" s="496"/>
      <c r="AG17" s="189"/>
      <c r="AH17" s="443"/>
      <c r="AI17" s="362" t="s">
        <v>26</v>
      </c>
      <c r="AJ17" s="189">
        <f t="shared" si="6"/>
        <v>375</v>
      </c>
      <c r="AK17" s="496">
        <v>375</v>
      </c>
      <c r="AL17" s="496"/>
      <c r="AM17" s="496"/>
      <c r="AN17" s="496"/>
      <c r="AO17" s="496"/>
      <c r="AP17" s="496"/>
      <c r="AQ17" s="189"/>
      <c r="AR17" s="443"/>
      <c r="AS17" s="362" t="s">
        <v>26</v>
      </c>
      <c r="AT17" s="189">
        <f t="shared" si="7"/>
        <v>325</v>
      </c>
      <c r="AU17" s="225">
        <v>325</v>
      </c>
      <c r="AV17" s="496"/>
      <c r="AW17" s="496"/>
      <c r="AX17" s="496"/>
      <c r="AY17" s="496"/>
      <c r="AZ17" s="496"/>
      <c r="BA17" s="189"/>
      <c r="BB17" s="443"/>
      <c r="BC17" s="362" t="s">
        <v>26</v>
      </c>
      <c r="BD17" s="189">
        <f t="shared" si="8"/>
        <v>275</v>
      </c>
      <c r="BE17" s="496">
        <v>275</v>
      </c>
      <c r="BF17" s="496"/>
      <c r="BG17" s="496"/>
      <c r="BH17" s="496"/>
      <c r="BI17" s="496"/>
      <c r="BJ17" s="496"/>
      <c r="BK17" s="189"/>
      <c r="BL17" s="443"/>
      <c r="BM17" s="362" t="s">
        <v>26</v>
      </c>
      <c r="BN17" s="189">
        <f t="shared" si="9"/>
        <v>230.17</v>
      </c>
      <c r="BO17" s="225">
        <v>230.17</v>
      </c>
      <c r="BP17" s="496"/>
      <c r="BQ17" s="496"/>
      <c r="BR17" s="496"/>
      <c r="BS17" s="496"/>
      <c r="BT17" s="496"/>
      <c r="BU17" s="189"/>
      <c r="BV17" s="351"/>
      <c r="BW17" s="189"/>
      <c r="BX17" s="362" t="s">
        <v>26</v>
      </c>
      <c r="BY17" s="189">
        <f t="shared" si="10"/>
        <v>2596.27</v>
      </c>
      <c r="BZ17" s="189">
        <f t="shared" si="11"/>
        <v>2608.3200000000002</v>
      </c>
      <c r="CA17" s="496"/>
      <c r="CB17" s="496"/>
      <c r="CC17" s="496"/>
      <c r="CD17" s="496"/>
      <c r="CE17" s="496"/>
      <c r="CF17" s="189"/>
      <c r="CG17" s="582">
        <f t="shared" si="1"/>
        <v>100</v>
      </c>
      <c r="CH17" s="582">
        <f t="shared" si="2"/>
        <v>112.05000000000018</v>
      </c>
      <c r="CI17" s="582"/>
      <c r="CJ17" s="582">
        <f t="shared" si="3"/>
        <v>0</v>
      </c>
      <c r="CL17" s="240">
        <f t="shared" si="12"/>
        <v>2496.27</v>
      </c>
      <c r="CM17" s="193">
        <v>2496.27</v>
      </c>
      <c r="CN17" s="194"/>
      <c r="CO17" s="194"/>
      <c r="CP17" s="194"/>
      <c r="CQ17" s="245"/>
      <c r="CR17" s="272"/>
    </row>
    <row r="18" spans="1:129" ht="16.5" customHeight="1">
      <c r="A18" s="349"/>
      <c r="B18" s="353">
        <v>4815</v>
      </c>
      <c r="C18" s="95" t="s">
        <v>33</v>
      </c>
      <c r="D18" s="354"/>
      <c r="E18" s="362" t="s">
        <v>26</v>
      </c>
      <c r="F18" s="189">
        <f t="shared" si="4"/>
        <v>0.18</v>
      </c>
      <c r="G18" s="496">
        <v>0.18</v>
      </c>
      <c r="H18" s="496"/>
      <c r="I18" s="496"/>
      <c r="J18" s="496"/>
      <c r="K18" s="496"/>
      <c r="L18" s="298"/>
      <c r="M18" s="299"/>
      <c r="N18" s="354"/>
      <c r="O18" s="301" t="s">
        <v>26</v>
      </c>
      <c r="P18" s="189">
        <v>0.02</v>
      </c>
      <c r="Q18" s="496">
        <v>0.04</v>
      </c>
      <c r="R18" s="496"/>
      <c r="S18" s="496"/>
      <c r="T18" s="496"/>
      <c r="U18" s="496"/>
      <c r="V18" s="496"/>
      <c r="W18" s="189"/>
      <c r="X18" s="443"/>
      <c r="Y18" s="362" t="s">
        <v>26</v>
      </c>
      <c r="Z18" s="189">
        <f t="shared" si="5"/>
        <v>5</v>
      </c>
      <c r="AA18" s="496">
        <v>5</v>
      </c>
      <c r="AB18" s="496"/>
      <c r="AC18" s="496"/>
      <c r="AD18" s="496"/>
      <c r="AE18" s="496"/>
      <c r="AF18" s="496"/>
      <c r="AG18" s="189"/>
      <c r="AH18" s="443"/>
      <c r="AI18" s="362" t="s">
        <v>26</v>
      </c>
      <c r="AJ18" s="189">
        <f t="shared" si="6"/>
        <v>5</v>
      </c>
      <c r="AK18" s="496">
        <v>5</v>
      </c>
      <c r="AL18" s="496"/>
      <c r="AM18" s="496"/>
      <c r="AN18" s="496"/>
      <c r="AO18" s="496"/>
      <c r="AP18" s="496"/>
      <c r="AQ18" s="189"/>
      <c r="AR18" s="443"/>
      <c r="AS18" s="362" t="s">
        <v>26</v>
      </c>
      <c r="AT18" s="189">
        <f t="shared" si="7"/>
        <v>5</v>
      </c>
      <c r="AU18" s="225">
        <v>5</v>
      </c>
      <c r="AV18" s="496"/>
      <c r="AW18" s="496"/>
      <c r="AX18" s="496"/>
      <c r="AY18" s="496"/>
      <c r="AZ18" s="496"/>
      <c r="BA18" s="189"/>
      <c r="BB18" s="443"/>
      <c r="BC18" s="362" t="s">
        <v>26</v>
      </c>
      <c r="BD18" s="189">
        <f t="shared" si="8"/>
        <v>5</v>
      </c>
      <c r="BE18" s="496">
        <v>5</v>
      </c>
      <c r="BF18" s="496"/>
      <c r="BG18" s="496"/>
      <c r="BH18" s="496"/>
      <c r="BI18" s="496"/>
      <c r="BJ18" s="496"/>
      <c r="BK18" s="189"/>
      <c r="BL18" s="443"/>
      <c r="BM18" s="362" t="s">
        <v>26</v>
      </c>
      <c r="BN18" s="189">
        <f t="shared" si="9"/>
        <v>4.8</v>
      </c>
      <c r="BO18" s="225">
        <v>4.8</v>
      </c>
      <c r="BP18" s="496"/>
      <c r="BQ18" s="496"/>
      <c r="BR18" s="496"/>
      <c r="BS18" s="496"/>
      <c r="BT18" s="496"/>
      <c r="BU18" s="189"/>
      <c r="BV18" s="351"/>
      <c r="BW18" s="189"/>
      <c r="BX18" s="362" t="s">
        <v>26</v>
      </c>
      <c r="BY18" s="189">
        <f t="shared" si="10"/>
        <v>25</v>
      </c>
      <c r="BZ18" s="189">
        <f t="shared" si="11"/>
        <v>25.02</v>
      </c>
      <c r="CA18" s="496"/>
      <c r="CB18" s="496"/>
      <c r="CC18" s="496"/>
      <c r="CD18" s="496"/>
      <c r="CE18" s="496"/>
      <c r="CF18" s="189"/>
      <c r="CG18" s="582">
        <f t="shared" si="1"/>
        <v>0</v>
      </c>
      <c r="CH18" s="582">
        <f t="shared" si="2"/>
        <v>1.9999999999999574E-2</v>
      </c>
      <c r="CI18" s="582"/>
      <c r="CJ18" s="582">
        <f t="shared" si="3"/>
        <v>0</v>
      </c>
      <c r="CL18" s="240">
        <f t="shared" si="12"/>
        <v>25</v>
      </c>
      <c r="CM18" s="193">
        <v>25</v>
      </c>
      <c r="CN18" s="194"/>
      <c r="CO18" s="194"/>
      <c r="CP18" s="194"/>
      <c r="CQ18" s="245"/>
      <c r="CR18" s="272"/>
    </row>
    <row r="19" spans="1:129" ht="16.5" customHeight="1">
      <c r="A19" s="349"/>
      <c r="B19" s="353">
        <v>4816</v>
      </c>
      <c r="C19" s="310" t="s">
        <v>34</v>
      </c>
      <c r="D19" s="354"/>
      <c r="E19" s="362" t="s">
        <v>26</v>
      </c>
      <c r="F19" s="189">
        <f t="shared" si="4"/>
        <v>0.59</v>
      </c>
      <c r="G19" s="496">
        <v>0.59</v>
      </c>
      <c r="H19" s="496"/>
      <c r="I19" s="496"/>
      <c r="J19" s="496"/>
      <c r="K19" s="496"/>
      <c r="L19" s="298"/>
      <c r="M19" s="299"/>
      <c r="N19" s="354"/>
      <c r="O19" s="301" t="s">
        <v>26</v>
      </c>
      <c r="P19" s="189">
        <v>0.16</v>
      </c>
      <c r="Q19" s="496">
        <v>0.18</v>
      </c>
      <c r="R19" s="496"/>
      <c r="S19" s="496"/>
      <c r="T19" s="496"/>
      <c r="U19" s="496"/>
      <c r="V19" s="496"/>
      <c r="W19" s="189"/>
      <c r="X19" s="443"/>
      <c r="Y19" s="362" t="s">
        <v>26</v>
      </c>
      <c r="Z19" s="189">
        <f t="shared" si="5"/>
        <v>6</v>
      </c>
      <c r="AA19" s="496">
        <v>6</v>
      </c>
      <c r="AB19" s="496"/>
      <c r="AC19" s="496"/>
      <c r="AD19" s="496"/>
      <c r="AE19" s="496"/>
      <c r="AF19" s="496"/>
      <c r="AG19" s="189"/>
      <c r="AH19" s="443"/>
      <c r="AI19" s="362" t="s">
        <v>26</v>
      </c>
      <c r="AJ19" s="189">
        <f t="shared" si="6"/>
        <v>6</v>
      </c>
      <c r="AK19" s="496">
        <v>6</v>
      </c>
      <c r="AL19" s="496"/>
      <c r="AM19" s="496"/>
      <c r="AN19" s="496"/>
      <c r="AO19" s="496"/>
      <c r="AP19" s="496"/>
      <c r="AQ19" s="189"/>
      <c r="AR19" s="443"/>
      <c r="AS19" s="362" t="s">
        <v>26</v>
      </c>
      <c r="AT19" s="189">
        <f t="shared" si="7"/>
        <v>4.3499999999999996</v>
      </c>
      <c r="AU19" s="225">
        <v>4.3499999999999996</v>
      </c>
      <c r="AV19" s="496"/>
      <c r="AW19" s="496"/>
      <c r="AX19" s="496"/>
      <c r="AY19" s="496"/>
      <c r="AZ19" s="496"/>
      <c r="BA19" s="189"/>
      <c r="BB19" s="443"/>
      <c r="BC19" s="362" t="s">
        <v>26</v>
      </c>
      <c r="BD19" s="189">
        <f t="shared" si="8"/>
        <v>4</v>
      </c>
      <c r="BE19" s="496">
        <v>4</v>
      </c>
      <c r="BF19" s="496"/>
      <c r="BG19" s="496"/>
      <c r="BH19" s="496"/>
      <c r="BI19" s="496"/>
      <c r="BJ19" s="496"/>
      <c r="BK19" s="189"/>
      <c r="BL19" s="443"/>
      <c r="BM19" s="362" t="s">
        <v>26</v>
      </c>
      <c r="BN19" s="189">
        <f t="shared" si="9"/>
        <v>3.9</v>
      </c>
      <c r="BO19" s="225">
        <v>3.9</v>
      </c>
      <c r="BP19" s="496"/>
      <c r="BQ19" s="496"/>
      <c r="BR19" s="496"/>
      <c r="BS19" s="496"/>
      <c r="BT19" s="496"/>
      <c r="BU19" s="189"/>
      <c r="BV19" s="351"/>
      <c r="BW19" s="189"/>
      <c r="BX19" s="362" t="s">
        <v>26</v>
      </c>
      <c r="BY19" s="189">
        <f t="shared" si="10"/>
        <v>25</v>
      </c>
      <c r="BZ19" s="189">
        <f t="shared" si="11"/>
        <v>25.019999999999996</v>
      </c>
      <c r="CA19" s="496"/>
      <c r="CB19" s="496"/>
      <c r="CC19" s="496"/>
      <c r="CD19" s="496"/>
      <c r="CE19" s="496"/>
      <c r="CF19" s="189"/>
      <c r="CG19" s="582">
        <f t="shared" si="1"/>
        <v>0</v>
      </c>
      <c r="CH19" s="582">
        <f t="shared" si="2"/>
        <v>1.9999999999996021E-2</v>
      </c>
      <c r="CI19" s="582"/>
      <c r="CJ19" s="582">
        <f t="shared" si="3"/>
        <v>0</v>
      </c>
      <c r="CL19" s="240">
        <f t="shared" si="12"/>
        <v>25</v>
      </c>
      <c r="CM19" s="193">
        <v>25</v>
      </c>
      <c r="CN19" s="194"/>
      <c r="CO19" s="194"/>
      <c r="CP19" s="194"/>
      <c r="CQ19" s="245"/>
      <c r="CR19" s="272"/>
    </row>
    <row r="20" spans="1:129" ht="16.5" customHeight="1">
      <c r="A20" s="349"/>
      <c r="B20" s="353">
        <v>4817</v>
      </c>
      <c r="C20" s="310" t="s">
        <v>35</v>
      </c>
      <c r="D20" s="354"/>
      <c r="E20" s="362" t="s">
        <v>26</v>
      </c>
      <c r="F20" s="189">
        <f t="shared" si="4"/>
        <v>0.25</v>
      </c>
      <c r="G20" s="496">
        <v>0.25</v>
      </c>
      <c r="H20" s="496"/>
      <c r="I20" s="496"/>
      <c r="J20" s="496"/>
      <c r="K20" s="496"/>
      <c r="L20" s="298"/>
      <c r="M20" s="299"/>
      <c r="N20" s="354"/>
      <c r="O20" s="301" t="s">
        <v>26</v>
      </c>
      <c r="P20" s="189">
        <f>SUM(Q20:W20)</f>
        <v>0.1</v>
      </c>
      <c r="Q20" s="496">
        <v>0.1</v>
      </c>
      <c r="R20" s="496"/>
      <c r="S20" s="496"/>
      <c r="T20" s="496"/>
      <c r="U20" s="496"/>
      <c r="V20" s="496"/>
      <c r="W20" s="189"/>
      <c r="X20" s="443"/>
      <c r="Y20" s="362" t="s">
        <v>26</v>
      </c>
      <c r="Z20" s="189">
        <f t="shared" si="5"/>
        <v>6</v>
      </c>
      <c r="AA20" s="496">
        <v>6</v>
      </c>
      <c r="AB20" s="496"/>
      <c r="AC20" s="496"/>
      <c r="AD20" s="496"/>
      <c r="AE20" s="496"/>
      <c r="AF20" s="496"/>
      <c r="AG20" s="189"/>
      <c r="AH20" s="443"/>
      <c r="AI20" s="362" t="s">
        <v>26</v>
      </c>
      <c r="AJ20" s="189">
        <f t="shared" si="6"/>
        <v>6</v>
      </c>
      <c r="AK20" s="496">
        <v>6</v>
      </c>
      <c r="AL20" s="496"/>
      <c r="AM20" s="496"/>
      <c r="AN20" s="496"/>
      <c r="AO20" s="496"/>
      <c r="AP20" s="496"/>
      <c r="AQ20" s="189"/>
      <c r="AR20" s="443"/>
      <c r="AS20" s="362" t="s">
        <v>26</v>
      </c>
      <c r="AT20" s="189">
        <f t="shared" si="7"/>
        <v>4.25</v>
      </c>
      <c r="AU20" s="225">
        <v>4.25</v>
      </c>
      <c r="AV20" s="496"/>
      <c r="AW20" s="496"/>
      <c r="AX20" s="496"/>
      <c r="AY20" s="496"/>
      <c r="AZ20" s="496"/>
      <c r="BA20" s="189"/>
      <c r="BB20" s="443"/>
      <c r="BC20" s="362" t="s">
        <v>26</v>
      </c>
      <c r="BD20" s="189">
        <f t="shared" si="8"/>
        <v>4.2</v>
      </c>
      <c r="BE20" s="496">
        <v>4.2</v>
      </c>
      <c r="BF20" s="496"/>
      <c r="BG20" s="496"/>
      <c r="BH20" s="496"/>
      <c r="BI20" s="496"/>
      <c r="BJ20" s="496"/>
      <c r="BK20" s="189"/>
      <c r="BL20" s="443"/>
      <c r="BM20" s="362" t="s">
        <v>26</v>
      </c>
      <c r="BN20" s="189">
        <f t="shared" si="9"/>
        <v>4.2</v>
      </c>
      <c r="BO20" s="225">
        <v>4.2</v>
      </c>
      <c r="BP20" s="496"/>
      <c r="BQ20" s="496"/>
      <c r="BR20" s="496"/>
      <c r="BS20" s="496"/>
      <c r="BT20" s="496"/>
      <c r="BU20" s="189"/>
      <c r="BV20" s="351"/>
      <c r="BW20" s="189"/>
      <c r="BX20" s="362" t="s">
        <v>26</v>
      </c>
      <c r="BY20" s="189">
        <f t="shared" si="10"/>
        <v>25</v>
      </c>
      <c r="BZ20" s="189">
        <f t="shared" si="11"/>
        <v>25</v>
      </c>
      <c r="CA20" s="496"/>
      <c r="CB20" s="496"/>
      <c r="CC20" s="496"/>
      <c r="CD20" s="496"/>
      <c r="CE20" s="496"/>
      <c r="CF20" s="189"/>
      <c r="CG20" s="582">
        <f t="shared" si="1"/>
        <v>0</v>
      </c>
      <c r="CH20" s="582">
        <f t="shared" si="2"/>
        <v>0</v>
      </c>
      <c r="CI20" s="582"/>
      <c r="CJ20" s="582">
        <f t="shared" si="3"/>
        <v>0</v>
      </c>
      <c r="CL20" s="240">
        <f t="shared" si="12"/>
        <v>25</v>
      </c>
      <c r="CM20" s="193">
        <v>25</v>
      </c>
      <c r="CN20" s="193"/>
      <c r="CO20" s="193"/>
      <c r="CP20" s="193"/>
      <c r="CQ20" s="246"/>
      <c r="CR20" s="272"/>
    </row>
    <row r="21" spans="1:129" ht="16.5" customHeight="1">
      <c r="A21" s="349"/>
      <c r="B21" s="355">
        <v>4818</v>
      </c>
      <c r="C21" s="310" t="s">
        <v>36</v>
      </c>
      <c r="D21" s="354"/>
      <c r="E21" s="362" t="s">
        <v>26</v>
      </c>
      <c r="F21" s="189">
        <f t="shared" si="4"/>
        <v>9.5500000000000007</v>
      </c>
      <c r="G21" s="496">
        <v>9.5500000000000007</v>
      </c>
      <c r="H21" s="496"/>
      <c r="I21" s="496"/>
      <c r="J21" s="496"/>
      <c r="K21" s="496"/>
      <c r="L21" s="298"/>
      <c r="M21" s="299"/>
      <c r="N21" s="354"/>
      <c r="O21" s="301" t="s">
        <v>26</v>
      </c>
      <c r="P21" s="189">
        <f>SUM(Q21:W21)</f>
        <v>0.52</v>
      </c>
      <c r="Q21" s="496">
        <v>0.52</v>
      </c>
      <c r="R21" s="496"/>
      <c r="S21" s="496"/>
      <c r="T21" s="496"/>
      <c r="U21" s="496"/>
      <c r="V21" s="496"/>
      <c r="W21" s="189"/>
      <c r="X21" s="443"/>
      <c r="Y21" s="362"/>
      <c r="Z21" s="189">
        <f t="shared" si="5"/>
        <v>2.93</v>
      </c>
      <c r="AA21" s="496">
        <v>2.93</v>
      </c>
      <c r="AB21" s="496"/>
      <c r="AC21" s="496"/>
      <c r="AD21" s="496"/>
      <c r="AE21" s="496"/>
      <c r="AF21" s="496"/>
      <c r="AG21" s="189"/>
      <c r="AH21" s="443"/>
      <c r="AI21" s="362"/>
      <c r="AJ21" s="189"/>
      <c r="AK21" s="225"/>
      <c r="AL21" s="496"/>
      <c r="AM21" s="496"/>
      <c r="AN21" s="496"/>
      <c r="AO21" s="496"/>
      <c r="AP21" s="496"/>
      <c r="AQ21" s="189"/>
      <c r="AR21" s="443"/>
      <c r="AS21" s="362"/>
      <c r="AT21" s="189"/>
      <c r="AU21" s="225"/>
      <c r="AV21" s="496"/>
      <c r="AW21" s="496"/>
      <c r="AX21" s="496"/>
      <c r="AY21" s="496"/>
      <c r="AZ21" s="496"/>
      <c r="BA21" s="189"/>
      <c r="BB21" s="443"/>
      <c r="BC21" s="362"/>
      <c r="BD21" s="189"/>
      <c r="BE21" s="225"/>
      <c r="BF21" s="496"/>
      <c r="BG21" s="496"/>
      <c r="BH21" s="496"/>
      <c r="BI21" s="496"/>
      <c r="BJ21" s="496"/>
      <c r="BK21" s="189"/>
      <c r="BL21" s="443"/>
      <c r="BM21" s="362"/>
      <c r="BN21" s="189"/>
      <c r="BO21" s="225"/>
      <c r="BP21" s="496"/>
      <c r="BQ21" s="496"/>
      <c r="BR21" s="496"/>
      <c r="BS21" s="496"/>
      <c r="BT21" s="496"/>
      <c r="BU21" s="189"/>
      <c r="BV21" s="351"/>
      <c r="BW21" s="189"/>
      <c r="BX21" s="362"/>
      <c r="BY21" s="189">
        <f t="shared" si="10"/>
        <v>13</v>
      </c>
      <c r="BZ21" s="189">
        <f t="shared" si="11"/>
        <v>13</v>
      </c>
      <c r="CA21" s="496"/>
      <c r="CB21" s="496"/>
      <c r="CC21" s="496"/>
      <c r="CD21" s="496"/>
      <c r="CE21" s="496"/>
      <c r="CF21" s="189"/>
      <c r="CG21" s="582">
        <f t="shared" si="1"/>
        <v>0</v>
      </c>
      <c r="CH21" s="582">
        <f t="shared" si="2"/>
        <v>0</v>
      </c>
      <c r="CI21" s="582"/>
      <c r="CJ21" s="582">
        <f t="shared" si="3"/>
        <v>0</v>
      </c>
      <c r="CL21" s="240">
        <f t="shared" si="12"/>
        <v>13</v>
      </c>
      <c r="CM21" s="193">
        <v>13</v>
      </c>
      <c r="CN21" s="193"/>
      <c r="CO21" s="193"/>
      <c r="CP21" s="193"/>
      <c r="CQ21" s="246"/>
      <c r="CR21" s="272"/>
    </row>
    <row r="22" spans="1:129" ht="16.5" customHeight="1">
      <c r="A22" s="349"/>
      <c r="B22" s="353">
        <v>4819</v>
      </c>
      <c r="C22" s="310" t="s">
        <v>37</v>
      </c>
      <c r="D22" s="354"/>
      <c r="E22" s="362" t="s">
        <v>26</v>
      </c>
      <c r="F22" s="189">
        <f t="shared" si="4"/>
        <v>0.3</v>
      </c>
      <c r="G22" s="496">
        <v>0.3</v>
      </c>
      <c r="H22" s="496"/>
      <c r="I22" s="496"/>
      <c r="J22" s="496"/>
      <c r="K22" s="496"/>
      <c r="L22" s="298"/>
      <c r="M22" s="299"/>
      <c r="N22" s="354"/>
      <c r="O22" s="301" t="s">
        <v>26</v>
      </c>
      <c r="P22" s="189">
        <f>SUM(Q22:W22)</f>
        <v>0.06</v>
      </c>
      <c r="Q22" s="496">
        <v>0.06</v>
      </c>
      <c r="R22" s="496"/>
      <c r="S22" s="496"/>
      <c r="T22" s="496"/>
      <c r="U22" s="496"/>
      <c r="V22" s="496"/>
      <c r="W22" s="189"/>
      <c r="X22" s="443"/>
      <c r="Y22" s="362" t="s">
        <v>26</v>
      </c>
      <c r="Z22" s="189">
        <f t="shared" si="5"/>
        <v>2</v>
      </c>
      <c r="AA22" s="496">
        <v>2</v>
      </c>
      <c r="AB22" s="496"/>
      <c r="AC22" s="496"/>
      <c r="AD22" s="496"/>
      <c r="AE22" s="496"/>
      <c r="AF22" s="496"/>
      <c r="AG22" s="189"/>
      <c r="AH22" s="443"/>
      <c r="AI22" s="362" t="s">
        <v>26</v>
      </c>
      <c r="AJ22" s="189">
        <f t="shared" ref="AJ22:AJ29" si="13">SUM(AK22:AQ22)</f>
        <v>2</v>
      </c>
      <c r="AK22" s="225">
        <v>2</v>
      </c>
      <c r="AL22" s="496"/>
      <c r="AM22" s="496"/>
      <c r="AN22" s="496"/>
      <c r="AO22" s="496"/>
      <c r="AP22" s="496"/>
      <c r="AQ22" s="189"/>
      <c r="AR22" s="443"/>
      <c r="AS22" s="362" t="s">
        <v>26</v>
      </c>
      <c r="AT22" s="189">
        <f>SUM(AU22:BA22)</f>
        <v>2</v>
      </c>
      <c r="AU22" s="225">
        <v>2</v>
      </c>
      <c r="AV22" s="496"/>
      <c r="AW22" s="496"/>
      <c r="AX22" s="496"/>
      <c r="AY22" s="496"/>
      <c r="AZ22" s="496"/>
      <c r="BA22" s="189"/>
      <c r="BB22" s="443"/>
      <c r="BC22" s="362" t="s">
        <v>26</v>
      </c>
      <c r="BD22" s="189">
        <f>SUM(BE22:BK22)</f>
        <v>2</v>
      </c>
      <c r="BE22" s="225">
        <v>2</v>
      </c>
      <c r="BF22" s="496"/>
      <c r="BG22" s="496"/>
      <c r="BH22" s="496"/>
      <c r="BI22" s="496"/>
      <c r="BJ22" s="496"/>
      <c r="BK22" s="189"/>
      <c r="BL22" s="443"/>
      <c r="BM22" s="362" t="s">
        <v>26</v>
      </c>
      <c r="BN22" s="189">
        <f>SUM(BO22:BU22)</f>
        <v>1.64</v>
      </c>
      <c r="BO22" s="225">
        <v>1.64</v>
      </c>
      <c r="BP22" s="496"/>
      <c r="BQ22" s="496"/>
      <c r="BR22" s="496"/>
      <c r="BS22" s="496"/>
      <c r="BT22" s="496"/>
      <c r="BU22" s="189"/>
      <c r="BV22" s="351"/>
      <c r="BW22" s="189"/>
      <c r="BX22" s="362" t="s">
        <v>26</v>
      </c>
      <c r="BY22" s="189">
        <f t="shared" si="10"/>
        <v>10</v>
      </c>
      <c r="BZ22" s="189">
        <f t="shared" si="11"/>
        <v>10</v>
      </c>
      <c r="CA22" s="496"/>
      <c r="CB22" s="496"/>
      <c r="CC22" s="496"/>
      <c r="CD22" s="496"/>
      <c r="CE22" s="496"/>
      <c r="CF22" s="189"/>
      <c r="CG22" s="582">
        <f t="shared" si="1"/>
        <v>0</v>
      </c>
      <c r="CH22" s="582">
        <f t="shared" si="2"/>
        <v>0</v>
      </c>
      <c r="CI22" s="582"/>
      <c r="CJ22" s="582">
        <f t="shared" si="3"/>
        <v>0</v>
      </c>
      <c r="CK22" s="590"/>
      <c r="CL22" s="240">
        <f t="shared" si="12"/>
        <v>10</v>
      </c>
      <c r="CM22" s="193">
        <v>10</v>
      </c>
      <c r="CN22" s="193"/>
      <c r="CO22" s="193"/>
      <c r="CP22" s="193"/>
      <c r="CQ22" s="246"/>
      <c r="CR22" s="272"/>
      <c r="CS22" s="582"/>
      <c r="CT22" s="582"/>
      <c r="DF22" s="590"/>
      <c r="DG22" s="590"/>
      <c r="DH22" s="590"/>
      <c r="DI22" s="590"/>
      <c r="DJ22" s="265"/>
      <c r="DK22" s="590"/>
      <c r="DL22" s="590"/>
      <c r="DM22" s="590"/>
      <c r="DN22" s="590"/>
      <c r="DO22" s="265"/>
      <c r="DP22" s="590"/>
      <c r="DQ22" s="590"/>
      <c r="DR22" s="590"/>
      <c r="DS22" s="590"/>
      <c r="DT22" s="265"/>
      <c r="DU22" s="590"/>
      <c r="DV22" s="590"/>
      <c r="DW22" s="590"/>
      <c r="DX22" s="590"/>
      <c r="DY22" s="265"/>
    </row>
    <row r="23" spans="1:129" ht="18" customHeight="1">
      <c r="A23" s="349"/>
      <c r="B23" s="353">
        <v>4821</v>
      </c>
      <c r="C23" s="310" t="s">
        <v>38</v>
      </c>
      <c r="D23" s="354"/>
      <c r="E23" s="362" t="s">
        <v>26</v>
      </c>
      <c r="F23" s="189">
        <f t="shared" si="4"/>
        <v>3.09</v>
      </c>
      <c r="G23" s="496">
        <v>3.09</v>
      </c>
      <c r="H23" s="496"/>
      <c r="I23" s="496"/>
      <c r="J23" s="496"/>
      <c r="K23" s="496"/>
      <c r="L23" s="298"/>
      <c r="M23" s="299"/>
      <c r="N23" s="354"/>
      <c r="O23" s="301" t="s">
        <v>26</v>
      </c>
      <c r="P23" s="189">
        <f>SUM(Q23:W23)</f>
        <v>0.88</v>
      </c>
      <c r="Q23" s="496">
        <v>0.88</v>
      </c>
      <c r="R23" s="496"/>
      <c r="S23" s="496"/>
      <c r="T23" s="496"/>
      <c r="U23" s="496"/>
      <c r="V23" s="496"/>
      <c r="W23" s="189"/>
      <c r="X23" s="443"/>
      <c r="Y23" s="362" t="s">
        <v>26</v>
      </c>
      <c r="Z23" s="189">
        <f t="shared" si="5"/>
        <v>3.13</v>
      </c>
      <c r="AA23" s="496">
        <v>3.13</v>
      </c>
      <c r="AB23" s="496"/>
      <c r="AC23" s="496"/>
      <c r="AD23" s="496"/>
      <c r="AE23" s="496"/>
      <c r="AF23" s="496"/>
      <c r="AG23" s="189"/>
      <c r="AH23" s="443"/>
      <c r="AI23" s="362" t="s">
        <v>26</v>
      </c>
      <c r="AJ23" s="189">
        <f t="shared" si="13"/>
        <v>2</v>
      </c>
      <c r="AK23" s="496">
        <v>2</v>
      </c>
      <c r="AL23" s="496"/>
      <c r="AM23" s="496"/>
      <c r="AN23" s="496"/>
      <c r="AO23" s="496"/>
      <c r="AP23" s="496"/>
      <c r="AQ23" s="189"/>
      <c r="AR23" s="443"/>
      <c r="AS23" s="362" t="s">
        <v>26</v>
      </c>
      <c r="AT23" s="189">
        <f>SUM(AU23:BA23)</f>
        <v>2</v>
      </c>
      <c r="AU23" s="225">
        <v>2</v>
      </c>
      <c r="AV23" s="496"/>
      <c r="AW23" s="496"/>
      <c r="AX23" s="496"/>
      <c r="AY23" s="496"/>
      <c r="AZ23" s="496"/>
      <c r="BA23" s="189"/>
      <c r="BB23" s="443"/>
      <c r="BC23" s="362" t="s">
        <v>26</v>
      </c>
      <c r="BD23" s="189">
        <f>SUM(BE23:BK23)</f>
        <v>2</v>
      </c>
      <c r="BE23" s="225">
        <v>2</v>
      </c>
      <c r="BF23" s="496"/>
      <c r="BG23" s="496"/>
      <c r="BH23" s="496"/>
      <c r="BI23" s="496"/>
      <c r="BJ23" s="496"/>
      <c r="BK23" s="189"/>
      <c r="BL23" s="443"/>
      <c r="BM23" s="362" t="s">
        <v>26</v>
      </c>
      <c r="BN23" s="189">
        <f>SUM(BO23:BU23)</f>
        <v>1.9</v>
      </c>
      <c r="BO23" s="225">
        <v>1.9</v>
      </c>
      <c r="BP23" s="496"/>
      <c r="BQ23" s="496"/>
      <c r="BR23" s="496"/>
      <c r="BS23" s="496"/>
      <c r="BT23" s="496"/>
      <c r="BU23" s="189"/>
      <c r="BV23" s="351"/>
      <c r="BW23" s="189"/>
      <c r="BX23" s="362" t="s">
        <v>26</v>
      </c>
      <c r="BY23" s="189">
        <f t="shared" si="10"/>
        <v>15</v>
      </c>
      <c r="BZ23" s="189">
        <f t="shared" si="11"/>
        <v>15</v>
      </c>
      <c r="CA23" s="496"/>
      <c r="CB23" s="496"/>
      <c r="CC23" s="496"/>
      <c r="CD23" s="496"/>
      <c r="CE23" s="496"/>
      <c r="CF23" s="189"/>
      <c r="CG23" s="582">
        <f t="shared" si="1"/>
        <v>0</v>
      </c>
      <c r="CH23" s="582">
        <f t="shared" si="2"/>
        <v>0</v>
      </c>
      <c r="CI23" s="582"/>
      <c r="CJ23" s="582">
        <f t="shared" si="3"/>
        <v>0</v>
      </c>
      <c r="CL23" s="240">
        <f t="shared" si="12"/>
        <v>15</v>
      </c>
      <c r="CM23" s="193">
        <v>15</v>
      </c>
      <c r="CN23" s="193"/>
      <c r="CO23" s="193"/>
      <c r="CP23" s="193"/>
      <c r="CQ23" s="246"/>
      <c r="CR23" s="272"/>
    </row>
    <row r="24" spans="1:129" ht="15.75" customHeight="1">
      <c r="A24" s="349"/>
      <c r="B24" s="353">
        <v>4822</v>
      </c>
      <c r="C24" s="423" t="s">
        <v>39</v>
      </c>
      <c r="D24" s="354"/>
      <c r="E24" s="362" t="s">
        <v>26</v>
      </c>
      <c r="F24" s="189">
        <f t="shared" si="4"/>
        <v>7.63</v>
      </c>
      <c r="G24" s="496">
        <v>7.63</v>
      </c>
      <c r="H24" s="496"/>
      <c r="I24" s="496"/>
      <c r="J24" s="496"/>
      <c r="K24" s="496"/>
      <c r="L24" s="298"/>
      <c r="M24" s="299"/>
      <c r="N24" s="354"/>
      <c r="O24" s="301"/>
      <c r="P24" s="189"/>
      <c r="Q24" s="496">
        <v>0.3</v>
      </c>
      <c r="R24" s="496"/>
      <c r="S24" s="496"/>
      <c r="T24" s="496"/>
      <c r="U24" s="496"/>
      <c r="V24" s="496"/>
      <c r="W24" s="189"/>
      <c r="X24" s="443"/>
      <c r="Y24" s="362" t="s">
        <v>26</v>
      </c>
      <c r="Z24" s="189">
        <f t="shared" si="5"/>
        <v>40</v>
      </c>
      <c r="AA24" s="496">
        <v>40</v>
      </c>
      <c r="AB24" s="496"/>
      <c r="AC24" s="496"/>
      <c r="AD24" s="496"/>
      <c r="AE24" s="496"/>
      <c r="AF24" s="496"/>
      <c r="AG24" s="189"/>
      <c r="AH24" s="443"/>
      <c r="AI24" s="362" t="s">
        <v>26</v>
      </c>
      <c r="AJ24" s="189">
        <f t="shared" si="13"/>
        <v>40</v>
      </c>
      <c r="AK24" s="225">
        <v>40</v>
      </c>
      <c r="AL24" s="496"/>
      <c r="AM24" s="496"/>
      <c r="AN24" s="496"/>
      <c r="AO24" s="496"/>
      <c r="AP24" s="496"/>
      <c r="AQ24" s="189"/>
      <c r="AR24" s="443"/>
      <c r="AS24" s="362" t="s">
        <v>26</v>
      </c>
      <c r="AT24" s="189">
        <f>SUM(AU24:BA24)</f>
        <v>40</v>
      </c>
      <c r="AU24" s="225">
        <v>40</v>
      </c>
      <c r="AV24" s="496"/>
      <c r="AW24" s="496"/>
      <c r="AX24" s="496"/>
      <c r="AY24" s="496"/>
      <c r="AZ24" s="496"/>
      <c r="BA24" s="189"/>
      <c r="BB24" s="443"/>
      <c r="BC24" s="362" t="s">
        <v>26</v>
      </c>
      <c r="BD24" s="189">
        <f>SUM(BE24:BK24)</f>
        <v>36.369999999999997</v>
      </c>
      <c r="BE24" s="225">
        <v>36.369999999999997</v>
      </c>
      <c r="BF24" s="496"/>
      <c r="BG24" s="496"/>
      <c r="BH24" s="496"/>
      <c r="BI24" s="496"/>
      <c r="BJ24" s="496"/>
      <c r="BK24" s="189"/>
      <c r="BL24" s="443"/>
      <c r="BM24" s="362" t="s">
        <v>26</v>
      </c>
      <c r="BN24" s="189">
        <f>SUM(BO24:BU24)</f>
        <v>36</v>
      </c>
      <c r="BO24" s="225">
        <v>36</v>
      </c>
      <c r="BP24" s="496"/>
      <c r="BQ24" s="496"/>
      <c r="BR24" s="496"/>
      <c r="BS24" s="496"/>
      <c r="BT24" s="496"/>
      <c r="BU24" s="189"/>
      <c r="BV24" s="351"/>
      <c r="BW24" s="189"/>
      <c r="BX24" s="362" t="s">
        <v>26</v>
      </c>
      <c r="BY24" s="189">
        <f t="shared" si="10"/>
        <v>200</v>
      </c>
      <c r="BZ24" s="189">
        <f t="shared" si="11"/>
        <v>200.3</v>
      </c>
      <c r="CA24" s="496"/>
      <c r="CB24" s="496"/>
      <c r="CC24" s="496"/>
      <c r="CD24" s="496"/>
      <c r="CE24" s="496"/>
      <c r="CF24" s="189"/>
      <c r="CG24" s="582">
        <f t="shared" si="1"/>
        <v>0</v>
      </c>
      <c r="CH24" s="582">
        <f t="shared" si="2"/>
        <v>0.30000000000001137</v>
      </c>
      <c r="CI24" s="582"/>
      <c r="CJ24" s="582">
        <f t="shared" si="3"/>
        <v>0</v>
      </c>
      <c r="CL24" s="240">
        <f t="shared" si="12"/>
        <v>200</v>
      </c>
      <c r="CM24" s="195">
        <v>200</v>
      </c>
      <c r="CN24" s="195"/>
      <c r="CO24" s="195"/>
      <c r="CP24" s="195"/>
      <c r="CQ24" s="247"/>
      <c r="CR24" s="196"/>
    </row>
    <row r="25" spans="1:129" ht="15.75" customHeight="1">
      <c r="A25" s="349"/>
      <c r="B25" s="353">
        <v>4823</v>
      </c>
      <c r="C25" s="423" t="s">
        <v>40</v>
      </c>
      <c r="D25" s="354"/>
      <c r="E25" s="362" t="s">
        <v>26</v>
      </c>
      <c r="F25" s="189">
        <f t="shared" si="4"/>
        <v>25.42</v>
      </c>
      <c r="G25" s="496">
        <v>25.42</v>
      </c>
      <c r="H25" s="496"/>
      <c r="I25" s="496"/>
      <c r="J25" s="496"/>
      <c r="K25" s="496"/>
      <c r="L25" s="298"/>
      <c r="M25" s="299"/>
      <c r="N25" s="354"/>
      <c r="O25" s="301" t="s">
        <v>26</v>
      </c>
      <c r="P25" s="189">
        <v>1.2</v>
      </c>
      <c r="Q25" s="496">
        <v>2.77</v>
      </c>
      <c r="R25" s="496"/>
      <c r="S25" s="496"/>
      <c r="T25" s="496"/>
      <c r="U25" s="496"/>
      <c r="V25" s="496"/>
      <c r="W25" s="189"/>
      <c r="X25" s="443"/>
      <c r="Y25" s="362" t="s">
        <v>26</v>
      </c>
      <c r="Z25" s="189">
        <f t="shared" si="5"/>
        <v>27</v>
      </c>
      <c r="AA25" s="496">
        <v>27</v>
      </c>
      <c r="AB25" s="496"/>
      <c r="AC25" s="496"/>
      <c r="AD25" s="496"/>
      <c r="AE25" s="496"/>
      <c r="AF25" s="496"/>
      <c r="AG25" s="189"/>
      <c r="AH25" s="443"/>
      <c r="AI25" s="362" t="s">
        <v>26</v>
      </c>
      <c r="AJ25" s="189">
        <f t="shared" si="13"/>
        <v>25</v>
      </c>
      <c r="AK25" s="225">
        <v>25</v>
      </c>
      <c r="AL25" s="496"/>
      <c r="AM25" s="496"/>
      <c r="AN25" s="496"/>
      <c r="AO25" s="496"/>
      <c r="AP25" s="496"/>
      <c r="AQ25" s="189"/>
      <c r="AR25" s="443"/>
      <c r="AS25" s="362" t="s">
        <v>26</v>
      </c>
      <c r="AT25" s="189">
        <f>SUM(AU25:BA25)</f>
        <v>23.38</v>
      </c>
      <c r="AU25" s="225">
        <v>23.38</v>
      </c>
      <c r="AV25" s="496"/>
      <c r="AW25" s="496"/>
      <c r="AX25" s="496"/>
      <c r="AY25" s="496"/>
      <c r="AZ25" s="496"/>
      <c r="BA25" s="189"/>
      <c r="BB25" s="443"/>
      <c r="BC25" s="362" t="s">
        <v>26</v>
      </c>
      <c r="BD25" s="189">
        <f>SUM(BE25:BK25)</f>
        <v>23</v>
      </c>
      <c r="BE25" s="225">
        <v>23</v>
      </c>
      <c r="BF25" s="496"/>
      <c r="BG25" s="496"/>
      <c r="BH25" s="496"/>
      <c r="BI25" s="496"/>
      <c r="BJ25" s="496"/>
      <c r="BK25" s="189"/>
      <c r="BL25" s="443"/>
      <c r="BM25" s="362" t="s">
        <v>26</v>
      </c>
      <c r="BN25" s="189">
        <f>SUM(BO25:BU25)</f>
        <v>25</v>
      </c>
      <c r="BO25" s="225">
        <v>25</v>
      </c>
      <c r="BP25" s="496"/>
      <c r="BQ25" s="496"/>
      <c r="BR25" s="496"/>
      <c r="BS25" s="496"/>
      <c r="BT25" s="496"/>
      <c r="BU25" s="189"/>
      <c r="BV25" s="351"/>
      <c r="BW25" s="189"/>
      <c r="BX25" s="362" t="s">
        <v>26</v>
      </c>
      <c r="BY25" s="189">
        <f t="shared" si="10"/>
        <v>150</v>
      </c>
      <c r="BZ25" s="189">
        <f t="shared" si="11"/>
        <v>151.57</v>
      </c>
      <c r="CA25" s="496"/>
      <c r="CB25" s="496"/>
      <c r="CC25" s="496"/>
      <c r="CD25" s="496"/>
      <c r="CE25" s="496"/>
      <c r="CF25" s="189"/>
      <c r="CG25" s="582">
        <f t="shared" si="1"/>
        <v>0</v>
      </c>
      <c r="CH25" s="582">
        <f t="shared" si="2"/>
        <v>1.5699999999999932</v>
      </c>
      <c r="CI25" s="582"/>
      <c r="CJ25" s="582">
        <f t="shared" si="3"/>
        <v>0</v>
      </c>
      <c r="CL25" s="240">
        <f t="shared" si="12"/>
        <v>150</v>
      </c>
      <c r="CM25" s="195">
        <v>150</v>
      </c>
      <c r="CN25" s="195"/>
      <c r="CO25" s="195"/>
      <c r="CP25" s="195"/>
      <c r="CQ25" s="247"/>
      <c r="CR25" s="196"/>
    </row>
    <row r="26" spans="1:129" ht="15.75" customHeight="1">
      <c r="A26" s="349"/>
      <c r="B26" s="353">
        <v>4824</v>
      </c>
      <c r="C26" s="423" t="s">
        <v>41</v>
      </c>
      <c r="D26" s="354"/>
      <c r="E26" s="362" t="s">
        <v>26</v>
      </c>
      <c r="F26" s="189">
        <f t="shared" si="4"/>
        <v>0.83</v>
      </c>
      <c r="G26" s="496">
        <v>0.83</v>
      </c>
      <c r="H26" s="496"/>
      <c r="I26" s="496"/>
      <c r="J26" s="496"/>
      <c r="K26" s="496"/>
      <c r="L26" s="298"/>
      <c r="M26" s="299"/>
      <c r="N26" s="354"/>
      <c r="O26" s="301" t="s">
        <v>26</v>
      </c>
      <c r="P26" s="189">
        <f>SUM(Q26:W26)</f>
        <v>0.75</v>
      </c>
      <c r="Q26" s="496">
        <v>0.75</v>
      </c>
      <c r="R26" s="496"/>
      <c r="S26" s="496"/>
      <c r="T26" s="496"/>
      <c r="U26" s="496"/>
      <c r="V26" s="496"/>
      <c r="W26" s="189"/>
      <c r="X26" s="443"/>
      <c r="Y26" s="362" t="s">
        <v>26</v>
      </c>
      <c r="Z26" s="189">
        <f t="shared" si="5"/>
        <v>1</v>
      </c>
      <c r="AA26" s="496">
        <v>1</v>
      </c>
      <c r="AB26" s="496"/>
      <c r="AC26" s="496"/>
      <c r="AD26" s="496"/>
      <c r="AE26" s="496"/>
      <c r="AF26" s="496"/>
      <c r="AG26" s="189"/>
      <c r="AH26" s="443"/>
      <c r="AI26" s="362" t="s">
        <v>26</v>
      </c>
      <c r="AJ26" s="189">
        <f t="shared" si="13"/>
        <v>0.42</v>
      </c>
      <c r="AK26" s="225">
        <v>0.42</v>
      </c>
      <c r="AL26" s="496"/>
      <c r="AM26" s="496"/>
      <c r="AN26" s="496"/>
      <c r="AO26" s="496"/>
      <c r="AP26" s="496"/>
      <c r="AQ26" s="189"/>
      <c r="AR26" s="443"/>
      <c r="AS26" s="362"/>
      <c r="AT26" s="189"/>
      <c r="AU26" s="225"/>
      <c r="AV26" s="496"/>
      <c r="AW26" s="496"/>
      <c r="AX26" s="496"/>
      <c r="AY26" s="496"/>
      <c r="AZ26" s="496"/>
      <c r="BA26" s="189"/>
      <c r="BB26" s="443"/>
      <c r="BC26" s="362"/>
      <c r="BD26" s="189"/>
      <c r="BE26" s="225"/>
      <c r="BF26" s="496"/>
      <c r="BG26" s="496"/>
      <c r="BH26" s="496"/>
      <c r="BI26" s="496"/>
      <c r="BJ26" s="496"/>
      <c r="BK26" s="189"/>
      <c r="BL26" s="443"/>
      <c r="BM26" s="362"/>
      <c r="BN26" s="189"/>
      <c r="BO26" s="225"/>
      <c r="BP26" s="496"/>
      <c r="BQ26" s="496"/>
      <c r="BR26" s="496"/>
      <c r="BS26" s="496"/>
      <c r="BT26" s="496"/>
      <c r="BU26" s="189"/>
      <c r="BV26" s="351"/>
      <c r="BW26" s="189"/>
      <c r="BX26" s="362"/>
      <c r="BY26" s="189">
        <f t="shared" si="10"/>
        <v>3</v>
      </c>
      <c r="BZ26" s="189">
        <f t="shared" si="11"/>
        <v>3</v>
      </c>
      <c r="CA26" s="496"/>
      <c r="CB26" s="496"/>
      <c r="CC26" s="496"/>
      <c r="CD26" s="496"/>
      <c r="CE26" s="496"/>
      <c r="CF26" s="189"/>
      <c r="CG26" s="582">
        <f t="shared" si="1"/>
        <v>0</v>
      </c>
      <c r="CH26" s="582">
        <f t="shared" si="2"/>
        <v>0</v>
      </c>
      <c r="CI26" s="582"/>
      <c r="CJ26" s="582">
        <f t="shared" si="3"/>
        <v>0</v>
      </c>
      <c r="CL26" s="240">
        <f t="shared" si="12"/>
        <v>3</v>
      </c>
      <c r="CM26" s="195">
        <v>3</v>
      </c>
      <c r="CN26" s="197"/>
      <c r="CO26" s="197"/>
      <c r="CP26" s="197"/>
      <c r="CQ26" s="248"/>
      <c r="CR26" s="196"/>
    </row>
    <row r="27" spans="1:129" ht="15.75" customHeight="1">
      <c r="A27" s="349"/>
      <c r="B27" s="353">
        <v>4827</v>
      </c>
      <c r="C27" s="423" t="s">
        <v>42</v>
      </c>
      <c r="D27" s="354"/>
      <c r="E27" s="362" t="s">
        <v>26</v>
      </c>
      <c r="F27" s="189">
        <f t="shared" si="4"/>
        <v>18.3</v>
      </c>
      <c r="G27" s="496">
        <v>18.3</v>
      </c>
      <c r="H27" s="496"/>
      <c r="I27" s="496"/>
      <c r="J27" s="496"/>
      <c r="K27" s="496"/>
      <c r="L27" s="298"/>
      <c r="M27" s="299"/>
      <c r="N27" s="354"/>
      <c r="O27" s="301" t="s">
        <v>26</v>
      </c>
      <c r="P27" s="189">
        <v>5.89</v>
      </c>
      <c r="Q27" s="496">
        <v>6.01</v>
      </c>
      <c r="R27" s="496"/>
      <c r="S27" s="496"/>
      <c r="T27" s="496"/>
      <c r="U27" s="496"/>
      <c r="V27" s="496"/>
      <c r="W27" s="189"/>
      <c r="X27" s="443"/>
      <c r="Y27" s="362" t="s">
        <v>26</v>
      </c>
      <c r="Z27" s="189">
        <f t="shared" si="5"/>
        <v>4</v>
      </c>
      <c r="AA27" s="496">
        <v>4</v>
      </c>
      <c r="AB27" s="496"/>
      <c r="AC27" s="496"/>
      <c r="AD27" s="496"/>
      <c r="AE27" s="496"/>
      <c r="AF27" s="496"/>
      <c r="AG27" s="189"/>
      <c r="AH27" s="443"/>
      <c r="AI27" s="362" t="s">
        <v>26</v>
      </c>
      <c r="AJ27" s="189">
        <f t="shared" si="13"/>
        <v>2.5</v>
      </c>
      <c r="AK27" s="225">
        <v>2.5</v>
      </c>
      <c r="AL27" s="496"/>
      <c r="AM27" s="496"/>
      <c r="AN27" s="496"/>
      <c r="AO27" s="496"/>
      <c r="AP27" s="496"/>
      <c r="AQ27" s="189"/>
      <c r="AR27" s="443"/>
      <c r="AS27" s="362" t="s">
        <v>26</v>
      </c>
      <c r="AT27" s="189">
        <f>SUM(AU27:BA27)</f>
        <v>2.31</v>
      </c>
      <c r="AU27" s="225">
        <v>2.31</v>
      </c>
      <c r="AV27" s="496"/>
      <c r="AW27" s="496"/>
      <c r="AX27" s="496"/>
      <c r="AY27" s="496"/>
      <c r="AZ27" s="496"/>
      <c r="BA27" s="189"/>
      <c r="BB27" s="443"/>
      <c r="BC27" s="362" t="s">
        <v>26</v>
      </c>
      <c r="BD27" s="189">
        <f>SUM(BE27:BK27)</f>
        <v>2</v>
      </c>
      <c r="BE27" s="225">
        <v>2</v>
      </c>
      <c r="BF27" s="496"/>
      <c r="BG27" s="496"/>
      <c r="BH27" s="496"/>
      <c r="BI27" s="496"/>
      <c r="BJ27" s="496"/>
      <c r="BK27" s="189"/>
      <c r="BL27" s="443"/>
      <c r="BM27" s="362"/>
      <c r="BN27" s="189"/>
      <c r="BO27" s="225"/>
      <c r="BP27" s="496"/>
      <c r="BQ27" s="496"/>
      <c r="BR27" s="496"/>
      <c r="BS27" s="496"/>
      <c r="BT27" s="496"/>
      <c r="BU27" s="189"/>
      <c r="BV27" s="351"/>
      <c r="BW27" s="189"/>
      <c r="BX27" s="362" t="s">
        <v>26</v>
      </c>
      <c r="BY27" s="189">
        <f t="shared" si="10"/>
        <v>35</v>
      </c>
      <c r="BZ27" s="189">
        <f t="shared" si="11"/>
        <v>35.120000000000005</v>
      </c>
      <c r="CA27" s="496"/>
      <c r="CB27" s="496"/>
      <c r="CC27" s="496"/>
      <c r="CD27" s="496"/>
      <c r="CE27" s="496"/>
      <c r="CF27" s="189"/>
      <c r="CG27" s="582">
        <f t="shared" si="1"/>
        <v>0</v>
      </c>
      <c r="CH27" s="582">
        <f t="shared" si="2"/>
        <v>0.12000000000000455</v>
      </c>
      <c r="CI27" s="582"/>
      <c r="CJ27" s="582">
        <f t="shared" si="3"/>
        <v>0</v>
      </c>
      <c r="CL27" s="240">
        <f t="shared" si="12"/>
        <v>35</v>
      </c>
      <c r="CM27" s="192">
        <v>35</v>
      </c>
      <c r="CN27" s="192"/>
      <c r="CO27" s="192"/>
      <c r="CP27" s="192"/>
      <c r="CQ27" s="244"/>
      <c r="CR27" s="272"/>
    </row>
    <row r="28" spans="1:129" ht="18.75" customHeight="1">
      <c r="A28" s="349"/>
      <c r="B28" s="353">
        <v>4828</v>
      </c>
      <c r="C28" s="423" t="s">
        <v>43</v>
      </c>
      <c r="D28" s="354"/>
      <c r="E28" s="362" t="s">
        <v>26</v>
      </c>
      <c r="F28" s="189">
        <f t="shared" si="4"/>
        <v>17.43</v>
      </c>
      <c r="G28" s="496">
        <v>17.43</v>
      </c>
      <c r="H28" s="496"/>
      <c r="I28" s="496"/>
      <c r="J28" s="496"/>
      <c r="K28" s="496"/>
      <c r="L28" s="298"/>
      <c r="M28" s="299"/>
      <c r="N28" s="354"/>
      <c r="O28" s="301" t="s">
        <v>26</v>
      </c>
      <c r="P28" s="189">
        <v>2.5099999999999998</v>
      </c>
      <c r="Q28" s="496">
        <v>2.9</v>
      </c>
      <c r="R28" s="496"/>
      <c r="S28" s="496"/>
      <c r="T28" s="496"/>
      <c r="U28" s="496"/>
      <c r="V28" s="496"/>
      <c r="W28" s="189"/>
      <c r="X28" s="443"/>
      <c r="Y28" s="362" t="s">
        <v>26</v>
      </c>
      <c r="Z28" s="189">
        <f t="shared" si="5"/>
        <v>30</v>
      </c>
      <c r="AA28" s="496">
        <v>30</v>
      </c>
      <c r="AB28" s="496"/>
      <c r="AC28" s="496"/>
      <c r="AD28" s="496"/>
      <c r="AE28" s="496"/>
      <c r="AF28" s="496"/>
      <c r="AG28" s="189"/>
      <c r="AH28" s="443"/>
      <c r="AI28" s="362" t="s">
        <v>26</v>
      </c>
      <c r="AJ28" s="189">
        <f t="shared" si="13"/>
        <v>30</v>
      </c>
      <c r="AK28" s="225">
        <v>30</v>
      </c>
      <c r="AL28" s="496"/>
      <c r="AM28" s="496"/>
      <c r="AN28" s="496"/>
      <c r="AO28" s="496"/>
      <c r="AP28" s="496"/>
      <c r="AQ28" s="189"/>
      <c r="AR28" s="443"/>
      <c r="AS28" s="362" t="s">
        <v>26</v>
      </c>
      <c r="AT28" s="189">
        <f>SUM(AU28:BA28)</f>
        <v>25</v>
      </c>
      <c r="AU28" s="225">
        <v>25</v>
      </c>
      <c r="AV28" s="496"/>
      <c r="AW28" s="496"/>
      <c r="AX28" s="496"/>
      <c r="AY28" s="496"/>
      <c r="AZ28" s="496"/>
      <c r="BA28" s="189"/>
      <c r="BB28" s="443"/>
      <c r="BC28" s="362" t="s">
        <v>26</v>
      </c>
      <c r="BD28" s="189">
        <f>SUM(BE28:BK28)</f>
        <v>25</v>
      </c>
      <c r="BE28" s="225">
        <v>25</v>
      </c>
      <c r="BF28" s="496"/>
      <c r="BG28" s="496"/>
      <c r="BH28" s="496"/>
      <c r="BI28" s="496"/>
      <c r="BJ28" s="496"/>
      <c r="BK28" s="189"/>
      <c r="BL28" s="443"/>
      <c r="BM28" s="362" t="s">
        <v>26</v>
      </c>
      <c r="BN28" s="189">
        <f>SUM(BO28:BU28)</f>
        <v>20.059999999999999</v>
      </c>
      <c r="BO28" s="225">
        <v>20.059999999999999</v>
      </c>
      <c r="BP28" s="496"/>
      <c r="BQ28" s="496"/>
      <c r="BR28" s="496"/>
      <c r="BS28" s="496"/>
      <c r="BT28" s="496"/>
      <c r="BU28" s="189"/>
      <c r="BV28" s="351"/>
      <c r="BW28" s="189"/>
      <c r="BX28" s="362" t="s">
        <v>26</v>
      </c>
      <c r="BY28" s="189">
        <f t="shared" si="10"/>
        <v>150</v>
      </c>
      <c r="BZ28" s="189">
        <f t="shared" si="11"/>
        <v>150.38999999999999</v>
      </c>
      <c r="CA28" s="496"/>
      <c r="CB28" s="496"/>
      <c r="CC28" s="496"/>
      <c r="CD28" s="496"/>
      <c r="CE28" s="496"/>
      <c r="CF28" s="189"/>
      <c r="CG28" s="582">
        <f t="shared" si="1"/>
        <v>0</v>
      </c>
      <c r="CH28" s="582">
        <f t="shared" si="2"/>
        <v>0.38999999999998636</v>
      </c>
      <c r="CI28" s="582"/>
      <c r="CJ28" s="582">
        <f t="shared" si="3"/>
        <v>0</v>
      </c>
      <c r="CL28" s="240">
        <f t="shared" si="12"/>
        <v>150</v>
      </c>
      <c r="CM28" s="192">
        <v>150</v>
      </c>
      <c r="CN28" s="192"/>
      <c r="CO28" s="192"/>
      <c r="CP28" s="192"/>
      <c r="CQ28" s="244"/>
      <c r="CR28" s="272"/>
    </row>
    <row r="29" spans="1:129" ht="15.75" customHeight="1">
      <c r="A29" s="349"/>
      <c r="B29" s="353">
        <v>4831</v>
      </c>
      <c r="C29" s="423" t="s">
        <v>44</v>
      </c>
      <c r="D29" s="354"/>
      <c r="E29" s="362" t="s">
        <v>26</v>
      </c>
      <c r="F29" s="189">
        <f t="shared" si="4"/>
        <v>0.11</v>
      </c>
      <c r="G29" s="496">
        <v>0.11</v>
      </c>
      <c r="H29" s="496"/>
      <c r="I29" s="496"/>
      <c r="J29" s="496"/>
      <c r="K29" s="496"/>
      <c r="L29" s="298"/>
      <c r="M29" s="299"/>
      <c r="N29" s="354"/>
      <c r="O29" s="301" t="s">
        <v>26</v>
      </c>
      <c r="P29" s="189">
        <v>0.02</v>
      </c>
      <c r="Q29" s="496">
        <v>0.03</v>
      </c>
      <c r="R29" s="496"/>
      <c r="S29" s="496"/>
      <c r="T29" s="496"/>
      <c r="U29" s="496"/>
      <c r="V29" s="496"/>
      <c r="W29" s="189"/>
      <c r="X29" s="443"/>
      <c r="Y29" s="362" t="s">
        <v>26</v>
      </c>
      <c r="Z29" s="189">
        <f t="shared" si="5"/>
        <v>0.35</v>
      </c>
      <c r="AA29" s="496">
        <v>0.35</v>
      </c>
      <c r="AB29" s="496"/>
      <c r="AC29" s="496"/>
      <c r="AD29" s="496"/>
      <c r="AE29" s="496"/>
      <c r="AF29" s="496"/>
      <c r="AG29" s="189"/>
      <c r="AH29" s="443"/>
      <c r="AI29" s="362" t="s">
        <v>26</v>
      </c>
      <c r="AJ29" s="189">
        <f t="shared" si="13"/>
        <v>0.35</v>
      </c>
      <c r="AK29" s="496">
        <v>0.35</v>
      </c>
      <c r="AL29" s="496"/>
      <c r="AM29" s="496"/>
      <c r="AN29" s="496"/>
      <c r="AO29" s="496"/>
      <c r="AP29" s="496"/>
      <c r="AQ29" s="189"/>
      <c r="AR29" s="443"/>
      <c r="AS29" s="362" t="s">
        <v>26</v>
      </c>
      <c r="AT29" s="189">
        <f>SUM(AU29:BA29)</f>
        <v>0.35</v>
      </c>
      <c r="AU29" s="225">
        <v>0.35</v>
      </c>
      <c r="AV29" s="496"/>
      <c r="AW29" s="496"/>
      <c r="AX29" s="496"/>
      <c r="AY29" s="496"/>
      <c r="AZ29" s="496"/>
      <c r="BA29" s="189"/>
      <c r="BB29" s="443"/>
      <c r="BC29" s="362" t="s">
        <v>26</v>
      </c>
      <c r="BD29" s="189">
        <f>SUM(BE29:BK29)</f>
        <v>0.5</v>
      </c>
      <c r="BE29" s="496">
        <v>0.5</v>
      </c>
      <c r="BF29" s="496"/>
      <c r="BG29" s="496"/>
      <c r="BH29" s="496"/>
      <c r="BI29" s="496"/>
      <c r="BJ29" s="496"/>
      <c r="BK29" s="189"/>
      <c r="BL29" s="443"/>
      <c r="BM29" s="362" t="s">
        <v>26</v>
      </c>
      <c r="BN29" s="189">
        <f>SUM(BO29:BU29)</f>
        <v>0.32</v>
      </c>
      <c r="BO29" s="496">
        <v>0.32</v>
      </c>
      <c r="BP29" s="496"/>
      <c r="BQ29" s="496"/>
      <c r="BR29" s="496"/>
      <c r="BS29" s="496"/>
      <c r="BT29" s="496"/>
      <c r="BU29" s="189"/>
      <c r="BV29" s="351"/>
      <c r="BW29" s="189"/>
      <c r="BX29" s="362" t="s">
        <v>26</v>
      </c>
      <c r="BY29" s="189">
        <f t="shared" si="10"/>
        <v>2</v>
      </c>
      <c r="BZ29" s="189">
        <f t="shared" si="11"/>
        <v>2.0099999999999998</v>
      </c>
      <c r="CA29" s="496"/>
      <c r="CB29" s="496"/>
      <c r="CC29" s="496"/>
      <c r="CD29" s="496"/>
      <c r="CE29" s="496"/>
      <c r="CF29" s="189"/>
      <c r="CG29" s="582">
        <f t="shared" si="1"/>
        <v>0</v>
      </c>
      <c r="CH29" s="582">
        <f t="shared" si="2"/>
        <v>9.9999999999997868E-3</v>
      </c>
      <c r="CI29" s="582"/>
      <c r="CJ29" s="582">
        <f t="shared" si="3"/>
        <v>0</v>
      </c>
      <c r="CL29" s="240">
        <f t="shared" si="12"/>
        <v>2</v>
      </c>
      <c r="CM29" s="192">
        <v>2</v>
      </c>
      <c r="CN29" s="192"/>
      <c r="CO29" s="192"/>
      <c r="CP29" s="192"/>
      <c r="CQ29" s="244"/>
      <c r="CR29" s="272"/>
    </row>
    <row r="30" spans="1:129" ht="15.75" customHeight="1">
      <c r="A30" s="349"/>
      <c r="B30" s="356">
        <v>4840</v>
      </c>
      <c r="C30" s="106" t="s">
        <v>45</v>
      </c>
      <c r="D30" s="297"/>
      <c r="E30" s="297"/>
      <c r="F30" s="189"/>
      <c r="G30" s="496"/>
      <c r="H30" s="496"/>
      <c r="I30" s="496"/>
      <c r="J30" s="496"/>
      <c r="K30" s="496"/>
      <c r="L30" s="298"/>
      <c r="M30" s="299"/>
      <c r="N30" s="297"/>
      <c r="O30" s="303"/>
      <c r="P30" s="189"/>
      <c r="Q30" s="496"/>
      <c r="R30" s="496"/>
      <c r="S30" s="496"/>
      <c r="T30" s="496"/>
      <c r="U30" s="496"/>
      <c r="V30" s="496"/>
      <c r="W30" s="189"/>
      <c r="X30" s="442"/>
      <c r="Y30" s="297"/>
      <c r="Z30" s="189"/>
      <c r="AA30" s="496"/>
      <c r="AB30" s="496"/>
      <c r="AC30" s="496"/>
      <c r="AD30" s="496"/>
      <c r="AE30" s="496"/>
      <c r="AF30" s="496"/>
      <c r="AG30" s="189"/>
      <c r="AH30" s="442"/>
      <c r="AI30" s="297"/>
      <c r="AJ30" s="189"/>
      <c r="AK30" s="496"/>
      <c r="AL30" s="496"/>
      <c r="AM30" s="496"/>
      <c r="AN30" s="496"/>
      <c r="AO30" s="496"/>
      <c r="AP30" s="496"/>
      <c r="AQ30" s="189"/>
      <c r="AR30" s="442"/>
      <c r="AS30" s="297"/>
      <c r="AT30" s="189"/>
      <c r="AU30" s="225"/>
      <c r="AV30" s="496"/>
      <c r="AW30" s="496"/>
      <c r="AX30" s="496"/>
      <c r="AY30" s="496"/>
      <c r="AZ30" s="496"/>
      <c r="BA30" s="189"/>
      <c r="BB30" s="442"/>
      <c r="BC30" s="297"/>
      <c r="BD30" s="189"/>
      <c r="BE30" s="496"/>
      <c r="BF30" s="496"/>
      <c r="BG30" s="496"/>
      <c r="BH30" s="496"/>
      <c r="BI30" s="496"/>
      <c r="BJ30" s="496"/>
      <c r="BK30" s="189"/>
      <c r="BL30" s="442"/>
      <c r="BM30" s="297"/>
      <c r="BN30" s="189"/>
      <c r="BO30" s="496"/>
      <c r="BP30" s="496"/>
      <c r="BQ30" s="496"/>
      <c r="BR30" s="496"/>
      <c r="BS30" s="496"/>
      <c r="BT30" s="496"/>
      <c r="BU30" s="189"/>
      <c r="BV30" s="351"/>
      <c r="BW30" s="189"/>
      <c r="BX30" s="297"/>
      <c r="BY30" s="189"/>
      <c r="BZ30" s="189"/>
      <c r="CA30" s="496"/>
      <c r="CB30" s="496"/>
      <c r="CC30" s="496"/>
      <c r="CD30" s="496"/>
      <c r="CE30" s="496"/>
      <c r="CF30" s="189"/>
      <c r="CG30" s="582">
        <f t="shared" si="1"/>
        <v>0</v>
      </c>
      <c r="CH30" s="582">
        <f t="shared" si="2"/>
        <v>0</v>
      </c>
      <c r="CI30" s="582"/>
      <c r="CJ30" s="582">
        <f t="shared" si="3"/>
        <v>0</v>
      </c>
      <c r="CL30" s="352"/>
      <c r="CM30" s="352"/>
      <c r="CN30" s="352"/>
      <c r="CO30" s="352"/>
      <c r="CP30" s="352"/>
      <c r="CQ30" s="352"/>
      <c r="CR30" s="352"/>
    </row>
    <row r="31" spans="1:129" ht="13.5" customHeight="1">
      <c r="A31" s="349"/>
      <c r="B31" s="357"/>
      <c r="C31" s="498" t="s">
        <v>46</v>
      </c>
      <c r="D31" s="304"/>
      <c r="E31" s="304"/>
      <c r="F31" s="189"/>
      <c r="G31" s="496"/>
      <c r="H31" s="496"/>
      <c r="I31" s="496"/>
      <c r="J31" s="496"/>
      <c r="K31" s="496"/>
      <c r="L31" s="298"/>
      <c r="M31" s="299"/>
      <c r="N31" s="304"/>
      <c r="O31" s="305"/>
      <c r="P31" s="189"/>
      <c r="Q31" s="496"/>
      <c r="R31" s="496"/>
      <c r="S31" s="496"/>
      <c r="T31" s="496"/>
      <c r="U31" s="496"/>
      <c r="V31" s="496"/>
      <c r="W31" s="189"/>
      <c r="X31" s="439"/>
      <c r="Y31" s="304"/>
      <c r="Z31" s="189">
        <f t="shared" ref="Z31:Z44" si="14">SUM(AA31:AG31)</f>
        <v>238.54</v>
      </c>
      <c r="AA31" s="496"/>
      <c r="AB31" s="496"/>
      <c r="AC31" s="496">
        <v>238.54</v>
      </c>
      <c r="AD31" s="496"/>
      <c r="AE31" s="496"/>
      <c r="AF31" s="496"/>
      <c r="AG31" s="189"/>
      <c r="AH31" s="439"/>
      <c r="AI31" s="304"/>
      <c r="AJ31" s="189"/>
      <c r="AK31" s="496"/>
      <c r="AL31" s="496"/>
      <c r="AM31" s="496"/>
      <c r="AN31" s="496"/>
      <c r="AO31" s="496"/>
      <c r="AP31" s="496"/>
      <c r="AQ31" s="189"/>
      <c r="AR31" s="439"/>
      <c r="AS31" s="304"/>
      <c r="AT31" s="189"/>
      <c r="AU31" s="225"/>
      <c r="AV31" s="496"/>
      <c r="AW31" s="496"/>
      <c r="AX31" s="496"/>
      <c r="AY31" s="496"/>
      <c r="AZ31" s="496"/>
      <c r="BA31" s="189"/>
      <c r="BB31" s="439"/>
      <c r="BC31" s="304"/>
      <c r="BD31" s="189"/>
      <c r="BE31" s="496"/>
      <c r="BF31" s="496"/>
      <c r="BG31" s="496"/>
      <c r="BH31" s="496"/>
      <c r="BI31" s="496"/>
      <c r="BJ31" s="496"/>
      <c r="BK31" s="189"/>
      <c r="BL31" s="439"/>
      <c r="BM31" s="304"/>
      <c r="BN31" s="189"/>
      <c r="BO31" s="496"/>
      <c r="BP31" s="496"/>
      <c r="BQ31" s="496"/>
      <c r="BR31" s="496"/>
      <c r="BS31" s="496"/>
      <c r="BT31" s="496"/>
      <c r="BU31" s="189"/>
      <c r="BV31" s="351"/>
      <c r="BW31" s="189"/>
      <c r="BX31" s="304"/>
      <c r="BY31" s="189">
        <f t="shared" ref="BY31:BY44" si="15">F31+P31+Z31+AJ31+AT31+BD31+BN31</f>
        <v>238.54</v>
      </c>
      <c r="BZ31" s="189"/>
      <c r="CA31" s="496"/>
      <c r="CB31" s="189">
        <f>I31+S31+AC31+AM31+AW31+BG31+BQ31</f>
        <v>238.54</v>
      </c>
      <c r="CC31" s="496"/>
      <c r="CD31" s="496"/>
      <c r="CE31" s="496"/>
      <c r="CF31" s="189"/>
      <c r="CG31" s="582">
        <f t="shared" si="1"/>
        <v>0</v>
      </c>
      <c r="CH31" s="582">
        <f t="shared" si="2"/>
        <v>0</v>
      </c>
      <c r="CI31" s="582"/>
      <c r="CJ31" s="582">
        <f t="shared" si="3"/>
        <v>0</v>
      </c>
      <c r="CK31" s="358"/>
      <c r="CL31" s="240">
        <f t="shared" ref="CL31:CL44" si="16">SUM(CM31:CR31)</f>
        <v>238.54</v>
      </c>
      <c r="CM31" s="428"/>
      <c r="CN31" s="192"/>
      <c r="CO31" s="192">
        <v>238.54</v>
      </c>
      <c r="CP31" s="192"/>
      <c r="CQ31" s="244"/>
      <c r="CR31" s="272"/>
    </row>
    <row r="32" spans="1:129" ht="13.5" customHeight="1">
      <c r="A32" s="349"/>
      <c r="B32" s="357"/>
      <c r="C32" s="498" t="s">
        <v>47</v>
      </c>
      <c r="D32" s="304"/>
      <c r="E32" s="362" t="s">
        <v>26</v>
      </c>
      <c r="F32" s="189">
        <f>SUM(G32:M32)</f>
        <v>34.72</v>
      </c>
      <c r="G32" s="496"/>
      <c r="H32" s="496"/>
      <c r="I32" s="496">
        <v>34.72</v>
      </c>
      <c r="J32" s="496"/>
      <c r="K32" s="496"/>
      <c r="L32" s="298"/>
      <c r="M32" s="299"/>
      <c r="N32" s="304"/>
      <c r="O32" s="301" t="s">
        <v>26</v>
      </c>
      <c r="P32" s="189">
        <f>SUM(Q32:W32)</f>
        <v>4.5</v>
      </c>
      <c r="Q32" s="496"/>
      <c r="R32" s="496"/>
      <c r="S32" s="496">
        <v>4.5</v>
      </c>
      <c r="T32" s="496"/>
      <c r="U32" s="496"/>
      <c r="V32" s="496"/>
      <c r="W32" s="189"/>
      <c r="X32" s="439"/>
      <c r="Y32" s="362" t="s">
        <v>26</v>
      </c>
      <c r="Z32" s="189">
        <f t="shared" si="14"/>
        <v>178.45</v>
      </c>
      <c r="AA32" s="496">
        <v>14.45</v>
      </c>
      <c r="AB32" s="496"/>
      <c r="AC32" s="496">
        <v>164</v>
      </c>
      <c r="AD32" s="496"/>
      <c r="AE32" s="496"/>
      <c r="AF32" s="496"/>
      <c r="AG32" s="189"/>
      <c r="AH32" s="439"/>
      <c r="AI32" s="362" t="s">
        <v>26</v>
      </c>
      <c r="AJ32" s="189">
        <f t="shared" ref="AJ32:AJ44" si="17">SUM(AK32:AQ32)</f>
        <v>134.85</v>
      </c>
      <c r="AK32" s="496">
        <v>10.85</v>
      </c>
      <c r="AL32" s="496"/>
      <c r="AM32" s="496">
        <v>124</v>
      </c>
      <c r="AN32" s="496"/>
      <c r="AO32" s="496"/>
      <c r="AP32" s="496"/>
      <c r="AQ32" s="189"/>
      <c r="AR32" s="439"/>
      <c r="AS32" s="362" t="s">
        <v>26</v>
      </c>
      <c r="AT32" s="189">
        <f t="shared" ref="AT32:AT44" si="18">SUM(AU32:BA32)</f>
        <v>126.25</v>
      </c>
      <c r="AU32" s="225">
        <v>10.85</v>
      </c>
      <c r="AV32" s="496"/>
      <c r="AW32" s="496">
        <v>115.4</v>
      </c>
      <c r="AX32" s="496"/>
      <c r="AY32" s="496"/>
      <c r="AZ32" s="496"/>
      <c r="BA32" s="189"/>
      <c r="BB32" s="439"/>
      <c r="BC32" s="362" t="s">
        <v>26</v>
      </c>
      <c r="BD32" s="189">
        <f t="shared" ref="BD32:BD44" si="19">SUM(BE32:BK32)</f>
        <v>228.62</v>
      </c>
      <c r="BE32" s="496">
        <v>21.22</v>
      </c>
      <c r="BF32" s="496"/>
      <c r="BG32" s="496">
        <v>207.4</v>
      </c>
      <c r="BH32" s="496"/>
      <c r="BI32" s="496"/>
      <c r="BJ32" s="496"/>
      <c r="BK32" s="189"/>
      <c r="BL32" s="439"/>
      <c r="BM32" s="362" t="s">
        <v>26</v>
      </c>
      <c r="BN32" s="189">
        <f t="shared" ref="BN32:BN39" si="20">SUM(BO32:BU32)</f>
        <v>107.85</v>
      </c>
      <c r="BO32" s="496">
        <v>7.85</v>
      </c>
      <c r="BP32" s="496"/>
      <c r="BQ32" s="496">
        <v>100</v>
      </c>
      <c r="BR32" s="496"/>
      <c r="BS32" s="496"/>
      <c r="BT32" s="496"/>
      <c r="BU32" s="189"/>
      <c r="BV32" s="351"/>
      <c r="BW32" s="189"/>
      <c r="BX32" s="362" t="s">
        <v>26</v>
      </c>
      <c r="BY32" s="189">
        <f t="shared" si="15"/>
        <v>815.24</v>
      </c>
      <c r="BZ32" s="189">
        <f t="shared" ref="BZ32:BZ37" si="21">G32+Q32+AA32+AK32+AU32+BE32+BO32</f>
        <v>65.22</v>
      </c>
      <c r="CA32" s="496"/>
      <c r="CB32" s="189">
        <f>I32+S32+AC32+AM32+AW32+BG32+BQ32</f>
        <v>750.02</v>
      </c>
      <c r="CC32" s="496"/>
      <c r="CD32" s="496"/>
      <c r="CE32" s="496"/>
      <c r="CF32" s="189"/>
      <c r="CG32" s="582">
        <f t="shared" si="1"/>
        <v>0</v>
      </c>
      <c r="CH32" s="582">
        <f t="shared" si="2"/>
        <v>0</v>
      </c>
      <c r="CI32" s="582"/>
      <c r="CJ32" s="582">
        <f t="shared" si="3"/>
        <v>0</v>
      </c>
      <c r="CK32" s="358"/>
      <c r="CL32" s="240">
        <f t="shared" si="16"/>
        <v>815.24</v>
      </c>
      <c r="CM32" s="192">
        <v>65.22</v>
      </c>
      <c r="CN32" s="182"/>
      <c r="CO32" s="182">
        <v>750.02</v>
      </c>
      <c r="CP32" s="182"/>
      <c r="CQ32" s="236"/>
      <c r="CR32" s="272"/>
    </row>
    <row r="33" spans="1:96" ht="36.75" customHeight="1">
      <c r="A33" s="349"/>
      <c r="B33" s="359"/>
      <c r="C33" s="444" t="s">
        <v>364</v>
      </c>
      <c r="D33" s="304"/>
      <c r="E33" s="362" t="s">
        <v>26</v>
      </c>
      <c r="F33" s="189">
        <f>SUM(G33:M33)</f>
        <v>196.5</v>
      </c>
      <c r="G33" s="496"/>
      <c r="H33" s="496"/>
      <c r="I33" s="496">
        <v>196.5</v>
      </c>
      <c r="J33" s="496"/>
      <c r="K33" s="496"/>
      <c r="L33" s="298"/>
      <c r="M33" s="299"/>
      <c r="N33" s="304"/>
      <c r="O33" s="301" t="s">
        <v>26</v>
      </c>
      <c r="P33" s="189">
        <f>SUM(Q33:W33)</f>
        <v>3</v>
      </c>
      <c r="Q33" s="496"/>
      <c r="R33" s="496"/>
      <c r="S33" s="496">
        <v>3</v>
      </c>
      <c r="T33" s="496"/>
      <c r="U33" s="496"/>
      <c r="V33" s="496"/>
      <c r="W33" s="189"/>
      <c r="X33" s="439"/>
      <c r="Y33" s="362" t="s">
        <v>26</v>
      </c>
      <c r="Z33" s="189">
        <f t="shared" si="14"/>
        <v>459.3</v>
      </c>
      <c r="AA33" s="496">
        <v>34.299999999999997</v>
      </c>
      <c r="AB33" s="496"/>
      <c r="AC33" s="496">
        <v>425</v>
      </c>
      <c r="AD33" s="496"/>
      <c r="AE33" s="496"/>
      <c r="AF33" s="496"/>
      <c r="AG33" s="189"/>
      <c r="AH33" s="439"/>
      <c r="AI33" s="362" t="s">
        <v>26</v>
      </c>
      <c r="AJ33" s="189">
        <f t="shared" si="17"/>
        <v>404.34</v>
      </c>
      <c r="AK33" s="496">
        <v>29.34</v>
      </c>
      <c r="AL33" s="496"/>
      <c r="AM33" s="496">
        <v>375</v>
      </c>
      <c r="AN33" s="496"/>
      <c r="AO33" s="496"/>
      <c r="AP33" s="496"/>
      <c r="AQ33" s="189"/>
      <c r="AR33" s="439"/>
      <c r="AS33" s="362" t="s">
        <v>26</v>
      </c>
      <c r="AT33" s="189">
        <f t="shared" si="18"/>
        <v>404.34</v>
      </c>
      <c r="AU33" s="225">
        <v>29.34</v>
      </c>
      <c r="AV33" s="496"/>
      <c r="AW33" s="496">
        <v>375</v>
      </c>
      <c r="AX33" s="496"/>
      <c r="AY33" s="496"/>
      <c r="AZ33" s="496"/>
      <c r="BA33" s="189"/>
      <c r="BB33" s="439"/>
      <c r="BC33" s="362" t="s">
        <v>26</v>
      </c>
      <c r="BD33" s="189">
        <f t="shared" si="19"/>
        <v>376.59999999999997</v>
      </c>
      <c r="BE33" s="496">
        <v>42.27</v>
      </c>
      <c r="BF33" s="496"/>
      <c r="BG33" s="496">
        <v>334.33</v>
      </c>
      <c r="BH33" s="496"/>
      <c r="BI33" s="496"/>
      <c r="BJ33" s="496"/>
      <c r="BK33" s="189"/>
      <c r="BL33" s="439"/>
      <c r="BM33" s="362" t="s">
        <v>26</v>
      </c>
      <c r="BN33" s="189">
        <f t="shared" si="20"/>
        <v>337.06</v>
      </c>
      <c r="BO33" s="496">
        <v>39.25</v>
      </c>
      <c r="BP33" s="496"/>
      <c r="BQ33" s="496">
        <v>297.81</v>
      </c>
      <c r="BR33" s="496"/>
      <c r="BS33" s="496"/>
      <c r="BT33" s="496"/>
      <c r="BU33" s="189"/>
      <c r="BV33" s="351"/>
      <c r="BW33" s="189"/>
      <c r="BX33" s="362" t="s">
        <v>26</v>
      </c>
      <c r="BY33" s="189">
        <f t="shared" si="15"/>
        <v>2181.14</v>
      </c>
      <c r="BZ33" s="189">
        <f t="shared" si="21"/>
        <v>174.5</v>
      </c>
      <c r="CA33" s="496"/>
      <c r="CB33" s="189">
        <f>I33+S33+AC33+AM33+AW33+BG33+BQ33</f>
        <v>2006.6399999999999</v>
      </c>
      <c r="CC33" s="496"/>
      <c r="CD33" s="496"/>
      <c r="CE33" s="496"/>
      <c r="CF33" s="189"/>
      <c r="CG33" s="582">
        <f t="shared" si="1"/>
        <v>0</v>
      </c>
      <c r="CH33" s="582">
        <f t="shared" si="2"/>
        <v>0</v>
      </c>
      <c r="CI33" s="582"/>
      <c r="CJ33" s="582">
        <f t="shared" si="3"/>
        <v>0</v>
      </c>
      <c r="CK33" s="358"/>
      <c r="CL33" s="240">
        <f t="shared" si="16"/>
        <v>2181.1400000000003</v>
      </c>
      <c r="CM33" s="199">
        <v>174.5</v>
      </c>
      <c r="CN33" s="199"/>
      <c r="CO33" s="199">
        <v>2006.64</v>
      </c>
      <c r="CP33" s="199"/>
      <c r="CQ33" s="249"/>
      <c r="CR33" s="271"/>
    </row>
    <row r="34" spans="1:96" ht="40.5" customHeight="1">
      <c r="A34" s="349"/>
      <c r="B34" s="359"/>
      <c r="C34" s="444" t="s">
        <v>365</v>
      </c>
      <c r="D34" s="304"/>
      <c r="E34" s="362" t="s">
        <v>26</v>
      </c>
      <c r="F34" s="189">
        <f>SUM(G34:M34)</f>
        <v>118</v>
      </c>
      <c r="G34" s="496"/>
      <c r="H34" s="496"/>
      <c r="I34" s="496">
        <v>118</v>
      </c>
      <c r="J34" s="496"/>
      <c r="K34" s="496"/>
      <c r="L34" s="298"/>
      <c r="M34" s="299"/>
      <c r="N34" s="304"/>
      <c r="O34" s="301" t="s">
        <v>26</v>
      </c>
      <c r="P34" s="189">
        <f>SUM(Q34:W34)</f>
        <v>1.7</v>
      </c>
      <c r="Q34" s="496"/>
      <c r="R34" s="496"/>
      <c r="S34" s="496">
        <v>1.7</v>
      </c>
      <c r="T34" s="496"/>
      <c r="U34" s="496"/>
      <c r="V34" s="496"/>
      <c r="W34" s="189"/>
      <c r="X34" s="439"/>
      <c r="Y34" s="362" t="s">
        <v>26</v>
      </c>
      <c r="Z34" s="189">
        <f t="shared" si="14"/>
        <v>193.96</v>
      </c>
      <c r="AA34" s="496">
        <v>15.5</v>
      </c>
      <c r="AB34" s="496"/>
      <c r="AC34" s="496">
        <v>178.46</v>
      </c>
      <c r="AD34" s="496"/>
      <c r="AE34" s="496"/>
      <c r="AF34" s="496"/>
      <c r="AG34" s="189"/>
      <c r="AH34" s="439"/>
      <c r="AI34" s="362" t="s">
        <v>26</v>
      </c>
      <c r="AJ34" s="189">
        <f t="shared" si="17"/>
        <v>185.86</v>
      </c>
      <c r="AK34" s="496">
        <v>14.86</v>
      </c>
      <c r="AL34" s="496"/>
      <c r="AM34" s="496">
        <v>171</v>
      </c>
      <c r="AN34" s="496"/>
      <c r="AO34" s="496"/>
      <c r="AP34" s="496"/>
      <c r="AQ34" s="189"/>
      <c r="AR34" s="439"/>
      <c r="AS34" s="362" t="s">
        <v>26</v>
      </c>
      <c r="AT34" s="189">
        <f t="shared" si="18"/>
        <v>178.23</v>
      </c>
      <c r="AU34" s="225">
        <v>14.26</v>
      </c>
      <c r="AV34" s="496"/>
      <c r="AW34" s="496">
        <v>163.97</v>
      </c>
      <c r="AX34" s="496"/>
      <c r="AY34" s="496"/>
      <c r="AZ34" s="496"/>
      <c r="BA34" s="189"/>
      <c r="BB34" s="439"/>
      <c r="BC34" s="362" t="s">
        <v>26</v>
      </c>
      <c r="BD34" s="189">
        <f t="shared" si="19"/>
        <v>185.17000000000002</v>
      </c>
      <c r="BE34" s="496">
        <v>21.05</v>
      </c>
      <c r="BF34" s="496"/>
      <c r="BG34" s="496">
        <v>164.12</v>
      </c>
      <c r="BH34" s="496"/>
      <c r="BI34" s="496"/>
      <c r="BJ34" s="496"/>
      <c r="BK34" s="189"/>
      <c r="BL34" s="439"/>
      <c r="BM34" s="362" t="s">
        <v>26</v>
      </c>
      <c r="BN34" s="189">
        <f t="shared" si="20"/>
        <v>209.21</v>
      </c>
      <c r="BO34" s="496">
        <v>20.100000000000001</v>
      </c>
      <c r="BP34" s="496"/>
      <c r="BQ34" s="496">
        <v>189.11</v>
      </c>
      <c r="BR34" s="496"/>
      <c r="BS34" s="496"/>
      <c r="BT34" s="496"/>
      <c r="BU34" s="189"/>
      <c r="BV34" s="351"/>
      <c r="BW34" s="189"/>
      <c r="BX34" s="362" t="s">
        <v>26</v>
      </c>
      <c r="BY34" s="189">
        <f t="shared" si="15"/>
        <v>1072.1300000000001</v>
      </c>
      <c r="BZ34" s="189">
        <f t="shared" si="21"/>
        <v>85.77000000000001</v>
      </c>
      <c r="CA34" s="496"/>
      <c r="CB34" s="189">
        <f>I34+S34+AC34+AM34+AW34+BG34+BQ34</f>
        <v>986.36</v>
      </c>
      <c r="CC34" s="496"/>
      <c r="CD34" s="496"/>
      <c r="CE34" s="496"/>
      <c r="CF34" s="189"/>
      <c r="CG34" s="582">
        <f t="shared" si="1"/>
        <v>0</v>
      </c>
      <c r="CH34" s="582">
        <f t="shared" si="2"/>
        <v>0</v>
      </c>
      <c r="CI34" s="582"/>
      <c r="CJ34" s="582">
        <f t="shared" si="3"/>
        <v>0</v>
      </c>
      <c r="CK34" s="358"/>
      <c r="CL34" s="240">
        <f t="shared" si="16"/>
        <v>1072.1300000000001</v>
      </c>
      <c r="CM34" s="199">
        <v>85.77</v>
      </c>
      <c r="CN34" s="199"/>
      <c r="CO34" s="199">
        <v>986.36</v>
      </c>
      <c r="CP34" s="199"/>
      <c r="CQ34" s="249"/>
      <c r="CR34" s="271"/>
    </row>
    <row r="35" spans="1:96" ht="17.25" customHeight="1">
      <c r="A35" s="349"/>
      <c r="B35" s="360">
        <v>4849</v>
      </c>
      <c r="C35" s="95" t="s">
        <v>366</v>
      </c>
      <c r="D35" s="461"/>
      <c r="E35" s="461"/>
      <c r="F35" s="189"/>
      <c r="G35" s="496"/>
      <c r="H35" s="496"/>
      <c r="I35" s="496"/>
      <c r="J35" s="496"/>
      <c r="K35" s="496"/>
      <c r="L35" s="298"/>
      <c r="M35" s="299"/>
      <c r="N35" s="461"/>
      <c r="O35" s="301"/>
      <c r="P35" s="189"/>
      <c r="Q35" s="496"/>
      <c r="R35" s="496"/>
      <c r="S35" s="496"/>
      <c r="T35" s="496"/>
      <c r="U35" s="496"/>
      <c r="V35" s="496"/>
      <c r="W35" s="189"/>
      <c r="X35" s="444"/>
      <c r="Y35" s="362" t="s">
        <v>26</v>
      </c>
      <c r="Z35" s="189">
        <f t="shared" si="14"/>
        <v>400</v>
      </c>
      <c r="AA35" s="496">
        <v>400</v>
      </c>
      <c r="AB35" s="496"/>
      <c r="AC35" s="496"/>
      <c r="AD35" s="496"/>
      <c r="AE35" s="496"/>
      <c r="AF35" s="496"/>
      <c r="AG35" s="189"/>
      <c r="AH35" s="444"/>
      <c r="AI35" s="362" t="s">
        <v>26</v>
      </c>
      <c r="AJ35" s="189">
        <f t="shared" si="17"/>
        <v>50</v>
      </c>
      <c r="AK35" s="225">
        <v>50</v>
      </c>
      <c r="AL35" s="496"/>
      <c r="AM35" s="496"/>
      <c r="AN35" s="496"/>
      <c r="AO35" s="496"/>
      <c r="AP35" s="496"/>
      <c r="AQ35" s="189"/>
      <c r="AR35" s="444"/>
      <c r="AS35" s="362"/>
      <c r="AT35" s="189">
        <f t="shared" si="18"/>
        <v>0</v>
      </c>
      <c r="AU35" s="225">
        <v>0</v>
      </c>
      <c r="AV35" s="496"/>
      <c r="AW35" s="496"/>
      <c r="AX35" s="496"/>
      <c r="AY35" s="496"/>
      <c r="AZ35" s="496"/>
      <c r="BA35" s="189"/>
      <c r="BB35" s="444"/>
      <c r="BC35" s="362"/>
      <c r="BD35" s="189">
        <f t="shared" si="19"/>
        <v>0</v>
      </c>
      <c r="BE35" s="225">
        <v>0</v>
      </c>
      <c r="BF35" s="496"/>
      <c r="BG35" s="496"/>
      <c r="BH35" s="496"/>
      <c r="BI35" s="496"/>
      <c r="BJ35" s="496"/>
      <c r="BK35" s="189"/>
      <c r="BL35" s="444"/>
      <c r="BM35" s="362"/>
      <c r="BN35" s="189">
        <f t="shared" si="20"/>
        <v>0</v>
      </c>
      <c r="BO35" s="225">
        <v>0</v>
      </c>
      <c r="BP35" s="496"/>
      <c r="BQ35" s="496"/>
      <c r="BR35" s="496"/>
      <c r="BS35" s="496"/>
      <c r="BT35" s="496"/>
      <c r="BU35" s="189"/>
      <c r="BV35" s="351"/>
      <c r="BW35" s="189"/>
      <c r="BX35" s="362"/>
      <c r="BY35" s="189">
        <f t="shared" si="15"/>
        <v>450</v>
      </c>
      <c r="BZ35" s="189">
        <f t="shared" si="21"/>
        <v>450</v>
      </c>
      <c r="CA35" s="496"/>
      <c r="CB35" s="496"/>
      <c r="CC35" s="496"/>
      <c r="CD35" s="496"/>
      <c r="CE35" s="496"/>
      <c r="CF35" s="189"/>
      <c r="CG35" s="582">
        <f t="shared" si="1"/>
        <v>0</v>
      </c>
      <c r="CH35" s="582">
        <f t="shared" si="2"/>
        <v>0</v>
      </c>
      <c r="CI35" s="582"/>
      <c r="CJ35" s="582">
        <f t="shared" si="3"/>
        <v>0</v>
      </c>
      <c r="CK35" s="358"/>
      <c r="CL35" s="240">
        <f t="shared" si="16"/>
        <v>450</v>
      </c>
      <c r="CM35" s="199">
        <v>450</v>
      </c>
      <c r="CN35" s="200"/>
      <c r="CO35" s="200"/>
      <c r="CP35" s="200"/>
      <c r="CQ35" s="250"/>
      <c r="CR35" s="271"/>
    </row>
    <row r="36" spans="1:96" ht="18" customHeight="1">
      <c r="A36" s="349"/>
      <c r="B36" s="361">
        <v>4851</v>
      </c>
      <c r="C36" s="423" t="s">
        <v>50</v>
      </c>
      <c r="D36" s="354"/>
      <c r="E36" s="362" t="s">
        <v>26</v>
      </c>
      <c r="F36" s="189">
        <f>SUM(G36:M36)</f>
        <v>3.97</v>
      </c>
      <c r="G36" s="496">
        <v>3.97</v>
      </c>
      <c r="H36" s="496"/>
      <c r="I36" s="496"/>
      <c r="J36" s="496"/>
      <c r="K36" s="496"/>
      <c r="L36" s="298"/>
      <c r="M36" s="299"/>
      <c r="N36" s="354"/>
      <c r="O36" s="301" t="s">
        <v>26</v>
      </c>
      <c r="P36" s="189">
        <f>SUM(Q36:W36)</f>
        <v>0.74</v>
      </c>
      <c r="Q36" s="496">
        <v>0.74</v>
      </c>
      <c r="R36" s="496"/>
      <c r="S36" s="496"/>
      <c r="T36" s="496"/>
      <c r="U36" s="496"/>
      <c r="V36" s="496"/>
      <c r="W36" s="189"/>
      <c r="X36" s="443"/>
      <c r="Y36" s="362" t="s">
        <v>26</v>
      </c>
      <c r="Z36" s="189">
        <f t="shared" si="14"/>
        <v>1.25</v>
      </c>
      <c r="AA36" s="496">
        <v>1.25</v>
      </c>
      <c r="AB36" s="496"/>
      <c r="AC36" s="496"/>
      <c r="AD36" s="496"/>
      <c r="AE36" s="496"/>
      <c r="AF36" s="496"/>
      <c r="AG36" s="189"/>
      <c r="AH36" s="443"/>
      <c r="AI36" s="362" t="s">
        <v>26</v>
      </c>
      <c r="AJ36" s="189">
        <f t="shared" si="17"/>
        <v>1.25</v>
      </c>
      <c r="AK36" s="496">
        <v>1.25</v>
      </c>
      <c r="AL36" s="496"/>
      <c r="AM36" s="496"/>
      <c r="AN36" s="496"/>
      <c r="AO36" s="496"/>
      <c r="AP36" s="496"/>
      <c r="AQ36" s="189"/>
      <c r="AR36" s="443"/>
      <c r="AS36" s="362" t="s">
        <v>26</v>
      </c>
      <c r="AT36" s="189">
        <f t="shared" si="18"/>
        <v>1.25</v>
      </c>
      <c r="AU36" s="225">
        <v>1.25</v>
      </c>
      <c r="AV36" s="496"/>
      <c r="AW36" s="496"/>
      <c r="AX36" s="496"/>
      <c r="AY36" s="496"/>
      <c r="AZ36" s="496"/>
      <c r="BA36" s="189"/>
      <c r="BB36" s="443"/>
      <c r="BC36" s="362" t="s">
        <v>26</v>
      </c>
      <c r="BD36" s="189">
        <f t="shared" si="19"/>
        <v>1.05</v>
      </c>
      <c r="BE36" s="496">
        <v>1.05</v>
      </c>
      <c r="BF36" s="496"/>
      <c r="BG36" s="496">
        <v>0</v>
      </c>
      <c r="BH36" s="496"/>
      <c r="BI36" s="496"/>
      <c r="BJ36" s="496"/>
      <c r="BK36" s="189"/>
      <c r="BL36" s="443"/>
      <c r="BM36" s="362" t="s">
        <v>26</v>
      </c>
      <c r="BN36" s="189">
        <f t="shared" si="20"/>
        <v>0.49</v>
      </c>
      <c r="BO36" s="496">
        <v>0.49</v>
      </c>
      <c r="BP36" s="496"/>
      <c r="BQ36" s="496"/>
      <c r="BR36" s="496"/>
      <c r="BS36" s="496"/>
      <c r="BT36" s="496"/>
      <c r="BU36" s="189"/>
      <c r="BV36" s="351"/>
      <c r="BW36" s="189"/>
      <c r="BX36" s="362" t="s">
        <v>26</v>
      </c>
      <c r="BY36" s="189">
        <f t="shared" si="15"/>
        <v>10.000000000000002</v>
      </c>
      <c r="BZ36" s="189">
        <f t="shared" si="21"/>
        <v>10.000000000000002</v>
      </c>
      <c r="CA36" s="496"/>
      <c r="CB36" s="496"/>
      <c r="CC36" s="496"/>
      <c r="CD36" s="496"/>
      <c r="CE36" s="496"/>
      <c r="CF36" s="189"/>
      <c r="CG36" s="582">
        <f t="shared" si="1"/>
        <v>0</v>
      </c>
      <c r="CH36" s="582">
        <f t="shared" si="2"/>
        <v>0</v>
      </c>
      <c r="CI36" s="582"/>
      <c r="CJ36" s="582">
        <f t="shared" si="3"/>
        <v>0</v>
      </c>
      <c r="CK36" s="358"/>
      <c r="CL36" s="240">
        <f t="shared" si="16"/>
        <v>10</v>
      </c>
      <c r="CM36" s="192">
        <v>10</v>
      </c>
      <c r="CN36" s="182"/>
      <c r="CO36" s="182"/>
      <c r="CP36" s="182"/>
      <c r="CQ36" s="236"/>
      <c r="CR36" s="271"/>
    </row>
    <row r="37" spans="1:96" ht="15.75" customHeight="1">
      <c r="A37" s="349"/>
      <c r="B37" s="353">
        <v>4854</v>
      </c>
      <c r="C37" s="423" t="s">
        <v>51</v>
      </c>
      <c r="D37" s="354"/>
      <c r="E37" s="362" t="s">
        <v>26</v>
      </c>
      <c r="F37" s="189">
        <f>SUM(G37:M37)</f>
        <v>1.21</v>
      </c>
      <c r="G37" s="496">
        <v>1.21</v>
      </c>
      <c r="H37" s="496"/>
      <c r="I37" s="496"/>
      <c r="J37" s="496"/>
      <c r="K37" s="496"/>
      <c r="L37" s="298"/>
      <c r="M37" s="299"/>
      <c r="N37" s="354"/>
      <c r="O37" s="301" t="s">
        <v>26</v>
      </c>
      <c r="P37" s="189">
        <f>SUM(Q37:W37)</f>
        <v>0.53</v>
      </c>
      <c r="Q37" s="496">
        <v>0.53</v>
      </c>
      <c r="R37" s="496"/>
      <c r="S37" s="496"/>
      <c r="T37" s="496"/>
      <c r="U37" s="496"/>
      <c r="V37" s="496"/>
      <c r="W37" s="189"/>
      <c r="X37" s="443"/>
      <c r="Y37" s="362" t="s">
        <v>26</v>
      </c>
      <c r="Z37" s="189">
        <f t="shared" si="14"/>
        <v>8</v>
      </c>
      <c r="AA37" s="496">
        <v>8</v>
      </c>
      <c r="AB37" s="496"/>
      <c r="AC37" s="496"/>
      <c r="AD37" s="496"/>
      <c r="AE37" s="496"/>
      <c r="AF37" s="496"/>
      <c r="AG37" s="189"/>
      <c r="AH37" s="443"/>
      <c r="AI37" s="362" t="s">
        <v>26</v>
      </c>
      <c r="AJ37" s="189">
        <f t="shared" si="17"/>
        <v>8</v>
      </c>
      <c r="AK37" s="496">
        <v>8</v>
      </c>
      <c r="AL37" s="496"/>
      <c r="AM37" s="496"/>
      <c r="AN37" s="496"/>
      <c r="AO37" s="496"/>
      <c r="AP37" s="496"/>
      <c r="AQ37" s="189"/>
      <c r="AR37" s="443"/>
      <c r="AS37" s="362" t="s">
        <v>26</v>
      </c>
      <c r="AT37" s="189">
        <f t="shared" si="18"/>
        <v>6</v>
      </c>
      <c r="AU37" s="225">
        <v>6</v>
      </c>
      <c r="AV37" s="496"/>
      <c r="AW37" s="496"/>
      <c r="AX37" s="496"/>
      <c r="AY37" s="496"/>
      <c r="AZ37" s="496"/>
      <c r="BA37" s="189"/>
      <c r="BB37" s="443"/>
      <c r="BC37" s="362" t="s">
        <v>26</v>
      </c>
      <c r="BD37" s="189">
        <f t="shared" si="19"/>
        <v>1.26</v>
      </c>
      <c r="BE37" s="496">
        <v>1.26</v>
      </c>
      <c r="BF37" s="496"/>
      <c r="BG37" s="496">
        <v>0</v>
      </c>
      <c r="BH37" s="496"/>
      <c r="BI37" s="496"/>
      <c r="BJ37" s="496"/>
      <c r="BK37" s="189"/>
      <c r="BL37" s="443"/>
      <c r="BM37" s="362"/>
      <c r="BN37" s="189">
        <f t="shared" si="20"/>
        <v>0</v>
      </c>
      <c r="BO37" s="496">
        <v>0</v>
      </c>
      <c r="BP37" s="496"/>
      <c r="BQ37" s="496">
        <v>0</v>
      </c>
      <c r="BR37" s="496"/>
      <c r="BS37" s="496"/>
      <c r="BT37" s="496"/>
      <c r="BU37" s="189"/>
      <c r="BV37" s="351"/>
      <c r="BW37" s="189"/>
      <c r="BX37" s="362"/>
      <c r="BY37" s="189">
        <f t="shared" si="15"/>
        <v>25.000000000000004</v>
      </c>
      <c r="BZ37" s="189">
        <f t="shared" si="21"/>
        <v>25.000000000000004</v>
      </c>
      <c r="CA37" s="496"/>
      <c r="CB37" s="496"/>
      <c r="CC37" s="496"/>
      <c r="CD37" s="496"/>
      <c r="CE37" s="496"/>
      <c r="CF37" s="189"/>
      <c r="CG37" s="582">
        <f t="shared" si="1"/>
        <v>0</v>
      </c>
      <c r="CH37" s="582">
        <f t="shared" si="2"/>
        <v>0</v>
      </c>
      <c r="CI37" s="582"/>
      <c r="CJ37" s="582">
        <f t="shared" si="3"/>
        <v>0</v>
      </c>
      <c r="CK37" s="358"/>
      <c r="CL37" s="240">
        <f t="shared" si="16"/>
        <v>25</v>
      </c>
      <c r="CM37" s="192">
        <v>25</v>
      </c>
      <c r="CN37" s="182"/>
      <c r="CO37" s="182"/>
      <c r="CP37" s="182"/>
      <c r="CQ37" s="236"/>
      <c r="CR37" s="271"/>
    </row>
    <row r="38" spans="1:96" ht="27.75" customHeight="1">
      <c r="A38" s="349"/>
      <c r="B38" s="362">
        <v>4874</v>
      </c>
      <c r="C38" s="498" t="s">
        <v>52</v>
      </c>
      <c r="D38" s="354" t="s">
        <v>53</v>
      </c>
      <c r="E38" s="362" t="s">
        <v>26</v>
      </c>
      <c r="F38" s="189">
        <f>SUM(G38:M38)</f>
        <v>3793.31</v>
      </c>
      <c r="G38" s="496"/>
      <c r="H38" s="496"/>
      <c r="I38" s="496"/>
      <c r="J38" s="496">
        <v>3793.31</v>
      </c>
      <c r="K38" s="496"/>
      <c r="L38" s="298"/>
      <c r="M38" s="299"/>
      <c r="N38" s="354" t="s">
        <v>53</v>
      </c>
      <c r="O38" s="301" t="s">
        <v>26</v>
      </c>
      <c r="P38" s="189">
        <f>SUM(Q38:W38)</f>
        <v>5.79</v>
      </c>
      <c r="Q38" s="496"/>
      <c r="R38" s="496"/>
      <c r="S38" s="496"/>
      <c r="T38" s="496">
        <v>5.79</v>
      </c>
      <c r="U38" s="496"/>
      <c r="V38" s="496"/>
      <c r="W38" s="189"/>
      <c r="X38" s="443" t="s">
        <v>53</v>
      </c>
      <c r="Y38" s="362" t="s">
        <v>26</v>
      </c>
      <c r="Z38" s="189">
        <f t="shared" si="14"/>
        <v>900</v>
      </c>
      <c r="AA38" s="496">
        <v>0</v>
      </c>
      <c r="AB38" s="496"/>
      <c r="AC38" s="496"/>
      <c r="AD38" s="496">
        <v>900</v>
      </c>
      <c r="AE38" s="496"/>
      <c r="AF38" s="496"/>
      <c r="AG38" s="189"/>
      <c r="AH38" s="443" t="s">
        <v>53</v>
      </c>
      <c r="AI38" s="362" t="s">
        <v>26</v>
      </c>
      <c r="AJ38" s="189">
        <f t="shared" si="17"/>
        <v>1000</v>
      </c>
      <c r="AK38" s="496"/>
      <c r="AL38" s="496"/>
      <c r="AM38" s="496"/>
      <c r="AN38" s="496">
        <v>1000</v>
      </c>
      <c r="AO38" s="496"/>
      <c r="AP38" s="496"/>
      <c r="AQ38" s="189"/>
      <c r="AR38" s="443" t="s">
        <v>53</v>
      </c>
      <c r="AS38" s="362" t="s">
        <v>26</v>
      </c>
      <c r="AT38" s="189">
        <f t="shared" si="18"/>
        <v>1000</v>
      </c>
      <c r="AU38" s="225">
        <v>0</v>
      </c>
      <c r="AV38" s="496"/>
      <c r="AW38" s="496"/>
      <c r="AX38" s="496">
        <v>1000</v>
      </c>
      <c r="AY38" s="496"/>
      <c r="AZ38" s="496"/>
      <c r="BA38" s="189"/>
      <c r="BB38" s="443" t="s">
        <v>53</v>
      </c>
      <c r="BC38" s="362" t="s">
        <v>26</v>
      </c>
      <c r="BD38" s="189">
        <f t="shared" si="19"/>
        <v>1000</v>
      </c>
      <c r="BE38" s="496">
        <v>0</v>
      </c>
      <c r="BF38" s="496"/>
      <c r="BG38" s="496">
        <v>0</v>
      </c>
      <c r="BH38" s="363">
        <v>1000</v>
      </c>
      <c r="BI38" s="496"/>
      <c r="BJ38" s="496"/>
      <c r="BK38" s="189"/>
      <c r="BL38" s="443" t="s">
        <v>53</v>
      </c>
      <c r="BM38" s="362" t="s">
        <v>26</v>
      </c>
      <c r="BN38" s="189">
        <f t="shared" si="20"/>
        <v>202.3</v>
      </c>
      <c r="BO38" s="496">
        <v>0</v>
      </c>
      <c r="BP38" s="496"/>
      <c r="BQ38" s="496">
        <v>0</v>
      </c>
      <c r="BR38" s="496">
        <v>202.3</v>
      </c>
      <c r="BS38" s="496"/>
      <c r="BT38" s="496"/>
      <c r="BU38" s="189"/>
      <c r="BV38" s="351"/>
      <c r="BW38" s="189"/>
      <c r="BX38" s="362" t="s">
        <v>26</v>
      </c>
      <c r="BY38" s="189">
        <f t="shared" si="15"/>
        <v>7901.4000000000005</v>
      </c>
      <c r="BZ38" s="189"/>
      <c r="CA38" s="496"/>
      <c r="CB38" s="496"/>
      <c r="CC38" s="189">
        <f>J38+T38+AD38+AN38+AX38+BH38+BR38</f>
        <v>7901.4000000000005</v>
      </c>
      <c r="CD38" s="496"/>
      <c r="CE38" s="496"/>
      <c r="CF38" s="189"/>
      <c r="CG38" s="582">
        <f t="shared" si="1"/>
        <v>0</v>
      </c>
      <c r="CH38" s="582">
        <f t="shared" si="2"/>
        <v>0</v>
      </c>
      <c r="CI38" s="582"/>
      <c r="CJ38" s="582">
        <f t="shared" si="3"/>
        <v>0</v>
      </c>
      <c r="CK38" s="358"/>
      <c r="CL38" s="240">
        <f t="shared" si="16"/>
        <v>7901.4</v>
      </c>
      <c r="CM38" s="192"/>
      <c r="CN38" s="182"/>
      <c r="CO38" s="182"/>
      <c r="CP38" s="182">
        <v>7901.4</v>
      </c>
      <c r="CQ38" s="236"/>
      <c r="CR38" s="272"/>
    </row>
    <row r="39" spans="1:96" ht="16.5" customHeight="1">
      <c r="A39" s="349"/>
      <c r="B39" s="369">
        <v>4883</v>
      </c>
      <c r="C39" s="95" t="s">
        <v>54</v>
      </c>
      <c r="D39" s="306"/>
      <c r="E39" s="362" t="s">
        <v>26</v>
      </c>
      <c r="F39" s="189">
        <f>SUM(G39:M39)</f>
        <v>3.23</v>
      </c>
      <c r="G39" s="496">
        <v>3.23</v>
      </c>
      <c r="H39" s="496"/>
      <c r="I39" s="496"/>
      <c r="J39" s="496"/>
      <c r="K39" s="496"/>
      <c r="L39" s="298"/>
      <c r="M39" s="299"/>
      <c r="N39" s="306"/>
      <c r="O39" s="301"/>
      <c r="P39" s="189"/>
      <c r="Q39" s="496"/>
      <c r="R39" s="496"/>
      <c r="S39" s="496"/>
      <c r="T39" s="496"/>
      <c r="U39" s="496"/>
      <c r="V39" s="496"/>
      <c r="W39" s="189"/>
      <c r="X39" s="445"/>
      <c r="Y39" s="362" t="s">
        <v>26</v>
      </c>
      <c r="Z39" s="189">
        <f t="shared" si="14"/>
        <v>4.7699999999999996</v>
      </c>
      <c r="AA39" s="496">
        <v>4.7699999999999996</v>
      </c>
      <c r="AB39" s="496"/>
      <c r="AC39" s="496"/>
      <c r="AD39" s="496"/>
      <c r="AE39" s="496"/>
      <c r="AF39" s="496"/>
      <c r="AG39" s="189"/>
      <c r="AH39" s="445"/>
      <c r="AI39" s="362" t="s">
        <v>26</v>
      </c>
      <c r="AJ39" s="189">
        <f t="shared" si="17"/>
        <v>4</v>
      </c>
      <c r="AK39" s="496">
        <v>4</v>
      </c>
      <c r="AL39" s="496"/>
      <c r="AM39" s="496"/>
      <c r="AN39" s="496"/>
      <c r="AO39" s="496"/>
      <c r="AP39" s="496"/>
      <c r="AQ39" s="189"/>
      <c r="AR39" s="445"/>
      <c r="AS39" s="362" t="s">
        <v>26</v>
      </c>
      <c r="AT39" s="189">
        <f t="shared" si="18"/>
        <v>4</v>
      </c>
      <c r="AU39" s="225">
        <v>4</v>
      </c>
      <c r="AV39" s="496"/>
      <c r="AW39" s="496"/>
      <c r="AX39" s="496"/>
      <c r="AY39" s="496"/>
      <c r="AZ39" s="496"/>
      <c r="BA39" s="189"/>
      <c r="BB39" s="445"/>
      <c r="BC39" s="362" t="s">
        <v>26</v>
      </c>
      <c r="BD39" s="189">
        <f t="shared" si="19"/>
        <v>4</v>
      </c>
      <c r="BE39" s="496">
        <v>4</v>
      </c>
      <c r="BF39" s="496"/>
      <c r="BG39" s="496">
        <v>0</v>
      </c>
      <c r="BH39" s="496"/>
      <c r="BI39" s="496"/>
      <c r="BJ39" s="496"/>
      <c r="BK39" s="189"/>
      <c r="BL39" s="445"/>
      <c r="BM39" s="362" t="s">
        <v>26</v>
      </c>
      <c r="BN39" s="189">
        <f t="shared" si="20"/>
        <v>5</v>
      </c>
      <c r="BO39" s="496">
        <v>5</v>
      </c>
      <c r="BP39" s="496"/>
      <c r="BQ39" s="496">
        <v>0</v>
      </c>
      <c r="BR39" s="496"/>
      <c r="BS39" s="496"/>
      <c r="BT39" s="496"/>
      <c r="BU39" s="189"/>
      <c r="BV39" s="351"/>
      <c r="BW39" s="189"/>
      <c r="BX39" s="362" t="s">
        <v>26</v>
      </c>
      <c r="BY39" s="189">
        <f t="shared" si="15"/>
        <v>25</v>
      </c>
      <c r="BZ39" s="189">
        <f t="shared" ref="BZ39:BZ44" si="22">G39+Q39+AA39+AK39+AU39+BE39+BO39</f>
        <v>25</v>
      </c>
      <c r="CA39" s="496"/>
      <c r="CB39" s="496">
        <v>0</v>
      </c>
      <c r="CC39" s="496"/>
      <c r="CD39" s="496"/>
      <c r="CE39" s="496"/>
      <c r="CF39" s="189"/>
      <c r="CG39" s="582">
        <f t="shared" si="1"/>
        <v>0</v>
      </c>
      <c r="CH39" s="582">
        <f t="shared" si="2"/>
        <v>0</v>
      </c>
      <c r="CI39" s="582"/>
      <c r="CJ39" s="582">
        <f t="shared" si="3"/>
        <v>0</v>
      </c>
      <c r="CK39" s="358"/>
      <c r="CL39" s="240">
        <f t="shared" si="16"/>
        <v>25</v>
      </c>
      <c r="CM39" s="192">
        <v>25</v>
      </c>
      <c r="CN39" s="182"/>
      <c r="CO39" s="182"/>
      <c r="CP39" s="182"/>
      <c r="CQ39" s="236"/>
      <c r="CR39" s="272"/>
    </row>
    <row r="40" spans="1:96" ht="15.75" customHeight="1">
      <c r="A40" s="349"/>
      <c r="B40" s="370"/>
      <c r="C40" s="95" t="s">
        <v>55</v>
      </c>
      <c r="D40" s="306"/>
      <c r="E40" s="306"/>
      <c r="F40" s="189"/>
      <c r="G40" s="496"/>
      <c r="H40" s="496"/>
      <c r="I40" s="496"/>
      <c r="J40" s="496"/>
      <c r="K40" s="496"/>
      <c r="L40" s="298"/>
      <c r="M40" s="299"/>
      <c r="N40" s="306"/>
      <c r="O40" s="301" t="s">
        <v>26</v>
      </c>
      <c r="P40" s="189">
        <f>SUM(Q40:W40)</f>
        <v>0.5</v>
      </c>
      <c r="Q40" s="496">
        <v>0.5</v>
      </c>
      <c r="R40" s="496"/>
      <c r="S40" s="496"/>
      <c r="T40" s="496"/>
      <c r="U40" s="496"/>
      <c r="V40" s="496"/>
      <c r="W40" s="189"/>
      <c r="X40" s="445"/>
      <c r="Y40" s="362" t="s">
        <v>26</v>
      </c>
      <c r="Z40" s="189">
        <f t="shared" si="14"/>
        <v>5</v>
      </c>
      <c r="AA40" s="496">
        <v>5</v>
      </c>
      <c r="AB40" s="496"/>
      <c r="AC40" s="496"/>
      <c r="AD40" s="496"/>
      <c r="AE40" s="496"/>
      <c r="AF40" s="496"/>
      <c r="AG40" s="189"/>
      <c r="AH40" s="445"/>
      <c r="AI40" s="362"/>
      <c r="AJ40" s="189">
        <f t="shared" si="17"/>
        <v>2.5</v>
      </c>
      <c r="AK40" s="496">
        <v>2.5</v>
      </c>
      <c r="AL40" s="496"/>
      <c r="AM40" s="496"/>
      <c r="AN40" s="496"/>
      <c r="AO40" s="496"/>
      <c r="AP40" s="496"/>
      <c r="AQ40" s="189"/>
      <c r="AR40" s="445"/>
      <c r="AS40" s="362"/>
      <c r="AT40" s="189">
        <f t="shared" si="18"/>
        <v>2</v>
      </c>
      <c r="AU40" s="225">
        <v>2</v>
      </c>
      <c r="AV40" s="496"/>
      <c r="AW40" s="496"/>
      <c r="AX40" s="496"/>
      <c r="AY40" s="496"/>
      <c r="AZ40" s="496"/>
      <c r="BA40" s="189"/>
      <c r="BB40" s="445"/>
      <c r="BC40" s="362"/>
      <c r="BD40" s="189">
        <f t="shared" si="19"/>
        <v>0</v>
      </c>
      <c r="BE40" s="496">
        <v>0</v>
      </c>
      <c r="BF40" s="496"/>
      <c r="BG40" s="496">
        <v>0</v>
      </c>
      <c r="BH40" s="496"/>
      <c r="BI40" s="496"/>
      <c r="BJ40" s="496"/>
      <c r="BK40" s="189"/>
      <c r="BL40" s="445"/>
      <c r="BM40" s="362" t="s">
        <v>26</v>
      </c>
      <c r="BN40" s="189"/>
      <c r="BO40" s="496"/>
      <c r="BP40" s="496"/>
      <c r="BQ40" s="496">
        <v>0</v>
      </c>
      <c r="BR40" s="496"/>
      <c r="BS40" s="496"/>
      <c r="BT40" s="496"/>
      <c r="BU40" s="189"/>
      <c r="BV40" s="351"/>
      <c r="BW40" s="189"/>
      <c r="BX40" s="362" t="s">
        <v>26</v>
      </c>
      <c r="BY40" s="189">
        <f t="shared" si="15"/>
        <v>10</v>
      </c>
      <c r="BZ40" s="189">
        <f t="shared" si="22"/>
        <v>10</v>
      </c>
      <c r="CA40" s="496"/>
      <c r="CB40" s="496">
        <v>0</v>
      </c>
      <c r="CC40" s="496"/>
      <c r="CD40" s="496"/>
      <c r="CE40" s="496"/>
      <c r="CF40" s="189"/>
      <c r="CG40" s="582">
        <f t="shared" si="1"/>
        <v>0</v>
      </c>
      <c r="CH40" s="582">
        <f t="shared" si="2"/>
        <v>0</v>
      </c>
      <c r="CI40" s="582"/>
      <c r="CJ40" s="582">
        <f t="shared" si="3"/>
        <v>0</v>
      </c>
      <c r="CK40" s="358"/>
      <c r="CL40" s="240">
        <f t="shared" si="16"/>
        <v>10</v>
      </c>
      <c r="CM40" s="192">
        <v>10</v>
      </c>
      <c r="CN40" s="182"/>
      <c r="CO40" s="182"/>
      <c r="CP40" s="182"/>
      <c r="CQ40" s="236"/>
      <c r="CR40" s="272"/>
    </row>
    <row r="41" spans="1:96" ht="16.5" customHeight="1">
      <c r="A41" s="349"/>
      <c r="B41" s="371"/>
      <c r="C41" s="95" t="s">
        <v>56</v>
      </c>
      <c r="D41" s="306"/>
      <c r="E41" s="306"/>
      <c r="F41" s="189"/>
      <c r="G41" s="496"/>
      <c r="H41" s="496"/>
      <c r="I41" s="496"/>
      <c r="J41" s="496"/>
      <c r="K41" s="496"/>
      <c r="L41" s="298"/>
      <c r="M41" s="299"/>
      <c r="N41" s="306"/>
      <c r="O41" s="301" t="s">
        <v>26</v>
      </c>
      <c r="P41" s="189">
        <f>SUM(Q41:W41)</f>
        <v>0.5</v>
      </c>
      <c r="Q41" s="496">
        <v>0.5</v>
      </c>
      <c r="R41" s="496"/>
      <c r="S41" s="496"/>
      <c r="T41" s="496"/>
      <c r="U41" s="496"/>
      <c r="V41" s="496"/>
      <c r="W41" s="189"/>
      <c r="X41" s="445"/>
      <c r="Y41" s="362" t="s">
        <v>26</v>
      </c>
      <c r="Z41" s="189">
        <f t="shared" si="14"/>
        <v>2</v>
      </c>
      <c r="AA41" s="496">
        <v>2</v>
      </c>
      <c r="AB41" s="496"/>
      <c r="AC41" s="496"/>
      <c r="AD41" s="496"/>
      <c r="AE41" s="496"/>
      <c r="AF41" s="496"/>
      <c r="AG41" s="189"/>
      <c r="AH41" s="445"/>
      <c r="AI41" s="362" t="s">
        <v>26</v>
      </c>
      <c r="AJ41" s="189">
        <f t="shared" si="17"/>
        <v>2</v>
      </c>
      <c r="AK41" s="496">
        <v>2</v>
      </c>
      <c r="AL41" s="496"/>
      <c r="AM41" s="496"/>
      <c r="AN41" s="496"/>
      <c r="AO41" s="496"/>
      <c r="AP41" s="496"/>
      <c r="AQ41" s="189"/>
      <c r="AR41" s="445"/>
      <c r="AS41" s="362" t="s">
        <v>26</v>
      </c>
      <c r="AT41" s="189">
        <f t="shared" si="18"/>
        <v>2</v>
      </c>
      <c r="AU41" s="225">
        <v>2</v>
      </c>
      <c r="AV41" s="496"/>
      <c r="AW41" s="496"/>
      <c r="AX41" s="496"/>
      <c r="AY41" s="496"/>
      <c r="AZ41" s="496"/>
      <c r="BA41" s="189"/>
      <c r="BB41" s="445"/>
      <c r="BC41" s="362" t="s">
        <v>26</v>
      </c>
      <c r="BD41" s="189">
        <f t="shared" si="19"/>
        <v>2</v>
      </c>
      <c r="BE41" s="496">
        <v>2</v>
      </c>
      <c r="BF41" s="496"/>
      <c r="BG41" s="496">
        <v>0</v>
      </c>
      <c r="BH41" s="496"/>
      <c r="BI41" s="496"/>
      <c r="BJ41" s="496"/>
      <c r="BK41" s="189"/>
      <c r="BL41" s="445"/>
      <c r="BM41" s="362" t="s">
        <v>26</v>
      </c>
      <c r="BN41" s="189">
        <f>SUM(BO41:BU41)</f>
        <v>1.5</v>
      </c>
      <c r="BO41" s="496">
        <v>1.5</v>
      </c>
      <c r="BP41" s="496"/>
      <c r="BQ41" s="496">
        <v>0</v>
      </c>
      <c r="BR41" s="496"/>
      <c r="BS41" s="496"/>
      <c r="BT41" s="496"/>
      <c r="BU41" s="189"/>
      <c r="BV41" s="351"/>
      <c r="BW41" s="189"/>
      <c r="BX41" s="362" t="s">
        <v>26</v>
      </c>
      <c r="BY41" s="189">
        <f t="shared" si="15"/>
        <v>10</v>
      </c>
      <c r="BZ41" s="189">
        <f t="shared" si="22"/>
        <v>10</v>
      </c>
      <c r="CA41" s="496"/>
      <c r="CB41" s="496">
        <v>0</v>
      </c>
      <c r="CC41" s="496"/>
      <c r="CD41" s="496"/>
      <c r="CE41" s="496"/>
      <c r="CF41" s="189"/>
      <c r="CG41" s="582">
        <f t="shared" si="1"/>
        <v>0</v>
      </c>
      <c r="CH41" s="582">
        <f t="shared" si="2"/>
        <v>0</v>
      </c>
      <c r="CI41" s="582"/>
      <c r="CJ41" s="582">
        <f t="shared" si="3"/>
        <v>0</v>
      </c>
      <c r="CK41" s="358"/>
      <c r="CL41" s="240">
        <f t="shared" si="16"/>
        <v>10</v>
      </c>
      <c r="CM41" s="192">
        <v>10</v>
      </c>
      <c r="CN41" s="182"/>
      <c r="CO41" s="182"/>
      <c r="CP41" s="182"/>
      <c r="CQ41" s="236"/>
      <c r="CR41" s="272"/>
    </row>
    <row r="42" spans="1:96" ht="16.5" customHeight="1">
      <c r="A42" s="349"/>
      <c r="B42" s="362">
        <v>4884</v>
      </c>
      <c r="C42" s="95" t="s">
        <v>57</v>
      </c>
      <c r="D42" s="306"/>
      <c r="E42" s="362" t="s">
        <v>26</v>
      </c>
      <c r="F42" s="189">
        <f>SUM(G42:M42)</f>
        <v>13.86</v>
      </c>
      <c r="G42" s="496">
        <v>13.86</v>
      </c>
      <c r="H42" s="496"/>
      <c r="I42" s="496"/>
      <c r="J42" s="496"/>
      <c r="K42" s="496"/>
      <c r="L42" s="298"/>
      <c r="M42" s="299"/>
      <c r="N42" s="306"/>
      <c r="O42" s="301" t="s">
        <v>26</v>
      </c>
      <c r="P42" s="189">
        <f>SUM(Q42:W42)</f>
        <v>13.76</v>
      </c>
      <c r="Q42" s="496">
        <v>13.76</v>
      </c>
      <c r="R42" s="496"/>
      <c r="S42" s="496"/>
      <c r="T42" s="496"/>
      <c r="U42" s="496"/>
      <c r="V42" s="496"/>
      <c r="W42" s="189"/>
      <c r="X42" s="445"/>
      <c r="Y42" s="362" t="s">
        <v>26</v>
      </c>
      <c r="Z42" s="189">
        <f t="shared" si="14"/>
        <v>45</v>
      </c>
      <c r="AA42" s="496">
        <v>45</v>
      </c>
      <c r="AB42" s="496"/>
      <c r="AC42" s="496"/>
      <c r="AD42" s="496"/>
      <c r="AE42" s="496"/>
      <c r="AF42" s="496"/>
      <c r="AG42" s="189"/>
      <c r="AH42" s="445"/>
      <c r="AI42" s="362" t="s">
        <v>26</v>
      </c>
      <c r="AJ42" s="189">
        <f t="shared" si="17"/>
        <v>45</v>
      </c>
      <c r="AK42" s="496">
        <v>45</v>
      </c>
      <c r="AL42" s="496"/>
      <c r="AM42" s="496"/>
      <c r="AN42" s="496"/>
      <c r="AO42" s="496"/>
      <c r="AP42" s="496"/>
      <c r="AQ42" s="189"/>
      <c r="AR42" s="445"/>
      <c r="AS42" s="362" t="s">
        <v>26</v>
      </c>
      <c r="AT42" s="189">
        <f t="shared" si="18"/>
        <v>44.38</v>
      </c>
      <c r="AU42" s="225">
        <v>44.38</v>
      </c>
      <c r="AV42" s="496"/>
      <c r="AW42" s="496"/>
      <c r="AX42" s="496"/>
      <c r="AY42" s="496"/>
      <c r="AZ42" s="496"/>
      <c r="BA42" s="189"/>
      <c r="BB42" s="445"/>
      <c r="BC42" s="362"/>
      <c r="BD42" s="189">
        <f t="shared" si="19"/>
        <v>0</v>
      </c>
      <c r="BE42" s="496">
        <v>0</v>
      </c>
      <c r="BF42" s="496"/>
      <c r="BG42" s="496">
        <v>0</v>
      </c>
      <c r="BH42" s="496"/>
      <c r="BI42" s="496"/>
      <c r="BJ42" s="496"/>
      <c r="BK42" s="189"/>
      <c r="BL42" s="445"/>
      <c r="BM42" s="362"/>
      <c r="BN42" s="189">
        <f>SUM(BO42:BU42)</f>
        <v>0</v>
      </c>
      <c r="BO42" s="496">
        <v>0</v>
      </c>
      <c r="BP42" s="496"/>
      <c r="BQ42" s="496">
        <v>0</v>
      </c>
      <c r="BR42" s="496"/>
      <c r="BS42" s="496"/>
      <c r="BT42" s="496"/>
      <c r="BU42" s="189"/>
      <c r="BV42" s="351"/>
      <c r="BW42" s="189"/>
      <c r="BX42" s="362"/>
      <c r="BY42" s="189">
        <f t="shared" si="15"/>
        <v>162</v>
      </c>
      <c r="BZ42" s="189">
        <f t="shared" si="22"/>
        <v>162</v>
      </c>
      <c r="CA42" s="496"/>
      <c r="CB42" s="496">
        <v>0</v>
      </c>
      <c r="CC42" s="496"/>
      <c r="CD42" s="496"/>
      <c r="CE42" s="496"/>
      <c r="CF42" s="189"/>
      <c r="CG42" s="582">
        <f t="shared" si="1"/>
        <v>0</v>
      </c>
      <c r="CH42" s="582">
        <f t="shared" si="2"/>
        <v>0</v>
      </c>
      <c r="CI42" s="582"/>
      <c r="CJ42" s="582">
        <f t="shared" si="3"/>
        <v>0</v>
      </c>
      <c r="CK42" s="358"/>
      <c r="CL42" s="240">
        <f t="shared" si="16"/>
        <v>162</v>
      </c>
      <c r="CM42" s="192">
        <v>162</v>
      </c>
      <c r="CN42" s="182"/>
      <c r="CO42" s="182"/>
      <c r="CP42" s="182"/>
      <c r="CQ42" s="236"/>
      <c r="CR42" s="272"/>
    </row>
    <row r="43" spans="1:96" ht="18" customHeight="1">
      <c r="A43" s="349"/>
      <c r="B43" s="362">
        <v>4888</v>
      </c>
      <c r="C43" s="309" t="s">
        <v>58</v>
      </c>
      <c r="D43" s="306"/>
      <c r="E43" s="362" t="s">
        <v>26</v>
      </c>
      <c r="F43" s="189">
        <f>SUM(G43:M43)</f>
        <v>6.37</v>
      </c>
      <c r="G43" s="496">
        <v>6.37</v>
      </c>
      <c r="H43" s="496"/>
      <c r="I43" s="496"/>
      <c r="J43" s="496"/>
      <c r="K43" s="496"/>
      <c r="L43" s="298"/>
      <c r="M43" s="299"/>
      <c r="N43" s="306"/>
      <c r="O43" s="301" t="s">
        <v>26</v>
      </c>
      <c r="P43" s="189">
        <f>SUM(Q43:W43)</f>
        <v>0.12</v>
      </c>
      <c r="Q43" s="496">
        <v>0.12</v>
      </c>
      <c r="R43" s="496"/>
      <c r="S43" s="496"/>
      <c r="T43" s="496"/>
      <c r="U43" s="496"/>
      <c r="V43" s="496"/>
      <c r="W43" s="189"/>
      <c r="X43" s="445"/>
      <c r="Y43" s="362" t="s">
        <v>26</v>
      </c>
      <c r="Z43" s="189">
        <f t="shared" si="14"/>
        <v>10</v>
      </c>
      <c r="AA43" s="496">
        <v>10</v>
      </c>
      <c r="AB43" s="496"/>
      <c r="AC43" s="496"/>
      <c r="AD43" s="496"/>
      <c r="AE43" s="496"/>
      <c r="AF43" s="496"/>
      <c r="AG43" s="189"/>
      <c r="AH43" s="445"/>
      <c r="AI43" s="362" t="s">
        <v>26</v>
      </c>
      <c r="AJ43" s="189">
        <f t="shared" si="17"/>
        <v>10</v>
      </c>
      <c r="AK43" s="496">
        <v>10</v>
      </c>
      <c r="AL43" s="496"/>
      <c r="AM43" s="496"/>
      <c r="AN43" s="496"/>
      <c r="AO43" s="496"/>
      <c r="AP43" s="496"/>
      <c r="AQ43" s="189"/>
      <c r="AR43" s="445"/>
      <c r="AS43" s="362" t="s">
        <v>26</v>
      </c>
      <c r="AT43" s="189">
        <f t="shared" si="18"/>
        <v>10</v>
      </c>
      <c r="AU43" s="225">
        <v>10</v>
      </c>
      <c r="AV43" s="496"/>
      <c r="AW43" s="496"/>
      <c r="AX43" s="496"/>
      <c r="AY43" s="496"/>
      <c r="AZ43" s="496"/>
      <c r="BA43" s="189"/>
      <c r="BB43" s="445"/>
      <c r="BC43" s="362" t="s">
        <v>26</v>
      </c>
      <c r="BD43" s="189">
        <f t="shared" si="19"/>
        <v>8</v>
      </c>
      <c r="BE43" s="496">
        <v>8</v>
      </c>
      <c r="BF43" s="496"/>
      <c r="BG43" s="496">
        <v>0</v>
      </c>
      <c r="BH43" s="496"/>
      <c r="BI43" s="496"/>
      <c r="BJ43" s="496"/>
      <c r="BK43" s="189"/>
      <c r="BL43" s="445"/>
      <c r="BM43" s="362" t="s">
        <v>26</v>
      </c>
      <c r="BN43" s="189">
        <f>SUM(BO43:BU43)</f>
        <v>5.51</v>
      </c>
      <c r="BO43" s="496">
        <v>5.51</v>
      </c>
      <c r="BP43" s="496"/>
      <c r="BQ43" s="496">
        <v>0</v>
      </c>
      <c r="BR43" s="496"/>
      <c r="BS43" s="496"/>
      <c r="BT43" s="496"/>
      <c r="BU43" s="189"/>
      <c r="BV43" s="351"/>
      <c r="BW43" s="189"/>
      <c r="BX43" s="362" t="s">
        <v>26</v>
      </c>
      <c r="BY43" s="189">
        <f t="shared" si="15"/>
        <v>50</v>
      </c>
      <c r="BZ43" s="189">
        <f t="shared" si="22"/>
        <v>50</v>
      </c>
      <c r="CA43" s="496"/>
      <c r="CB43" s="496">
        <v>0</v>
      </c>
      <c r="CC43" s="496"/>
      <c r="CD43" s="496"/>
      <c r="CE43" s="496"/>
      <c r="CF43" s="189"/>
      <c r="CG43" s="582">
        <f t="shared" ref="CG43:CG60" si="23">BY43-CL43</f>
        <v>0</v>
      </c>
      <c r="CH43" s="582">
        <f t="shared" ref="CH43:CH60" si="24">BZ43-CM43</f>
        <v>0</v>
      </c>
      <c r="CI43" s="582"/>
      <c r="CJ43" s="582">
        <f t="shared" ref="CJ43:CJ60" si="25">CB43-CO43</f>
        <v>0</v>
      </c>
      <c r="CK43" s="358"/>
      <c r="CL43" s="240">
        <f t="shared" si="16"/>
        <v>50</v>
      </c>
      <c r="CM43" s="199">
        <v>50</v>
      </c>
      <c r="CN43" s="200"/>
      <c r="CO43" s="200"/>
      <c r="CP43" s="200"/>
      <c r="CQ43" s="250"/>
      <c r="CR43" s="272"/>
    </row>
    <row r="44" spans="1:96" ht="18" customHeight="1">
      <c r="A44" s="349"/>
      <c r="B44" s="362">
        <v>4899</v>
      </c>
      <c r="C44" s="309" t="s">
        <v>59</v>
      </c>
      <c r="D44" s="306"/>
      <c r="E44" s="362" t="s">
        <v>26</v>
      </c>
      <c r="F44" s="189">
        <f>SUM(G44:M44)</f>
        <v>310.68</v>
      </c>
      <c r="G44" s="496">
        <v>310.68</v>
      </c>
      <c r="H44" s="496"/>
      <c r="I44" s="496"/>
      <c r="J44" s="496"/>
      <c r="K44" s="496"/>
      <c r="L44" s="298"/>
      <c r="M44" s="299"/>
      <c r="N44" s="306"/>
      <c r="O44" s="301" t="s">
        <v>26</v>
      </c>
      <c r="P44" s="189">
        <f>SUM(Q44:W44)</f>
        <v>1.61</v>
      </c>
      <c r="Q44" s="496">
        <v>1.61</v>
      </c>
      <c r="R44" s="496"/>
      <c r="S44" s="496"/>
      <c r="T44" s="496"/>
      <c r="U44" s="496"/>
      <c r="V44" s="496"/>
      <c r="W44" s="189"/>
      <c r="X44" s="445"/>
      <c r="Y44" s="362" t="s">
        <v>26</v>
      </c>
      <c r="Z44" s="189">
        <f t="shared" si="14"/>
        <v>290</v>
      </c>
      <c r="AA44" s="496">
        <v>290</v>
      </c>
      <c r="AB44" s="496"/>
      <c r="AC44" s="496"/>
      <c r="AD44" s="496"/>
      <c r="AE44" s="496"/>
      <c r="AF44" s="496"/>
      <c r="AG44" s="189"/>
      <c r="AH44" s="445"/>
      <c r="AI44" s="362" t="s">
        <v>26</v>
      </c>
      <c r="AJ44" s="189">
        <f t="shared" si="17"/>
        <v>290</v>
      </c>
      <c r="AK44" s="496">
        <v>290</v>
      </c>
      <c r="AL44" s="496"/>
      <c r="AM44" s="496"/>
      <c r="AN44" s="496"/>
      <c r="AO44" s="496"/>
      <c r="AP44" s="496"/>
      <c r="AQ44" s="189"/>
      <c r="AR44" s="445"/>
      <c r="AS44" s="362" t="s">
        <v>26</v>
      </c>
      <c r="AT44" s="189">
        <f t="shared" si="18"/>
        <v>290</v>
      </c>
      <c r="AU44" s="225">
        <v>290</v>
      </c>
      <c r="AV44" s="496"/>
      <c r="AW44" s="496"/>
      <c r="AX44" s="496"/>
      <c r="AY44" s="496"/>
      <c r="AZ44" s="496"/>
      <c r="BA44" s="189"/>
      <c r="BB44" s="445"/>
      <c r="BC44" s="362" t="s">
        <v>26</v>
      </c>
      <c r="BD44" s="189">
        <f t="shared" si="19"/>
        <v>290</v>
      </c>
      <c r="BE44" s="496">
        <v>290</v>
      </c>
      <c r="BF44" s="496"/>
      <c r="BG44" s="496">
        <v>0</v>
      </c>
      <c r="BH44" s="496"/>
      <c r="BI44" s="496"/>
      <c r="BJ44" s="496"/>
      <c r="BK44" s="189"/>
      <c r="BL44" s="445"/>
      <c r="BM44" s="362" t="s">
        <v>26</v>
      </c>
      <c r="BN44" s="189">
        <f>SUM(BO44:BU44)</f>
        <v>227.71</v>
      </c>
      <c r="BO44" s="496">
        <v>227.71</v>
      </c>
      <c r="BP44" s="496"/>
      <c r="BQ44" s="496">
        <v>0</v>
      </c>
      <c r="BR44" s="496"/>
      <c r="BS44" s="496"/>
      <c r="BT44" s="496"/>
      <c r="BU44" s="189"/>
      <c r="BV44" s="351"/>
      <c r="BW44" s="189"/>
      <c r="BX44" s="362" t="s">
        <v>26</v>
      </c>
      <c r="BY44" s="189">
        <f t="shared" si="15"/>
        <v>1700</v>
      </c>
      <c r="BZ44" s="189">
        <f t="shared" si="22"/>
        <v>1700</v>
      </c>
      <c r="CA44" s="496"/>
      <c r="CB44" s="496">
        <v>0</v>
      </c>
      <c r="CC44" s="496"/>
      <c r="CD44" s="496"/>
      <c r="CE44" s="496"/>
      <c r="CF44" s="189"/>
      <c r="CG44" s="582">
        <f t="shared" si="23"/>
        <v>0</v>
      </c>
      <c r="CH44" s="582">
        <f t="shared" si="24"/>
        <v>0</v>
      </c>
      <c r="CI44" s="582"/>
      <c r="CJ44" s="582">
        <f t="shared" si="25"/>
        <v>0</v>
      </c>
      <c r="CK44" s="358"/>
      <c r="CL44" s="240">
        <f t="shared" si="16"/>
        <v>1700</v>
      </c>
      <c r="CM44" s="199">
        <v>1700</v>
      </c>
      <c r="CN44" s="199"/>
      <c r="CO44" s="199"/>
      <c r="CP44" s="199"/>
      <c r="CQ44" s="249"/>
      <c r="CR44" s="271"/>
    </row>
    <row r="45" spans="1:96" ht="18" customHeight="1">
      <c r="A45" s="349"/>
      <c r="B45" s="350">
        <v>4900</v>
      </c>
      <c r="C45" s="307" t="s">
        <v>60</v>
      </c>
      <c r="D45" s="307"/>
      <c r="E45" s="307"/>
      <c r="F45" s="189"/>
      <c r="G45" s="496"/>
      <c r="H45" s="496"/>
      <c r="I45" s="496"/>
      <c r="J45" s="496"/>
      <c r="K45" s="496"/>
      <c r="L45" s="298"/>
      <c r="M45" s="299"/>
      <c r="N45" s="307"/>
      <c r="O45" s="308"/>
      <c r="P45" s="189"/>
      <c r="Q45" s="496"/>
      <c r="R45" s="496"/>
      <c r="S45" s="496"/>
      <c r="T45" s="496"/>
      <c r="U45" s="496"/>
      <c r="V45" s="496"/>
      <c r="W45" s="189"/>
      <c r="X45" s="446"/>
      <c r="Y45" s="307"/>
      <c r="Z45" s="189"/>
      <c r="AA45" s="496"/>
      <c r="AB45" s="496"/>
      <c r="AC45" s="496"/>
      <c r="AD45" s="496"/>
      <c r="AE45" s="496"/>
      <c r="AF45" s="496"/>
      <c r="AG45" s="189"/>
      <c r="AH45" s="446"/>
      <c r="AI45" s="307"/>
      <c r="AJ45" s="189"/>
      <c r="AK45" s="496"/>
      <c r="AL45" s="496"/>
      <c r="AM45" s="496"/>
      <c r="AN45" s="496"/>
      <c r="AO45" s="496"/>
      <c r="AP45" s="496"/>
      <c r="AQ45" s="189"/>
      <c r="AR45" s="446"/>
      <c r="AS45" s="307"/>
      <c r="AT45" s="189"/>
      <c r="AU45" s="225"/>
      <c r="AV45" s="496"/>
      <c r="AW45" s="496"/>
      <c r="AX45" s="496"/>
      <c r="AY45" s="496"/>
      <c r="AZ45" s="496"/>
      <c r="BA45" s="189"/>
      <c r="BB45" s="446"/>
      <c r="BC45" s="307"/>
      <c r="BD45" s="189"/>
      <c r="BE45" s="496"/>
      <c r="BF45" s="496"/>
      <c r="BG45" s="496"/>
      <c r="BH45" s="496"/>
      <c r="BI45" s="496"/>
      <c r="BJ45" s="496"/>
      <c r="BK45" s="189"/>
      <c r="BL45" s="446"/>
      <c r="BM45" s="307"/>
      <c r="BN45" s="189"/>
      <c r="BO45" s="496"/>
      <c r="BP45" s="496"/>
      <c r="BQ45" s="496"/>
      <c r="BR45" s="496"/>
      <c r="BS45" s="496"/>
      <c r="BT45" s="496"/>
      <c r="BU45" s="189"/>
      <c r="BV45" s="351"/>
      <c r="BW45" s="264"/>
      <c r="BX45" s="307"/>
      <c r="BY45" s="189"/>
      <c r="BZ45" s="496"/>
      <c r="CA45" s="496"/>
      <c r="CB45" s="496"/>
      <c r="CC45" s="496"/>
      <c r="CD45" s="496"/>
      <c r="CE45" s="496"/>
      <c r="CF45" s="189"/>
      <c r="CG45" s="582">
        <f t="shared" si="23"/>
        <v>0</v>
      </c>
      <c r="CH45" s="582">
        <f t="shared" si="24"/>
        <v>0</v>
      </c>
      <c r="CI45" s="582"/>
      <c r="CJ45" s="582">
        <f t="shared" si="25"/>
        <v>0</v>
      </c>
      <c r="CK45" s="358"/>
      <c r="CL45" s="578"/>
      <c r="CM45" s="578"/>
      <c r="CR45" s="578"/>
    </row>
    <row r="46" spans="1:96" ht="16.5" customHeight="1">
      <c r="A46" s="349"/>
      <c r="B46" s="353">
        <v>4901</v>
      </c>
      <c r="C46" s="147" t="s">
        <v>61</v>
      </c>
      <c r="D46" s="354"/>
      <c r="E46" s="362" t="s">
        <v>26</v>
      </c>
      <c r="F46" s="189">
        <f>SUM(G46:M46)</f>
        <v>18.84</v>
      </c>
      <c r="G46" s="496">
        <v>18.84</v>
      </c>
      <c r="H46" s="496"/>
      <c r="I46" s="496"/>
      <c r="J46" s="496"/>
      <c r="K46" s="496"/>
      <c r="L46" s="298"/>
      <c r="M46" s="299"/>
      <c r="N46" s="354"/>
      <c r="O46" s="301" t="s">
        <v>26</v>
      </c>
      <c r="P46" s="189">
        <f>SUM(Q46:W46)</f>
        <v>0.11</v>
      </c>
      <c r="Q46" s="496">
        <v>0.11</v>
      </c>
      <c r="R46" s="496"/>
      <c r="S46" s="496"/>
      <c r="T46" s="496"/>
      <c r="U46" s="496"/>
      <c r="V46" s="496"/>
      <c r="W46" s="189"/>
      <c r="X46" s="443"/>
      <c r="Y46" s="362" t="s">
        <v>26</v>
      </c>
      <c r="Z46" s="189">
        <f t="shared" ref="Z46:Z57" si="26">SUM(AA46:AG46)</f>
        <v>15</v>
      </c>
      <c r="AA46" s="496">
        <v>15</v>
      </c>
      <c r="AB46" s="496"/>
      <c r="AC46" s="496"/>
      <c r="AD46" s="496"/>
      <c r="AE46" s="496"/>
      <c r="AF46" s="496"/>
      <c r="AG46" s="189"/>
      <c r="AH46" s="443"/>
      <c r="AI46" s="362" t="s">
        <v>26</v>
      </c>
      <c r="AJ46" s="189">
        <f t="shared" ref="AJ46:AJ52" si="27">SUM(AK46:AQ46)</f>
        <v>17</v>
      </c>
      <c r="AK46" s="496">
        <v>17</v>
      </c>
      <c r="AL46" s="496"/>
      <c r="AM46" s="496"/>
      <c r="AN46" s="496"/>
      <c r="AO46" s="496"/>
      <c r="AP46" s="496"/>
      <c r="AQ46" s="189"/>
      <c r="AR46" s="443"/>
      <c r="AS46" s="362" t="s">
        <v>26</v>
      </c>
      <c r="AT46" s="189">
        <f t="shared" ref="AT46:AT52" si="28">SUM(AU46:BA46)</f>
        <v>18</v>
      </c>
      <c r="AU46" s="225">
        <v>18</v>
      </c>
      <c r="AV46" s="496"/>
      <c r="AW46" s="496"/>
      <c r="AX46" s="496"/>
      <c r="AY46" s="496"/>
      <c r="AZ46" s="496"/>
      <c r="BA46" s="189"/>
      <c r="BB46" s="443"/>
      <c r="BC46" s="362" t="s">
        <v>26</v>
      </c>
      <c r="BD46" s="189">
        <f t="shared" ref="BD46:BD52" si="29">SUM(BE46:BK46)</f>
        <v>18</v>
      </c>
      <c r="BE46" s="496">
        <v>18</v>
      </c>
      <c r="BF46" s="496"/>
      <c r="BG46" s="496">
        <v>0</v>
      </c>
      <c r="BH46" s="496"/>
      <c r="BI46" s="496"/>
      <c r="BJ46" s="496"/>
      <c r="BK46" s="189"/>
      <c r="BL46" s="443"/>
      <c r="BM46" s="362" t="s">
        <v>26</v>
      </c>
      <c r="BN46" s="189">
        <f t="shared" ref="BN46:BN52" si="30">SUM(BO46:BU46)</f>
        <v>13.05</v>
      </c>
      <c r="BO46" s="496">
        <v>13.05</v>
      </c>
      <c r="BP46" s="496"/>
      <c r="BQ46" s="496">
        <v>0</v>
      </c>
      <c r="BR46" s="496"/>
      <c r="BS46" s="496"/>
      <c r="BT46" s="496"/>
      <c r="BU46" s="189"/>
      <c r="BV46" s="351"/>
      <c r="BW46" s="189"/>
      <c r="BX46" s="362" t="s">
        <v>26</v>
      </c>
      <c r="BY46" s="189">
        <f t="shared" ref="BY46:BZ52" si="31">F46+P46+Z46+AJ46+AT46+BD46+BN46</f>
        <v>100</v>
      </c>
      <c r="BZ46" s="189">
        <f t="shared" si="31"/>
        <v>100</v>
      </c>
      <c r="CA46" s="496"/>
      <c r="CB46" s="496">
        <v>0</v>
      </c>
      <c r="CC46" s="496"/>
      <c r="CD46" s="496"/>
      <c r="CE46" s="496"/>
      <c r="CF46" s="189"/>
      <c r="CG46" s="582">
        <f t="shared" si="23"/>
        <v>0</v>
      </c>
      <c r="CH46" s="582">
        <f t="shared" si="24"/>
        <v>0</v>
      </c>
      <c r="CI46" s="582"/>
      <c r="CJ46" s="582">
        <f t="shared" si="25"/>
        <v>0</v>
      </c>
      <c r="CK46" s="358"/>
      <c r="CL46" s="240">
        <f t="shared" ref="CL46:CL52" si="32">SUM(CM46:CR46)</f>
        <v>100</v>
      </c>
      <c r="CM46" s="201">
        <v>100</v>
      </c>
      <c r="CN46" s="201"/>
      <c r="CO46" s="201"/>
      <c r="CP46" s="201"/>
      <c r="CQ46" s="251"/>
      <c r="CR46" s="271"/>
    </row>
    <row r="47" spans="1:96" ht="17.25" customHeight="1">
      <c r="A47" s="349"/>
      <c r="B47" s="353">
        <v>4906</v>
      </c>
      <c r="C47" s="309" t="s">
        <v>62</v>
      </c>
      <c r="D47" s="354"/>
      <c r="E47" s="362" t="s">
        <v>26</v>
      </c>
      <c r="F47" s="189">
        <f>SUM(G47:M47)</f>
        <v>1.1100000000000001</v>
      </c>
      <c r="G47" s="496">
        <v>1.1100000000000001</v>
      </c>
      <c r="H47" s="496"/>
      <c r="I47" s="496"/>
      <c r="J47" s="496"/>
      <c r="K47" s="496"/>
      <c r="L47" s="298"/>
      <c r="M47" s="299"/>
      <c r="N47" s="354"/>
      <c r="O47" s="301" t="s">
        <v>26</v>
      </c>
      <c r="P47" s="189">
        <f>SUM(Q47:W47)</f>
        <v>0.13</v>
      </c>
      <c r="Q47" s="496">
        <v>0.13</v>
      </c>
      <c r="R47" s="496"/>
      <c r="S47" s="496"/>
      <c r="T47" s="496"/>
      <c r="U47" s="496"/>
      <c r="V47" s="496"/>
      <c r="W47" s="189"/>
      <c r="X47" s="443"/>
      <c r="Y47" s="362" t="s">
        <v>26</v>
      </c>
      <c r="Z47" s="189">
        <f t="shared" si="26"/>
        <v>5</v>
      </c>
      <c r="AA47" s="496">
        <v>5</v>
      </c>
      <c r="AB47" s="496"/>
      <c r="AC47" s="496"/>
      <c r="AD47" s="496"/>
      <c r="AE47" s="496"/>
      <c r="AF47" s="496"/>
      <c r="AG47" s="189"/>
      <c r="AH47" s="443"/>
      <c r="AI47" s="362" t="s">
        <v>26</v>
      </c>
      <c r="AJ47" s="189">
        <f t="shared" si="27"/>
        <v>5</v>
      </c>
      <c r="AK47" s="496">
        <v>5</v>
      </c>
      <c r="AL47" s="496"/>
      <c r="AM47" s="496"/>
      <c r="AN47" s="496"/>
      <c r="AO47" s="496"/>
      <c r="AP47" s="496"/>
      <c r="AQ47" s="189"/>
      <c r="AR47" s="443"/>
      <c r="AS47" s="362" t="s">
        <v>26</v>
      </c>
      <c r="AT47" s="189">
        <f t="shared" si="28"/>
        <v>3.76</v>
      </c>
      <c r="AU47" s="225">
        <v>3.76</v>
      </c>
      <c r="AV47" s="496"/>
      <c r="AW47" s="496"/>
      <c r="AX47" s="496"/>
      <c r="AY47" s="496"/>
      <c r="AZ47" s="496"/>
      <c r="BA47" s="189"/>
      <c r="BB47" s="443"/>
      <c r="BC47" s="362"/>
      <c r="BD47" s="189">
        <f t="shared" si="29"/>
        <v>0</v>
      </c>
      <c r="BE47" s="496">
        <v>0</v>
      </c>
      <c r="BF47" s="496"/>
      <c r="BG47" s="496">
        <v>0</v>
      </c>
      <c r="BH47" s="496"/>
      <c r="BI47" s="496"/>
      <c r="BJ47" s="496"/>
      <c r="BK47" s="189"/>
      <c r="BL47" s="443"/>
      <c r="BM47" s="362"/>
      <c r="BN47" s="189">
        <f t="shared" si="30"/>
        <v>0</v>
      </c>
      <c r="BO47" s="496">
        <v>0</v>
      </c>
      <c r="BP47" s="496"/>
      <c r="BQ47" s="496">
        <v>0</v>
      </c>
      <c r="BR47" s="496"/>
      <c r="BS47" s="496"/>
      <c r="BT47" s="496"/>
      <c r="BU47" s="189"/>
      <c r="BV47" s="351"/>
      <c r="BW47" s="189"/>
      <c r="BX47" s="362"/>
      <c r="BY47" s="189">
        <f t="shared" si="31"/>
        <v>15</v>
      </c>
      <c r="BZ47" s="189">
        <f t="shared" si="31"/>
        <v>15</v>
      </c>
      <c r="CA47" s="496"/>
      <c r="CB47" s="496">
        <v>0</v>
      </c>
      <c r="CC47" s="496"/>
      <c r="CD47" s="496"/>
      <c r="CE47" s="496"/>
      <c r="CF47" s="189"/>
      <c r="CG47" s="582">
        <f t="shared" si="23"/>
        <v>0</v>
      </c>
      <c r="CH47" s="582">
        <f t="shared" si="24"/>
        <v>0</v>
      </c>
      <c r="CI47" s="582"/>
      <c r="CJ47" s="582">
        <f t="shared" si="25"/>
        <v>0</v>
      </c>
      <c r="CK47" s="358"/>
      <c r="CL47" s="240">
        <f t="shared" si="32"/>
        <v>15</v>
      </c>
      <c r="CM47" s="199">
        <v>15</v>
      </c>
      <c r="CN47" s="201"/>
      <c r="CO47" s="201"/>
      <c r="CP47" s="201"/>
      <c r="CQ47" s="251"/>
      <c r="CR47" s="271"/>
    </row>
    <row r="48" spans="1:96" ht="18" customHeight="1">
      <c r="A48" s="349"/>
      <c r="B48" s="353">
        <v>4911</v>
      </c>
      <c r="C48" s="309" t="s">
        <v>63</v>
      </c>
      <c r="D48" s="354"/>
      <c r="E48" s="362" t="s">
        <v>26</v>
      </c>
      <c r="F48" s="189">
        <f>SUM(G48:M48)</f>
        <v>1.35</v>
      </c>
      <c r="G48" s="496">
        <v>1.35</v>
      </c>
      <c r="H48" s="496"/>
      <c r="I48" s="496"/>
      <c r="J48" s="496"/>
      <c r="K48" s="496"/>
      <c r="L48" s="298"/>
      <c r="M48" s="299"/>
      <c r="N48" s="354"/>
      <c r="O48" s="301"/>
      <c r="P48" s="189"/>
      <c r="Q48" s="496"/>
      <c r="R48" s="496"/>
      <c r="S48" s="496"/>
      <c r="T48" s="496"/>
      <c r="U48" s="496"/>
      <c r="V48" s="496"/>
      <c r="W48" s="189"/>
      <c r="X48" s="443"/>
      <c r="Y48" s="362" t="s">
        <v>26</v>
      </c>
      <c r="Z48" s="189">
        <f t="shared" si="26"/>
        <v>3</v>
      </c>
      <c r="AA48" s="496">
        <v>3</v>
      </c>
      <c r="AB48" s="496"/>
      <c r="AC48" s="496"/>
      <c r="AD48" s="496"/>
      <c r="AE48" s="496"/>
      <c r="AF48" s="496"/>
      <c r="AG48" s="189"/>
      <c r="AH48" s="443"/>
      <c r="AI48" s="362" t="s">
        <v>26</v>
      </c>
      <c r="AJ48" s="189">
        <f t="shared" si="27"/>
        <v>5</v>
      </c>
      <c r="AK48" s="496">
        <v>5</v>
      </c>
      <c r="AL48" s="496"/>
      <c r="AM48" s="496"/>
      <c r="AN48" s="496"/>
      <c r="AO48" s="496"/>
      <c r="AP48" s="496"/>
      <c r="AQ48" s="189"/>
      <c r="AR48" s="443"/>
      <c r="AS48" s="362" t="s">
        <v>26</v>
      </c>
      <c r="AT48" s="189">
        <f t="shared" si="28"/>
        <v>5</v>
      </c>
      <c r="AU48" s="225">
        <v>5</v>
      </c>
      <c r="AV48" s="496"/>
      <c r="AW48" s="496"/>
      <c r="AX48" s="496"/>
      <c r="AY48" s="496"/>
      <c r="AZ48" s="496"/>
      <c r="BA48" s="189"/>
      <c r="BB48" s="443"/>
      <c r="BC48" s="362" t="s">
        <v>26</v>
      </c>
      <c r="BD48" s="189">
        <f t="shared" si="29"/>
        <v>5</v>
      </c>
      <c r="BE48" s="496">
        <v>5</v>
      </c>
      <c r="BF48" s="496"/>
      <c r="BG48" s="496">
        <v>0</v>
      </c>
      <c r="BH48" s="496"/>
      <c r="BI48" s="496"/>
      <c r="BJ48" s="496"/>
      <c r="BK48" s="189"/>
      <c r="BL48" s="443"/>
      <c r="BM48" s="362" t="s">
        <v>26</v>
      </c>
      <c r="BN48" s="189">
        <f t="shared" si="30"/>
        <v>5.65</v>
      </c>
      <c r="BO48" s="496">
        <v>5.65</v>
      </c>
      <c r="BP48" s="496"/>
      <c r="BQ48" s="496">
        <v>0</v>
      </c>
      <c r="BR48" s="496"/>
      <c r="BS48" s="496"/>
      <c r="BT48" s="496"/>
      <c r="BU48" s="189"/>
      <c r="BV48" s="351"/>
      <c r="BW48" s="189"/>
      <c r="BX48" s="362" t="s">
        <v>26</v>
      </c>
      <c r="BY48" s="189">
        <f t="shared" si="31"/>
        <v>25</v>
      </c>
      <c r="BZ48" s="189">
        <f t="shared" si="31"/>
        <v>25</v>
      </c>
      <c r="CA48" s="496"/>
      <c r="CB48" s="496">
        <v>0</v>
      </c>
      <c r="CC48" s="496"/>
      <c r="CD48" s="496"/>
      <c r="CE48" s="496"/>
      <c r="CF48" s="189"/>
      <c r="CG48" s="582">
        <f t="shared" si="23"/>
        <v>0</v>
      </c>
      <c r="CH48" s="582">
        <f t="shared" si="24"/>
        <v>0</v>
      </c>
      <c r="CI48" s="582"/>
      <c r="CJ48" s="582">
        <f t="shared" si="25"/>
        <v>0</v>
      </c>
      <c r="CK48" s="358"/>
      <c r="CL48" s="240">
        <f t="shared" si="32"/>
        <v>25</v>
      </c>
      <c r="CM48" s="199">
        <v>25</v>
      </c>
      <c r="CN48" s="199"/>
      <c r="CO48" s="199"/>
      <c r="CP48" s="199"/>
      <c r="CQ48" s="249"/>
      <c r="CR48" s="271"/>
    </row>
    <row r="49" spans="1:96" ht="18" customHeight="1">
      <c r="A49" s="349"/>
      <c r="B49" s="353">
        <v>4916</v>
      </c>
      <c r="C49" s="309" t="s">
        <v>64</v>
      </c>
      <c r="D49" s="354"/>
      <c r="E49" s="362" t="s">
        <v>26</v>
      </c>
      <c r="F49" s="189">
        <f>SUM(G49:M49)</f>
        <v>0.28000000000000003</v>
      </c>
      <c r="G49" s="496">
        <v>0.28000000000000003</v>
      </c>
      <c r="H49" s="496"/>
      <c r="I49" s="496"/>
      <c r="J49" s="496"/>
      <c r="K49" s="496"/>
      <c r="L49" s="298"/>
      <c r="M49" s="299"/>
      <c r="N49" s="354"/>
      <c r="O49" s="301" t="s">
        <v>26</v>
      </c>
      <c r="P49" s="189">
        <f>SUM(Q49:W49)</f>
        <v>0.53</v>
      </c>
      <c r="Q49" s="496">
        <v>0.53</v>
      </c>
      <c r="R49" s="496"/>
      <c r="S49" s="496"/>
      <c r="T49" s="496"/>
      <c r="U49" s="496"/>
      <c r="V49" s="496"/>
      <c r="W49" s="189"/>
      <c r="X49" s="443"/>
      <c r="Y49" s="362" t="s">
        <v>26</v>
      </c>
      <c r="Z49" s="189">
        <f t="shared" si="26"/>
        <v>3</v>
      </c>
      <c r="AA49" s="496">
        <v>3</v>
      </c>
      <c r="AB49" s="496"/>
      <c r="AC49" s="496"/>
      <c r="AD49" s="496"/>
      <c r="AE49" s="496"/>
      <c r="AF49" s="496"/>
      <c r="AG49" s="189"/>
      <c r="AH49" s="443"/>
      <c r="AI49" s="362" t="s">
        <v>26</v>
      </c>
      <c r="AJ49" s="189">
        <f t="shared" si="27"/>
        <v>5</v>
      </c>
      <c r="AK49" s="496">
        <v>5</v>
      </c>
      <c r="AL49" s="496"/>
      <c r="AM49" s="496"/>
      <c r="AN49" s="496"/>
      <c r="AO49" s="496"/>
      <c r="AP49" s="496"/>
      <c r="AQ49" s="189"/>
      <c r="AR49" s="443"/>
      <c r="AS49" s="362" t="s">
        <v>26</v>
      </c>
      <c r="AT49" s="189">
        <f t="shared" si="28"/>
        <v>5</v>
      </c>
      <c r="AU49" s="225">
        <v>5</v>
      </c>
      <c r="AV49" s="496"/>
      <c r="AW49" s="496"/>
      <c r="AX49" s="496"/>
      <c r="AY49" s="496"/>
      <c r="AZ49" s="496"/>
      <c r="BA49" s="189"/>
      <c r="BB49" s="443"/>
      <c r="BC49" s="362" t="s">
        <v>26</v>
      </c>
      <c r="BD49" s="189">
        <f t="shared" si="29"/>
        <v>5</v>
      </c>
      <c r="BE49" s="496">
        <v>5</v>
      </c>
      <c r="BF49" s="496"/>
      <c r="BG49" s="496">
        <v>0</v>
      </c>
      <c r="BH49" s="496"/>
      <c r="BI49" s="496"/>
      <c r="BJ49" s="496"/>
      <c r="BK49" s="189"/>
      <c r="BL49" s="443"/>
      <c r="BM49" s="362" t="s">
        <v>26</v>
      </c>
      <c r="BN49" s="189">
        <f t="shared" si="30"/>
        <v>6.19</v>
      </c>
      <c r="BO49" s="496">
        <v>6.19</v>
      </c>
      <c r="BP49" s="496"/>
      <c r="BQ49" s="496">
        <v>0</v>
      </c>
      <c r="BR49" s="496"/>
      <c r="BS49" s="496"/>
      <c r="BT49" s="496"/>
      <c r="BU49" s="189"/>
      <c r="BV49" s="351"/>
      <c r="BW49" s="189"/>
      <c r="BX49" s="362" t="s">
        <v>26</v>
      </c>
      <c r="BY49" s="189">
        <f t="shared" si="31"/>
        <v>25.000000000000004</v>
      </c>
      <c r="BZ49" s="189">
        <f t="shared" si="31"/>
        <v>25.000000000000004</v>
      </c>
      <c r="CA49" s="496"/>
      <c r="CB49" s="496">
        <v>0</v>
      </c>
      <c r="CC49" s="496"/>
      <c r="CD49" s="496"/>
      <c r="CE49" s="496"/>
      <c r="CF49" s="189"/>
      <c r="CG49" s="582">
        <f t="shared" si="23"/>
        <v>0</v>
      </c>
      <c r="CH49" s="582">
        <f t="shared" si="24"/>
        <v>0</v>
      </c>
      <c r="CI49" s="582"/>
      <c r="CJ49" s="582">
        <f t="shared" si="25"/>
        <v>0</v>
      </c>
      <c r="CK49" s="358"/>
      <c r="CL49" s="240">
        <f t="shared" si="32"/>
        <v>25</v>
      </c>
      <c r="CM49" s="199">
        <v>25</v>
      </c>
      <c r="CN49" s="201"/>
      <c r="CO49" s="201"/>
      <c r="CP49" s="201"/>
      <c r="CQ49" s="251"/>
      <c r="CR49" s="271"/>
    </row>
    <row r="50" spans="1:96" ht="18" customHeight="1">
      <c r="A50" s="349"/>
      <c r="B50" s="364">
        <v>4921</v>
      </c>
      <c r="C50" s="309" t="s">
        <v>65</v>
      </c>
      <c r="D50" s="309"/>
      <c r="E50" s="309"/>
      <c r="F50" s="189"/>
      <c r="G50" s="496"/>
      <c r="H50" s="496"/>
      <c r="I50" s="496"/>
      <c r="J50" s="496"/>
      <c r="K50" s="496"/>
      <c r="L50" s="298"/>
      <c r="M50" s="299"/>
      <c r="N50" s="309"/>
      <c r="O50" s="301"/>
      <c r="P50" s="189"/>
      <c r="Q50" s="496"/>
      <c r="R50" s="496"/>
      <c r="S50" s="496"/>
      <c r="T50" s="496"/>
      <c r="U50" s="496"/>
      <c r="V50" s="496"/>
      <c r="W50" s="189"/>
      <c r="X50" s="443"/>
      <c r="Y50" s="362" t="s">
        <v>26</v>
      </c>
      <c r="Z50" s="189">
        <f t="shared" si="26"/>
        <v>10</v>
      </c>
      <c r="AA50" s="496">
        <v>10</v>
      </c>
      <c r="AB50" s="496"/>
      <c r="AC50" s="496"/>
      <c r="AD50" s="496"/>
      <c r="AE50" s="496"/>
      <c r="AF50" s="496"/>
      <c r="AG50" s="189"/>
      <c r="AH50" s="443"/>
      <c r="AI50" s="362" t="s">
        <v>26</v>
      </c>
      <c r="AJ50" s="189">
        <f t="shared" si="27"/>
        <v>3</v>
      </c>
      <c r="AK50" s="496">
        <v>3</v>
      </c>
      <c r="AL50" s="496"/>
      <c r="AM50" s="496"/>
      <c r="AN50" s="496"/>
      <c r="AO50" s="496"/>
      <c r="AP50" s="496"/>
      <c r="AQ50" s="189"/>
      <c r="AR50" s="443"/>
      <c r="AS50" s="362" t="s">
        <v>26</v>
      </c>
      <c r="AT50" s="189">
        <f t="shared" si="28"/>
        <v>3</v>
      </c>
      <c r="AU50" s="225">
        <v>3</v>
      </c>
      <c r="AV50" s="496"/>
      <c r="AW50" s="496"/>
      <c r="AX50" s="496"/>
      <c r="AY50" s="496"/>
      <c r="AZ50" s="496"/>
      <c r="BA50" s="189"/>
      <c r="BB50" s="443"/>
      <c r="BC50" s="362" t="s">
        <v>26</v>
      </c>
      <c r="BD50" s="189">
        <f t="shared" si="29"/>
        <v>2</v>
      </c>
      <c r="BE50" s="496">
        <v>2</v>
      </c>
      <c r="BF50" s="496"/>
      <c r="BG50" s="496">
        <v>0</v>
      </c>
      <c r="BH50" s="496"/>
      <c r="BI50" s="496"/>
      <c r="BJ50" s="496"/>
      <c r="BK50" s="189"/>
      <c r="BL50" s="443"/>
      <c r="BM50" s="362" t="s">
        <v>26</v>
      </c>
      <c r="BN50" s="189">
        <f t="shared" si="30"/>
        <v>2</v>
      </c>
      <c r="BO50" s="496">
        <v>2</v>
      </c>
      <c r="BP50" s="496"/>
      <c r="BQ50" s="496">
        <v>0</v>
      </c>
      <c r="BR50" s="496"/>
      <c r="BS50" s="496"/>
      <c r="BT50" s="496"/>
      <c r="BU50" s="189"/>
      <c r="BV50" s="351"/>
      <c r="BW50" s="189"/>
      <c r="BX50" s="362" t="s">
        <v>26</v>
      </c>
      <c r="BY50" s="189">
        <f t="shared" si="31"/>
        <v>20</v>
      </c>
      <c r="BZ50" s="189">
        <f t="shared" si="31"/>
        <v>20</v>
      </c>
      <c r="CA50" s="496"/>
      <c r="CB50" s="496">
        <v>0</v>
      </c>
      <c r="CC50" s="496"/>
      <c r="CD50" s="496"/>
      <c r="CE50" s="496"/>
      <c r="CF50" s="189"/>
      <c r="CG50" s="582">
        <f t="shared" si="23"/>
        <v>0</v>
      </c>
      <c r="CH50" s="582">
        <f t="shared" si="24"/>
        <v>0</v>
      </c>
      <c r="CI50" s="582"/>
      <c r="CJ50" s="582">
        <f t="shared" si="25"/>
        <v>0</v>
      </c>
      <c r="CK50" s="358"/>
      <c r="CL50" s="240">
        <f t="shared" si="32"/>
        <v>20</v>
      </c>
      <c r="CM50" s="199">
        <v>20</v>
      </c>
      <c r="CN50" s="201"/>
      <c r="CO50" s="201"/>
      <c r="CP50" s="201"/>
      <c r="CQ50" s="251"/>
      <c r="CR50" s="271"/>
    </row>
    <row r="51" spans="1:96" ht="18" customHeight="1">
      <c r="A51" s="349"/>
      <c r="B51" s="364">
        <v>4923</v>
      </c>
      <c r="C51" s="309" t="s">
        <v>66</v>
      </c>
      <c r="D51" s="309"/>
      <c r="E51" s="309"/>
      <c r="F51" s="189"/>
      <c r="G51" s="496"/>
      <c r="H51" s="496"/>
      <c r="I51" s="496"/>
      <c r="J51" s="496"/>
      <c r="K51" s="496"/>
      <c r="L51" s="298"/>
      <c r="M51" s="299"/>
      <c r="N51" s="309"/>
      <c r="O51" s="301"/>
      <c r="P51" s="189"/>
      <c r="Q51" s="496"/>
      <c r="R51" s="496"/>
      <c r="S51" s="496"/>
      <c r="T51" s="496"/>
      <c r="U51" s="496"/>
      <c r="V51" s="496"/>
      <c r="W51" s="189"/>
      <c r="X51" s="443"/>
      <c r="Y51" s="362" t="s">
        <v>26</v>
      </c>
      <c r="Z51" s="189">
        <f t="shared" si="26"/>
        <v>10</v>
      </c>
      <c r="AA51" s="496">
        <v>10</v>
      </c>
      <c r="AB51" s="496"/>
      <c r="AC51" s="496"/>
      <c r="AD51" s="496"/>
      <c r="AE51" s="496"/>
      <c r="AF51" s="496"/>
      <c r="AG51" s="189"/>
      <c r="AH51" s="443"/>
      <c r="AI51" s="362" t="s">
        <v>26</v>
      </c>
      <c r="AJ51" s="189">
        <f t="shared" si="27"/>
        <v>3</v>
      </c>
      <c r="AK51" s="496">
        <v>3</v>
      </c>
      <c r="AL51" s="496"/>
      <c r="AM51" s="496"/>
      <c r="AN51" s="496"/>
      <c r="AO51" s="496"/>
      <c r="AP51" s="496"/>
      <c r="AQ51" s="189"/>
      <c r="AR51" s="443"/>
      <c r="AS51" s="362" t="s">
        <v>26</v>
      </c>
      <c r="AT51" s="189">
        <f t="shared" si="28"/>
        <v>3</v>
      </c>
      <c r="AU51" s="225">
        <v>3</v>
      </c>
      <c r="AV51" s="496"/>
      <c r="AW51" s="496"/>
      <c r="AX51" s="496"/>
      <c r="AY51" s="496"/>
      <c r="AZ51" s="496"/>
      <c r="BA51" s="189"/>
      <c r="BB51" s="443"/>
      <c r="BC51" s="362" t="s">
        <v>26</v>
      </c>
      <c r="BD51" s="189">
        <f t="shared" si="29"/>
        <v>2</v>
      </c>
      <c r="BE51" s="496">
        <v>2</v>
      </c>
      <c r="BF51" s="496"/>
      <c r="BG51" s="496">
        <v>0</v>
      </c>
      <c r="BH51" s="496"/>
      <c r="BI51" s="496"/>
      <c r="BJ51" s="496"/>
      <c r="BK51" s="189"/>
      <c r="BL51" s="443"/>
      <c r="BM51" s="362" t="s">
        <v>26</v>
      </c>
      <c r="BN51" s="189">
        <f t="shared" si="30"/>
        <v>2</v>
      </c>
      <c r="BO51" s="496">
        <v>2</v>
      </c>
      <c r="BP51" s="496"/>
      <c r="BQ51" s="496">
        <v>0</v>
      </c>
      <c r="BR51" s="496"/>
      <c r="BS51" s="496"/>
      <c r="BT51" s="496"/>
      <c r="BU51" s="189"/>
      <c r="BV51" s="351"/>
      <c r="BW51" s="189"/>
      <c r="BX51" s="362" t="s">
        <v>26</v>
      </c>
      <c r="BY51" s="189">
        <f t="shared" si="31"/>
        <v>20</v>
      </c>
      <c r="BZ51" s="189">
        <f t="shared" si="31"/>
        <v>20</v>
      </c>
      <c r="CA51" s="496"/>
      <c r="CB51" s="496">
        <v>0</v>
      </c>
      <c r="CC51" s="496"/>
      <c r="CD51" s="496"/>
      <c r="CE51" s="496"/>
      <c r="CF51" s="189"/>
      <c r="CG51" s="582">
        <f t="shared" si="23"/>
        <v>0</v>
      </c>
      <c r="CH51" s="582">
        <f t="shared" si="24"/>
        <v>0</v>
      </c>
      <c r="CI51" s="582"/>
      <c r="CJ51" s="582">
        <f t="shared" si="25"/>
        <v>0</v>
      </c>
      <c r="CK51" s="358"/>
      <c r="CL51" s="240">
        <f t="shared" si="32"/>
        <v>20</v>
      </c>
      <c r="CM51" s="199">
        <v>20</v>
      </c>
      <c r="CN51" s="201"/>
      <c r="CO51" s="201"/>
      <c r="CP51" s="201"/>
      <c r="CQ51" s="251"/>
      <c r="CR51" s="271"/>
    </row>
    <row r="52" spans="1:96" ht="18" customHeight="1">
      <c r="A52" s="349"/>
      <c r="B52" s="353">
        <v>4932</v>
      </c>
      <c r="C52" s="309" t="s">
        <v>67</v>
      </c>
      <c r="D52" s="354"/>
      <c r="E52" s="362" t="s">
        <v>26</v>
      </c>
      <c r="F52" s="189">
        <f>SUM(G52:M52)</f>
        <v>0.37</v>
      </c>
      <c r="G52" s="496">
        <v>0.37</v>
      </c>
      <c r="H52" s="496"/>
      <c r="I52" s="496"/>
      <c r="J52" s="496"/>
      <c r="K52" s="496"/>
      <c r="L52" s="298"/>
      <c r="M52" s="299"/>
      <c r="N52" s="354"/>
      <c r="O52" s="301" t="s">
        <v>26</v>
      </c>
      <c r="P52" s="189">
        <f>SUM(Q52:W52)</f>
        <v>0.02</v>
      </c>
      <c r="Q52" s="496">
        <v>0.02</v>
      </c>
      <c r="R52" s="496"/>
      <c r="S52" s="496"/>
      <c r="T52" s="496"/>
      <c r="U52" s="496"/>
      <c r="V52" s="496"/>
      <c r="W52" s="189"/>
      <c r="X52" s="443"/>
      <c r="Y52" s="362" t="s">
        <v>26</v>
      </c>
      <c r="Z52" s="189">
        <f t="shared" si="26"/>
        <v>3</v>
      </c>
      <c r="AA52" s="496">
        <v>3</v>
      </c>
      <c r="AB52" s="496"/>
      <c r="AC52" s="496"/>
      <c r="AD52" s="496"/>
      <c r="AE52" s="496"/>
      <c r="AF52" s="496"/>
      <c r="AG52" s="189"/>
      <c r="AH52" s="443"/>
      <c r="AI52" s="362" t="s">
        <v>26</v>
      </c>
      <c r="AJ52" s="189">
        <f t="shared" si="27"/>
        <v>6</v>
      </c>
      <c r="AK52" s="496">
        <v>6</v>
      </c>
      <c r="AL52" s="496"/>
      <c r="AM52" s="496"/>
      <c r="AN52" s="496"/>
      <c r="AO52" s="496"/>
      <c r="AP52" s="496"/>
      <c r="AQ52" s="189"/>
      <c r="AR52" s="443"/>
      <c r="AS52" s="362" t="s">
        <v>26</v>
      </c>
      <c r="AT52" s="189">
        <f t="shared" si="28"/>
        <v>5</v>
      </c>
      <c r="AU52" s="225">
        <v>5</v>
      </c>
      <c r="AV52" s="496"/>
      <c r="AW52" s="496"/>
      <c r="AX52" s="496"/>
      <c r="AY52" s="496"/>
      <c r="AZ52" s="496"/>
      <c r="BA52" s="189"/>
      <c r="BB52" s="443"/>
      <c r="BC52" s="362" t="s">
        <v>26</v>
      </c>
      <c r="BD52" s="189">
        <f t="shared" si="29"/>
        <v>5</v>
      </c>
      <c r="BE52" s="496">
        <v>5</v>
      </c>
      <c r="BF52" s="496"/>
      <c r="BG52" s="496">
        <v>0</v>
      </c>
      <c r="BH52" s="496"/>
      <c r="BI52" s="496"/>
      <c r="BJ52" s="496"/>
      <c r="BK52" s="189"/>
      <c r="BL52" s="443"/>
      <c r="BM52" s="362" t="s">
        <v>26</v>
      </c>
      <c r="BN52" s="189">
        <f t="shared" si="30"/>
        <v>5.61</v>
      </c>
      <c r="BO52" s="496">
        <v>5.61</v>
      </c>
      <c r="BP52" s="496"/>
      <c r="BQ52" s="496">
        <v>0</v>
      </c>
      <c r="BR52" s="496"/>
      <c r="BS52" s="496"/>
      <c r="BT52" s="496"/>
      <c r="BU52" s="189"/>
      <c r="BV52" s="351"/>
      <c r="BW52" s="189"/>
      <c r="BX52" s="362" t="s">
        <v>26</v>
      </c>
      <c r="BY52" s="189">
        <f t="shared" si="31"/>
        <v>25</v>
      </c>
      <c r="BZ52" s="189">
        <f t="shared" si="31"/>
        <v>25</v>
      </c>
      <c r="CA52" s="496"/>
      <c r="CB52" s="496">
        <v>0</v>
      </c>
      <c r="CC52" s="496"/>
      <c r="CD52" s="496"/>
      <c r="CE52" s="496"/>
      <c r="CF52" s="189"/>
      <c r="CG52" s="582">
        <f t="shared" si="23"/>
        <v>0</v>
      </c>
      <c r="CH52" s="582">
        <f t="shared" si="24"/>
        <v>0</v>
      </c>
      <c r="CI52" s="582"/>
      <c r="CJ52" s="582">
        <f t="shared" si="25"/>
        <v>0</v>
      </c>
      <c r="CK52" s="358"/>
      <c r="CL52" s="240">
        <f t="shared" si="32"/>
        <v>25</v>
      </c>
      <c r="CM52" s="199">
        <v>25</v>
      </c>
      <c r="CN52" s="201"/>
      <c r="CO52" s="201"/>
      <c r="CP52" s="201"/>
      <c r="CQ52" s="251"/>
      <c r="CR52" s="271"/>
    </row>
    <row r="53" spans="1:96" ht="18" customHeight="1">
      <c r="A53" s="349"/>
      <c r="B53" s="355">
        <v>4947</v>
      </c>
      <c r="C53" s="388" t="s">
        <v>68</v>
      </c>
      <c r="D53" s="297"/>
      <c r="E53" s="297"/>
      <c r="F53" s="189"/>
      <c r="G53" s="496"/>
      <c r="H53" s="496"/>
      <c r="I53" s="496"/>
      <c r="J53" s="496"/>
      <c r="K53" s="496"/>
      <c r="L53" s="298"/>
      <c r="M53" s="299"/>
      <c r="N53" s="297"/>
      <c r="O53" s="303"/>
      <c r="P53" s="189"/>
      <c r="Q53" s="496"/>
      <c r="R53" s="496"/>
      <c r="S53" s="496"/>
      <c r="T53" s="496"/>
      <c r="U53" s="496"/>
      <c r="V53" s="496"/>
      <c r="W53" s="189"/>
      <c r="X53" s="442"/>
      <c r="Y53" s="297"/>
      <c r="Z53" s="189">
        <f t="shared" si="26"/>
        <v>0</v>
      </c>
      <c r="AA53" s="496"/>
      <c r="AB53" s="496"/>
      <c r="AC53" s="496"/>
      <c r="AD53" s="496"/>
      <c r="AE53" s="496"/>
      <c r="AF53" s="496"/>
      <c r="AG53" s="189"/>
      <c r="AH53" s="442"/>
      <c r="AI53" s="297"/>
      <c r="AJ53" s="189"/>
      <c r="AK53" s="496"/>
      <c r="AL53" s="496"/>
      <c r="AM53" s="496"/>
      <c r="AN53" s="496"/>
      <c r="AO53" s="496"/>
      <c r="AP53" s="496"/>
      <c r="AQ53" s="189"/>
      <c r="AR53" s="442"/>
      <c r="AS53" s="297"/>
      <c r="AT53" s="189"/>
      <c r="AU53" s="225"/>
      <c r="AV53" s="496"/>
      <c r="AW53" s="496"/>
      <c r="AX53" s="496"/>
      <c r="AY53" s="496"/>
      <c r="AZ53" s="496"/>
      <c r="BA53" s="189"/>
      <c r="BB53" s="442"/>
      <c r="BC53" s="297"/>
      <c r="BD53" s="189"/>
      <c r="BE53" s="496"/>
      <c r="BF53" s="496"/>
      <c r="BG53" s="496"/>
      <c r="BH53" s="496"/>
      <c r="BI53" s="496"/>
      <c r="BJ53" s="496"/>
      <c r="BK53" s="189"/>
      <c r="BL53" s="442"/>
      <c r="BM53" s="297"/>
      <c r="BN53" s="189"/>
      <c r="BO53" s="496"/>
      <c r="BP53" s="496"/>
      <c r="BQ53" s="496"/>
      <c r="BR53" s="496"/>
      <c r="BS53" s="496"/>
      <c r="BT53" s="496"/>
      <c r="BU53" s="189"/>
      <c r="BV53" s="351"/>
      <c r="BW53" s="189"/>
      <c r="BX53" s="297"/>
      <c r="BY53" s="189"/>
      <c r="BZ53" s="496"/>
      <c r="CA53" s="496"/>
      <c r="CB53" s="496"/>
      <c r="CC53" s="496"/>
      <c r="CD53" s="496"/>
      <c r="CE53" s="496"/>
      <c r="CF53" s="189"/>
      <c r="CG53" s="582">
        <f t="shared" si="23"/>
        <v>0</v>
      </c>
      <c r="CH53" s="582">
        <f t="shared" si="24"/>
        <v>0</v>
      </c>
      <c r="CI53" s="582"/>
      <c r="CJ53" s="582">
        <f t="shared" si="25"/>
        <v>0</v>
      </c>
      <c r="CK53" s="358"/>
      <c r="CL53" s="578"/>
      <c r="CM53" s="578"/>
      <c r="CR53" s="578"/>
    </row>
    <row r="54" spans="1:96" ht="29.25" customHeight="1">
      <c r="A54" s="349"/>
      <c r="B54" s="359"/>
      <c r="C54" s="503" t="s">
        <v>69</v>
      </c>
      <c r="D54" s="310" t="s">
        <v>70</v>
      </c>
      <c r="E54" s="362" t="s">
        <v>26</v>
      </c>
      <c r="F54" s="189">
        <f>SUM(G54:M54)</f>
        <v>30</v>
      </c>
      <c r="G54" s="496">
        <v>3.6</v>
      </c>
      <c r="H54" s="496"/>
      <c r="I54" s="496">
        <v>26.4</v>
      </c>
      <c r="J54" s="496"/>
      <c r="K54" s="496"/>
      <c r="L54" s="298"/>
      <c r="M54" s="299"/>
      <c r="N54" s="438" t="s">
        <v>70</v>
      </c>
      <c r="O54" s="311"/>
      <c r="P54" s="189">
        <f>SUM(Q54:W54)</f>
        <v>30</v>
      </c>
      <c r="Q54" s="496">
        <v>3.6</v>
      </c>
      <c r="R54" s="496"/>
      <c r="S54" s="496">
        <v>26.4</v>
      </c>
      <c r="T54" s="496"/>
      <c r="U54" s="496"/>
      <c r="V54" s="496"/>
      <c r="W54" s="189"/>
      <c r="X54" s="438" t="s">
        <v>70</v>
      </c>
      <c r="Y54" s="362" t="s">
        <v>26</v>
      </c>
      <c r="Z54" s="189">
        <f t="shared" si="26"/>
        <v>262</v>
      </c>
      <c r="AA54" s="496">
        <v>32</v>
      </c>
      <c r="AB54" s="496"/>
      <c r="AC54" s="496">
        <v>230</v>
      </c>
      <c r="AD54" s="496"/>
      <c r="AE54" s="496"/>
      <c r="AF54" s="496"/>
      <c r="AG54" s="189"/>
      <c r="AH54" s="438" t="s">
        <v>70</v>
      </c>
      <c r="AI54" s="362" t="s">
        <v>26</v>
      </c>
      <c r="AJ54" s="189">
        <f>SUM(AK54:AQ54)</f>
        <v>63</v>
      </c>
      <c r="AK54" s="496">
        <v>7</v>
      </c>
      <c r="AL54" s="496"/>
      <c r="AM54" s="496">
        <v>56</v>
      </c>
      <c r="AN54" s="496"/>
      <c r="AO54" s="496"/>
      <c r="AP54" s="496"/>
      <c r="AQ54" s="189"/>
      <c r="AR54" s="438" t="s">
        <v>70</v>
      </c>
      <c r="AS54" s="362"/>
      <c r="AT54" s="189"/>
      <c r="AU54" s="225"/>
      <c r="AV54" s="496"/>
      <c r="AW54" s="496"/>
      <c r="AX54" s="496"/>
      <c r="AY54" s="496"/>
      <c r="AZ54" s="496"/>
      <c r="BA54" s="189"/>
      <c r="BB54" s="438" t="s">
        <v>70</v>
      </c>
      <c r="BC54" s="362"/>
      <c r="BD54" s="189"/>
      <c r="BE54" s="496"/>
      <c r="BF54" s="496"/>
      <c r="BG54" s="496"/>
      <c r="BH54" s="496"/>
      <c r="BI54" s="496"/>
      <c r="BJ54" s="496"/>
      <c r="BK54" s="189"/>
      <c r="BL54" s="438" t="s">
        <v>70</v>
      </c>
      <c r="BM54" s="362"/>
      <c r="BN54" s="189"/>
      <c r="BO54" s="496"/>
      <c r="BP54" s="496"/>
      <c r="BQ54" s="496"/>
      <c r="BR54" s="496"/>
      <c r="BS54" s="496"/>
      <c r="BT54" s="496"/>
      <c r="BU54" s="189"/>
      <c r="BV54" s="351"/>
      <c r="BW54" s="189"/>
      <c r="BX54" s="362"/>
      <c r="BY54" s="189">
        <f t="shared" ref="BY54:BZ56" si="33">F54+P54+Z54+AJ54+AT54+BD54+BN54</f>
        <v>385</v>
      </c>
      <c r="BZ54" s="189">
        <f t="shared" si="33"/>
        <v>46.2</v>
      </c>
      <c r="CA54" s="496"/>
      <c r="CB54" s="189">
        <f>I54+S54+AC54+AM54+AW54+BG54+BQ54</f>
        <v>338.8</v>
      </c>
      <c r="CC54" s="496"/>
      <c r="CD54" s="496"/>
      <c r="CE54" s="496"/>
      <c r="CF54" s="189"/>
      <c r="CG54" s="582">
        <f t="shared" si="23"/>
        <v>0</v>
      </c>
      <c r="CH54" s="582">
        <f t="shared" si="24"/>
        <v>0</v>
      </c>
      <c r="CI54" s="582"/>
      <c r="CJ54" s="582">
        <f t="shared" si="25"/>
        <v>0</v>
      </c>
      <c r="CK54" s="358"/>
      <c r="CL54" s="293">
        <f>SUM(CM54:CR54)</f>
        <v>385</v>
      </c>
      <c r="CM54" s="199">
        <v>46.2</v>
      </c>
      <c r="CN54" s="199"/>
      <c r="CO54" s="199">
        <v>338.8</v>
      </c>
      <c r="CP54" s="199"/>
      <c r="CQ54" s="249"/>
      <c r="CR54" s="271"/>
    </row>
    <row r="55" spans="1:96" ht="18" customHeight="1">
      <c r="A55" s="349"/>
      <c r="B55" s="353">
        <v>4976</v>
      </c>
      <c r="C55" s="309" t="s">
        <v>71</v>
      </c>
      <c r="D55" s="310" t="s">
        <v>70</v>
      </c>
      <c r="E55" s="362" t="s">
        <v>26</v>
      </c>
      <c r="F55" s="189">
        <f>SUM(G55:M55)</f>
        <v>0.9</v>
      </c>
      <c r="G55" s="496">
        <v>0.9</v>
      </c>
      <c r="H55" s="496"/>
      <c r="I55" s="496"/>
      <c r="J55" s="496"/>
      <c r="K55" s="496"/>
      <c r="L55" s="298"/>
      <c r="M55" s="299"/>
      <c r="N55" s="438" t="s">
        <v>70</v>
      </c>
      <c r="O55" s="301" t="s">
        <v>26</v>
      </c>
      <c r="P55" s="189">
        <f>SUM(Q55:W55)</f>
        <v>0.75</v>
      </c>
      <c r="Q55" s="496">
        <v>0.75</v>
      </c>
      <c r="R55" s="496"/>
      <c r="S55" s="496"/>
      <c r="T55" s="496"/>
      <c r="U55" s="496"/>
      <c r="V55" s="496"/>
      <c r="W55" s="189"/>
      <c r="X55" s="438" t="s">
        <v>70</v>
      </c>
      <c r="Y55" s="362" t="s">
        <v>26</v>
      </c>
      <c r="Z55" s="189">
        <f t="shared" si="26"/>
        <v>2</v>
      </c>
      <c r="AA55" s="496">
        <v>2</v>
      </c>
      <c r="AB55" s="496"/>
      <c r="AC55" s="496"/>
      <c r="AD55" s="496"/>
      <c r="AE55" s="496"/>
      <c r="AF55" s="496"/>
      <c r="AG55" s="189"/>
      <c r="AH55" s="438" t="s">
        <v>70</v>
      </c>
      <c r="AI55" s="362" t="s">
        <v>26</v>
      </c>
      <c r="AJ55" s="189">
        <f>SUM(AK55:AQ55)</f>
        <v>2</v>
      </c>
      <c r="AK55" s="496">
        <v>2</v>
      </c>
      <c r="AL55" s="496"/>
      <c r="AM55" s="496"/>
      <c r="AN55" s="496"/>
      <c r="AO55" s="496"/>
      <c r="AP55" s="496"/>
      <c r="AQ55" s="189"/>
      <c r="AR55" s="438" t="s">
        <v>70</v>
      </c>
      <c r="AS55" s="362" t="s">
        <v>26</v>
      </c>
      <c r="AT55" s="189">
        <f>SUM(AU55:BA55)</f>
        <v>2</v>
      </c>
      <c r="AU55" s="225">
        <v>2</v>
      </c>
      <c r="AV55" s="496"/>
      <c r="AW55" s="496"/>
      <c r="AX55" s="496"/>
      <c r="AY55" s="496"/>
      <c r="AZ55" s="496"/>
      <c r="BA55" s="189"/>
      <c r="BB55" s="438" t="s">
        <v>70</v>
      </c>
      <c r="BC55" s="362" t="s">
        <v>26</v>
      </c>
      <c r="BD55" s="189">
        <f>SUM(BE55:BK55)</f>
        <v>2</v>
      </c>
      <c r="BE55" s="496">
        <v>2</v>
      </c>
      <c r="BF55" s="496"/>
      <c r="BG55" s="496">
        <v>0</v>
      </c>
      <c r="BH55" s="496"/>
      <c r="BI55" s="496"/>
      <c r="BJ55" s="496"/>
      <c r="BK55" s="189"/>
      <c r="BL55" s="438" t="s">
        <v>70</v>
      </c>
      <c r="BM55" s="362" t="s">
        <v>26</v>
      </c>
      <c r="BN55" s="189">
        <f>SUM(BO55:BU55)</f>
        <v>0.35</v>
      </c>
      <c r="BO55" s="496">
        <v>0.35</v>
      </c>
      <c r="BP55" s="496"/>
      <c r="BQ55" s="496">
        <v>0</v>
      </c>
      <c r="BR55" s="496"/>
      <c r="BS55" s="496"/>
      <c r="BT55" s="496"/>
      <c r="BU55" s="189"/>
      <c r="BV55" s="351"/>
      <c r="BW55" s="189"/>
      <c r="BX55" s="362" t="s">
        <v>26</v>
      </c>
      <c r="BY55" s="189">
        <f t="shared" si="33"/>
        <v>10</v>
      </c>
      <c r="BZ55" s="189">
        <f t="shared" si="33"/>
        <v>10</v>
      </c>
      <c r="CA55" s="496"/>
      <c r="CB55" s="496"/>
      <c r="CC55" s="496"/>
      <c r="CD55" s="496"/>
      <c r="CE55" s="496"/>
      <c r="CF55" s="189"/>
      <c r="CG55" s="582">
        <f t="shared" si="23"/>
        <v>0</v>
      </c>
      <c r="CH55" s="582">
        <f t="shared" si="24"/>
        <v>0</v>
      </c>
      <c r="CI55" s="582"/>
      <c r="CJ55" s="582">
        <f t="shared" si="25"/>
        <v>0</v>
      </c>
      <c r="CK55" s="358"/>
      <c r="CL55" s="240">
        <f>SUM(CM55:CR55)</f>
        <v>10</v>
      </c>
      <c r="CM55" s="199">
        <v>10</v>
      </c>
      <c r="CN55" s="201"/>
      <c r="CO55" s="201"/>
      <c r="CP55" s="201"/>
      <c r="CQ55" s="251"/>
      <c r="CR55" s="271"/>
    </row>
    <row r="56" spans="1:96" ht="18" customHeight="1">
      <c r="A56" s="349"/>
      <c r="B56" s="364">
        <v>4991</v>
      </c>
      <c r="C56" s="310" t="s">
        <v>72</v>
      </c>
      <c r="D56" s="310"/>
      <c r="E56" s="362" t="s">
        <v>26</v>
      </c>
      <c r="F56" s="189"/>
      <c r="G56" s="496"/>
      <c r="H56" s="496"/>
      <c r="I56" s="496"/>
      <c r="J56" s="496"/>
      <c r="K56" s="496"/>
      <c r="L56" s="298"/>
      <c r="M56" s="299"/>
      <c r="N56" s="310"/>
      <c r="O56" s="301" t="s">
        <v>26</v>
      </c>
      <c r="P56" s="189"/>
      <c r="Q56" s="496"/>
      <c r="R56" s="496"/>
      <c r="S56" s="496"/>
      <c r="T56" s="496"/>
      <c r="U56" s="496"/>
      <c r="V56" s="496"/>
      <c r="W56" s="189"/>
      <c r="X56" s="438"/>
      <c r="Y56" s="362" t="s">
        <v>26</v>
      </c>
      <c r="Z56" s="189">
        <f t="shared" si="26"/>
        <v>10</v>
      </c>
      <c r="AA56" s="496">
        <v>10</v>
      </c>
      <c r="AB56" s="496"/>
      <c r="AC56" s="496"/>
      <c r="AD56" s="496"/>
      <c r="AE56" s="496"/>
      <c r="AF56" s="496"/>
      <c r="AG56" s="189"/>
      <c r="AH56" s="438"/>
      <c r="AI56" s="362" t="s">
        <v>26</v>
      </c>
      <c r="AJ56" s="189">
        <f>SUM(AK56:AQ56)</f>
        <v>5</v>
      </c>
      <c r="AK56" s="496">
        <v>5</v>
      </c>
      <c r="AL56" s="496"/>
      <c r="AM56" s="496"/>
      <c r="AN56" s="496"/>
      <c r="AO56" s="496"/>
      <c r="AP56" s="496"/>
      <c r="AQ56" s="189"/>
      <c r="AR56" s="438"/>
      <c r="AS56" s="362" t="s">
        <v>26</v>
      </c>
      <c r="AT56" s="189">
        <f>SUM(AU56:BA56)</f>
        <v>5</v>
      </c>
      <c r="AU56" s="225">
        <v>5</v>
      </c>
      <c r="AV56" s="496"/>
      <c r="AW56" s="496"/>
      <c r="AX56" s="496"/>
      <c r="AY56" s="496"/>
      <c r="AZ56" s="496"/>
      <c r="BA56" s="189"/>
      <c r="BB56" s="438"/>
      <c r="BC56" s="362" t="s">
        <v>26</v>
      </c>
      <c r="BD56" s="189">
        <f>SUM(BE56:BK56)</f>
        <v>3</v>
      </c>
      <c r="BE56" s="496">
        <v>3</v>
      </c>
      <c r="BF56" s="496"/>
      <c r="BG56" s="496">
        <v>0</v>
      </c>
      <c r="BH56" s="496"/>
      <c r="BI56" s="496"/>
      <c r="BJ56" s="496"/>
      <c r="BK56" s="189"/>
      <c r="BL56" s="438"/>
      <c r="BM56" s="362" t="s">
        <v>26</v>
      </c>
      <c r="BN56" s="189">
        <f>SUM(BO56:BU56)</f>
        <v>2</v>
      </c>
      <c r="BO56" s="496">
        <v>2</v>
      </c>
      <c r="BP56" s="496"/>
      <c r="BQ56" s="496">
        <v>0</v>
      </c>
      <c r="BR56" s="496">
        <v>0</v>
      </c>
      <c r="BS56" s="496"/>
      <c r="BT56" s="496"/>
      <c r="BU56" s="189"/>
      <c r="BV56" s="351"/>
      <c r="BW56" s="189"/>
      <c r="BX56" s="362" t="s">
        <v>26</v>
      </c>
      <c r="BY56" s="189">
        <f t="shared" si="33"/>
        <v>25</v>
      </c>
      <c r="BZ56" s="189">
        <f t="shared" si="33"/>
        <v>25</v>
      </c>
      <c r="CA56" s="496"/>
      <c r="CB56" s="496">
        <v>0</v>
      </c>
      <c r="CC56" s="496">
        <v>0</v>
      </c>
      <c r="CD56" s="496"/>
      <c r="CE56" s="496"/>
      <c r="CF56" s="189"/>
      <c r="CG56" s="582">
        <f t="shared" si="23"/>
        <v>0</v>
      </c>
      <c r="CH56" s="582">
        <f t="shared" si="24"/>
        <v>0</v>
      </c>
      <c r="CI56" s="582"/>
      <c r="CJ56" s="582">
        <f t="shared" si="25"/>
        <v>0</v>
      </c>
      <c r="CK56" s="358"/>
      <c r="CL56" s="240">
        <f>SUM(CM56:CR56)</f>
        <v>25</v>
      </c>
      <c r="CM56" s="199">
        <v>25</v>
      </c>
      <c r="CN56" s="201"/>
      <c r="CO56" s="201"/>
      <c r="CP56" s="201"/>
      <c r="CQ56" s="251"/>
      <c r="CR56" s="271"/>
    </row>
    <row r="57" spans="1:96" ht="15.75" customHeight="1">
      <c r="A57" s="326" t="s">
        <v>73</v>
      </c>
      <c r="B57" s="313"/>
      <c r="C57" s="354"/>
      <c r="D57" s="354"/>
      <c r="E57" s="354"/>
      <c r="F57" s="189">
        <f>SUM(G57:M57)</f>
        <v>5689.1399999999994</v>
      </c>
      <c r="G57" s="496">
        <f>SUM(G11:G56)</f>
        <v>1520.2099999999994</v>
      </c>
      <c r="H57" s="496"/>
      <c r="I57" s="496">
        <f>SUM(I11:I56)</f>
        <v>375.62</v>
      </c>
      <c r="J57" s="496">
        <f>SUM(J11:J56)</f>
        <v>3793.31</v>
      </c>
      <c r="K57" s="496"/>
      <c r="L57" s="298"/>
      <c r="M57" s="299"/>
      <c r="N57" s="354"/>
      <c r="O57" s="302"/>
      <c r="P57" s="496">
        <f>SUM(P11:P56)</f>
        <v>97.69</v>
      </c>
      <c r="Q57" s="496">
        <f>SUM(Q11:Q56)</f>
        <v>71.850000000000009</v>
      </c>
      <c r="R57" s="496"/>
      <c r="S57" s="496">
        <f>SUM(S11:S56)</f>
        <v>35.599999999999994</v>
      </c>
      <c r="T57" s="496">
        <f>SUM(T11:T56)</f>
        <v>5.79</v>
      </c>
      <c r="U57" s="496"/>
      <c r="V57" s="496"/>
      <c r="W57" s="496"/>
      <c r="X57" s="443"/>
      <c r="Y57" s="354"/>
      <c r="Z57" s="189">
        <f t="shared" si="26"/>
        <v>3686.48</v>
      </c>
      <c r="AA57" s="496">
        <f>SUM(AA11:AA56)</f>
        <v>1550.48</v>
      </c>
      <c r="AB57" s="496"/>
      <c r="AC57" s="496">
        <f>SUM(AC11:AC56)</f>
        <v>1236</v>
      </c>
      <c r="AD57" s="496">
        <f>SUM(AD11:AD56)</f>
        <v>900</v>
      </c>
      <c r="AE57" s="496"/>
      <c r="AF57" s="496"/>
      <c r="AG57" s="496"/>
      <c r="AH57" s="443"/>
      <c r="AI57" s="354"/>
      <c r="AJ57" s="496">
        <f>SUM(AJ11:AJ56)</f>
        <v>2838.47</v>
      </c>
      <c r="AK57" s="496">
        <f>SUM(AK11:AK56)</f>
        <v>1112.47</v>
      </c>
      <c r="AL57" s="496"/>
      <c r="AM57" s="496">
        <f>SUM(AM11:AM56)</f>
        <v>726</v>
      </c>
      <c r="AN57" s="496">
        <f>SUM(AN11:AN56)</f>
        <v>1000</v>
      </c>
      <c r="AO57" s="496"/>
      <c r="AP57" s="496"/>
      <c r="AQ57" s="496"/>
      <c r="AR57" s="443"/>
      <c r="AS57" s="354"/>
      <c r="AT57" s="496">
        <f>SUM(AT11:AT56)</f>
        <v>2630.25</v>
      </c>
      <c r="AU57" s="225">
        <f>SUM(AU11:AU56)</f>
        <v>975.88</v>
      </c>
      <c r="AV57" s="496"/>
      <c r="AW57" s="496">
        <f>SUM(AW11:AW56)</f>
        <v>654.37</v>
      </c>
      <c r="AX57" s="496">
        <f>SUM(AX11:AX56)</f>
        <v>1000</v>
      </c>
      <c r="AY57" s="496"/>
      <c r="AZ57" s="496"/>
      <c r="BA57" s="496"/>
      <c r="BB57" s="443"/>
      <c r="BC57" s="354"/>
      <c r="BD57" s="496">
        <f>SUM(BD11:BD56)</f>
        <v>2588.37</v>
      </c>
      <c r="BE57" s="496">
        <f>SUM(BE11:BE56)</f>
        <v>882.51999999999987</v>
      </c>
      <c r="BF57" s="496">
        <f>SUM(BF11:BF56)</f>
        <v>0</v>
      </c>
      <c r="BG57" s="496">
        <f>SUM(BG11:BG56)</f>
        <v>705.85</v>
      </c>
      <c r="BH57" s="496">
        <f>SUM(BH11:BH56)</f>
        <v>1000</v>
      </c>
      <c r="BI57" s="496"/>
      <c r="BJ57" s="496"/>
      <c r="BK57" s="496"/>
      <c r="BL57" s="443"/>
      <c r="BM57" s="354"/>
      <c r="BN57" s="496">
        <f>SUM(BN11:BN56)</f>
        <v>1524.32</v>
      </c>
      <c r="BO57" s="496">
        <f>SUM(BO11:BO56)</f>
        <v>735.1</v>
      </c>
      <c r="BP57" s="496">
        <f>SUM(BP11:BP56)</f>
        <v>0</v>
      </c>
      <c r="BQ57" s="496">
        <f>SUM(BQ11:BQ56)</f>
        <v>586.92000000000007</v>
      </c>
      <c r="BR57" s="496">
        <f>SUM(BR11:BR56)</f>
        <v>202.3</v>
      </c>
      <c r="BS57" s="496"/>
      <c r="BT57" s="496"/>
      <c r="BU57" s="496"/>
      <c r="BV57" s="365"/>
      <c r="BW57" s="496"/>
      <c r="BX57" s="354"/>
      <c r="BY57" s="189">
        <f>F57+P57+Z57+AJ57+AT57+BD57+BN57</f>
        <v>19054.719999999998</v>
      </c>
      <c r="BZ57" s="496">
        <f>SUM(BZ11:BZ56)</f>
        <v>6848.51</v>
      </c>
      <c r="CA57" s="496">
        <f>SUM(CA11:CA56)</f>
        <v>0</v>
      </c>
      <c r="CB57" s="496">
        <f>SUM(CB11:CB56)</f>
        <v>4320.3599999999997</v>
      </c>
      <c r="CC57" s="496">
        <f>SUM(CC11:CC56)</f>
        <v>7901.4000000000005</v>
      </c>
      <c r="CD57" s="496"/>
      <c r="CE57" s="496"/>
      <c r="CF57" s="496"/>
      <c r="CG57" s="582">
        <f t="shared" si="23"/>
        <v>89.999999999996362</v>
      </c>
      <c r="CH57" s="582">
        <f t="shared" si="24"/>
        <v>105.55000000000018</v>
      </c>
      <c r="CI57" s="582"/>
      <c r="CJ57" s="582">
        <f t="shared" si="25"/>
        <v>0</v>
      </c>
      <c r="CL57" s="527">
        <f>SUM(CL11:CL56)</f>
        <v>18964.72</v>
      </c>
      <c r="CM57" s="520">
        <f>SUM(CM11:CM56)</f>
        <v>6742.96</v>
      </c>
      <c r="CN57" s="523"/>
      <c r="CO57" s="523">
        <f>SUM(CO11:CO56)</f>
        <v>4320.3599999999997</v>
      </c>
      <c r="CP57" s="523">
        <f>SUM(CP11:CP56)</f>
        <v>7901.4</v>
      </c>
      <c r="CQ57" s="252"/>
      <c r="CR57" s="202"/>
    </row>
    <row r="58" spans="1:96" s="588" customFormat="1" ht="14.25" customHeight="1">
      <c r="A58" s="737" t="s">
        <v>74</v>
      </c>
      <c r="B58" s="617"/>
      <c r="C58" s="617"/>
      <c r="D58" s="530"/>
      <c r="E58" s="530"/>
      <c r="F58" s="457"/>
      <c r="G58" s="457"/>
      <c r="H58" s="391"/>
      <c r="I58" s="457"/>
      <c r="J58" s="457"/>
      <c r="K58" s="391"/>
      <c r="L58" s="391"/>
      <c r="M58" s="391"/>
      <c r="N58" s="530"/>
      <c r="O58" s="530"/>
      <c r="P58" s="390"/>
      <c r="Q58" s="391"/>
      <c r="R58" s="391"/>
      <c r="S58" s="391"/>
      <c r="T58" s="391"/>
      <c r="U58" s="391"/>
      <c r="V58" s="391"/>
      <c r="W58" s="224"/>
      <c r="X58" s="447"/>
      <c r="Y58" s="312"/>
      <c r="Z58" s="189"/>
      <c r="AA58" s="190"/>
      <c r="AG58" s="189"/>
      <c r="AH58" s="447"/>
      <c r="AI58" s="312"/>
      <c r="AJ58" s="189"/>
      <c r="AQ58" s="189"/>
      <c r="AR58" s="447"/>
      <c r="AS58" s="312"/>
      <c r="AT58" s="189"/>
      <c r="BA58" s="189"/>
      <c r="BB58" s="447"/>
      <c r="BC58" s="312"/>
      <c r="BD58" s="189"/>
      <c r="BK58" s="189"/>
      <c r="BL58" s="447"/>
      <c r="BM58" s="312"/>
      <c r="BN58" s="189"/>
      <c r="BU58" s="189"/>
      <c r="BV58" s="351"/>
      <c r="BW58" s="265"/>
      <c r="BX58" s="312"/>
      <c r="BY58" s="189"/>
      <c r="CF58" s="189"/>
      <c r="CG58" s="582">
        <f t="shared" si="23"/>
        <v>0</v>
      </c>
      <c r="CH58" s="582">
        <f t="shared" si="24"/>
        <v>0</v>
      </c>
      <c r="CI58" s="582"/>
      <c r="CJ58" s="582">
        <f t="shared" si="25"/>
        <v>0</v>
      </c>
      <c r="CL58" s="528"/>
      <c r="CM58" s="521"/>
      <c r="CN58" s="524"/>
      <c r="CO58" s="524"/>
      <c r="CP58" s="524"/>
      <c r="CQ58" s="253"/>
      <c r="CR58" s="204"/>
    </row>
    <row r="59" spans="1:96" s="588" customFormat="1" ht="15.75" customHeight="1">
      <c r="A59" s="366"/>
      <c r="B59" s="350">
        <v>6800</v>
      </c>
      <c r="C59" s="297" t="s">
        <v>75</v>
      </c>
      <c r="D59" s="297"/>
      <c r="E59" s="297"/>
      <c r="F59" s="189"/>
      <c r="G59" s="496"/>
      <c r="H59" s="496"/>
      <c r="I59" s="496"/>
      <c r="J59" s="496"/>
      <c r="K59" s="496"/>
      <c r="L59" s="298"/>
      <c r="M59" s="313"/>
      <c r="N59" s="297"/>
      <c r="O59" s="303"/>
      <c r="P59" s="189"/>
      <c r="Q59" s="496"/>
      <c r="R59" s="496"/>
      <c r="S59" s="496"/>
      <c r="T59" s="496"/>
      <c r="U59" s="496"/>
      <c r="V59" s="496"/>
      <c r="W59" s="189"/>
      <c r="X59" s="442"/>
      <c r="Y59" s="297"/>
      <c r="Z59" s="189"/>
      <c r="AA59" s="496"/>
      <c r="AB59" s="496"/>
      <c r="AC59" s="496"/>
      <c r="AD59" s="496"/>
      <c r="AE59" s="496"/>
      <c r="AF59" s="496"/>
      <c r="AG59" s="189"/>
      <c r="AH59" s="442"/>
      <c r="AI59" s="297"/>
      <c r="AJ59" s="189"/>
      <c r="AK59" s="225"/>
      <c r="AL59" s="496"/>
      <c r="AM59" s="496"/>
      <c r="AN59" s="496"/>
      <c r="AO59" s="496"/>
      <c r="AP59" s="496"/>
      <c r="AQ59" s="189"/>
      <c r="AR59" s="442"/>
      <c r="AS59" s="297"/>
      <c r="AT59" s="189"/>
      <c r="AU59" s="225"/>
      <c r="AV59" s="496"/>
      <c r="AW59" s="496"/>
      <c r="AX59" s="496"/>
      <c r="AY59" s="496"/>
      <c r="AZ59" s="496"/>
      <c r="BA59" s="189"/>
      <c r="BB59" s="442"/>
      <c r="BC59" s="297"/>
      <c r="BD59" s="189"/>
      <c r="BE59" s="225"/>
      <c r="BF59" s="496"/>
      <c r="BG59" s="496"/>
      <c r="BH59" s="496"/>
      <c r="BI59" s="496"/>
      <c r="BJ59" s="496"/>
      <c r="BK59" s="189"/>
      <c r="BL59" s="442"/>
      <c r="BM59" s="297"/>
      <c r="BN59" s="189"/>
      <c r="BO59" s="225"/>
      <c r="BP59" s="496"/>
      <c r="BQ59" s="496"/>
      <c r="BR59" s="496"/>
      <c r="BS59" s="496"/>
      <c r="BT59" s="496"/>
      <c r="BU59" s="189"/>
      <c r="BV59" s="351"/>
      <c r="BW59" s="189"/>
      <c r="BX59" s="297"/>
      <c r="BY59" s="189"/>
      <c r="BZ59" s="225"/>
      <c r="CA59" s="496"/>
      <c r="CB59" s="496"/>
      <c r="CC59" s="496"/>
      <c r="CD59" s="496"/>
      <c r="CE59" s="496"/>
      <c r="CF59" s="189"/>
      <c r="CG59" s="582">
        <f t="shared" si="23"/>
        <v>0</v>
      </c>
      <c r="CH59" s="582">
        <f t="shared" si="24"/>
        <v>0</v>
      </c>
      <c r="CI59" s="582"/>
      <c r="CJ59" s="582">
        <f t="shared" si="25"/>
        <v>0</v>
      </c>
      <c r="CL59" s="601"/>
      <c r="CM59" s="601"/>
      <c r="CN59" s="601"/>
      <c r="CO59" s="601"/>
      <c r="CP59" s="601"/>
      <c r="CQ59" s="601"/>
      <c r="CR59" s="525"/>
    </row>
    <row r="60" spans="1:96" s="588" customFormat="1" ht="15.75" customHeight="1">
      <c r="A60" s="367"/>
      <c r="B60" s="356">
        <v>6807</v>
      </c>
      <c r="C60" s="392" t="s">
        <v>76</v>
      </c>
      <c r="D60" s="491"/>
      <c r="E60" s="491"/>
      <c r="F60" s="491"/>
      <c r="G60" s="491"/>
      <c r="H60" s="491"/>
      <c r="I60" s="491"/>
      <c r="J60" s="491"/>
      <c r="K60" s="491"/>
      <c r="L60" s="491"/>
      <c r="M60" s="491"/>
      <c r="N60" s="491"/>
      <c r="O60" s="491"/>
      <c r="P60" s="491"/>
      <c r="Q60" s="491"/>
      <c r="R60" s="491"/>
      <c r="S60" s="491"/>
      <c r="T60" s="491"/>
      <c r="U60" s="491"/>
      <c r="V60" s="492"/>
      <c r="W60" s="493"/>
      <c r="X60" s="489"/>
      <c r="Y60" s="492"/>
      <c r="Z60" s="492"/>
      <c r="AA60" s="493"/>
      <c r="AB60" s="496"/>
      <c r="AC60" s="496"/>
      <c r="AD60" s="496"/>
      <c r="AE60" s="496"/>
      <c r="AF60" s="496"/>
      <c r="AG60" s="189"/>
      <c r="AH60" s="489"/>
      <c r="AI60" s="297"/>
      <c r="AJ60" s="189"/>
      <c r="AK60" s="225"/>
      <c r="AL60" s="496"/>
      <c r="AM60" s="496"/>
      <c r="AN60" s="496"/>
      <c r="AO60" s="496"/>
      <c r="AP60" s="496"/>
      <c r="AQ60" s="189"/>
      <c r="AR60" s="489"/>
      <c r="AS60" s="297"/>
      <c r="AT60" s="189"/>
      <c r="AU60" s="225"/>
      <c r="AV60" s="496"/>
      <c r="AW60" s="496"/>
      <c r="AX60" s="496"/>
      <c r="AY60" s="496"/>
      <c r="AZ60" s="496"/>
      <c r="BA60" s="189"/>
      <c r="BB60" s="489"/>
      <c r="BC60" s="297"/>
      <c r="BD60" s="189"/>
      <c r="BE60" s="225"/>
      <c r="BF60" s="496"/>
      <c r="BG60" s="496"/>
      <c r="BH60" s="496"/>
      <c r="BI60" s="496"/>
      <c r="BJ60" s="496"/>
      <c r="BK60" s="189"/>
      <c r="BL60" s="489"/>
      <c r="BM60" s="297"/>
      <c r="BN60" s="189"/>
      <c r="BO60" s="225"/>
      <c r="BP60" s="496"/>
      <c r="BQ60" s="496"/>
      <c r="BR60" s="496"/>
      <c r="BS60" s="496"/>
      <c r="BT60" s="496"/>
      <c r="BU60" s="189"/>
      <c r="BV60" s="351"/>
      <c r="BW60" s="189"/>
      <c r="BX60" s="297"/>
      <c r="BY60" s="189"/>
      <c r="BZ60" s="225"/>
      <c r="CA60" s="496"/>
      <c r="CB60" s="496"/>
      <c r="CC60" s="496"/>
      <c r="CD60" s="496"/>
      <c r="CE60" s="496"/>
      <c r="CF60" s="189"/>
      <c r="CG60" s="582">
        <f t="shared" si="23"/>
        <v>0</v>
      </c>
      <c r="CH60" s="582">
        <f t="shared" si="24"/>
        <v>0</v>
      </c>
      <c r="CI60" s="582"/>
      <c r="CJ60" s="582">
        <f t="shared" si="25"/>
        <v>0</v>
      </c>
      <c r="CL60" s="573"/>
      <c r="CM60" s="573"/>
      <c r="CN60" s="573"/>
      <c r="CO60" s="573"/>
      <c r="CP60" s="573"/>
      <c r="CQ60" s="573"/>
      <c r="CR60" s="579"/>
    </row>
    <row r="61" spans="1:96" s="588" customFormat="1" ht="60" customHeight="1">
      <c r="A61" s="349"/>
      <c r="B61" s="372"/>
      <c r="C61" s="375" t="s">
        <v>367</v>
      </c>
      <c r="D61" s="310" t="s">
        <v>70</v>
      </c>
      <c r="E61" s="315" t="s">
        <v>78</v>
      </c>
      <c r="F61" s="189">
        <f>SUM(G61:M61)</f>
        <v>484.9</v>
      </c>
      <c r="G61" s="496">
        <v>484.9</v>
      </c>
      <c r="H61" s="496"/>
      <c r="I61" s="496"/>
      <c r="J61" s="496"/>
      <c r="K61" s="496"/>
      <c r="L61" s="298"/>
      <c r="M61" s="313"/>
      <c r="N61" s="438" t="s">
        <v>70</v>
      </c>
      <c r="O61" s="316"/>
      <c r="P61" s="189"/>
      <c r="Q61" s="496"/>
      <c r="R61" s="496"/>
      <c r="S61" s="496"/>
      <c r="T61" s="496"/>
      <c r="U61" s="496"/>
      <c r="V61" s="496"/>
      <c r="W61" s="189"/>
      <c r="X61" s="438" t="s">
        <v>70</v>
      </c>
      <c r="Y61" s="315" t="s">
        <v>368</v>
      </c>
      <c r="Z61" s="189">
        <f>SUM(AA61:AG61)</f>
        <v>165.1</v>
      </c>
      <c r="AA61" s="496">
        <v>165.1</v>
      </c>
      <c r="AB61" s="496"/>
      <c r="AC61" s="496"/>
      <c r="AD61" s="496"/>
      <c r="AE61" s="496"/>
      <c r="AF61" s="496"/>
      <c r="AG61" s="189"/>
      <c r="AH61" s="438"/>
      <c r="AI61" s="315"/>
      <c r="AJ61" s="189"/>
      <c r="AK61" s="225"/>
      <c r="AL61" s="496"/>
      <c r="AM61" s="496"/>
      <c r="AN61" s="496"/>
      <c r="AO61" s="496"/>
      <c r="AP61" s="496"/>
      <c r="AQ61" s="189"/>
      <c r="AR61" s="438"/>
      <c r="AS61" s="315"/>
      <c r="AT61" s="189"/>
      <c r="AU61" s="225"/>
      <c r="AV61" s="496"/>
      <c r="AW61" s="496"/>
      <c r="AX61" s="496"/>
      <c r="AY61" s="496"/>
      <c r="AZ61" s="496"/>
      <c r="BA61" s="189"/>
      <c r="BB61" s="438"/>
      <c r="BC61" s="315"/>
      <c r="BD61" s="189"/>
      <c r="BE61" s="225"/>
      <c r="BF61" s="496"/>
      <c r="BG61" s="496"/>
      <c r="BH61" s="496"/>
      <c r="BI61" s="496"/>
      <c r="BJ61" s="496"/>
      <c r="BK61" s="189"/>
      <c r="BL61" s="438"/>
      <c r="BM61" s="315"/>
      <c r="BN61" s="189"/>
      <c r="BO61" s="225"/>
      <c r="BP61" s="496"/>
      <c r="BQ61" s="496"/>
      <c r="BR61" s="496"/>
      <c r="BS61" s="496"/>
      <c r="BT61" s="496"/>
      <c r="BU61" s="189"/>
      <c r="BV61" s="351"/>
      <c r="BW61" s="189"/>
      <c r="BX61" s="315"/>
      <c r="BY61" s="189">
        <f>F61+P61+Z61+AJ61+AT61+BD61+BN61</f>
        <v>650</v>
      </c>
      <c r="BZ61" s="189">
        <f>G61+Q61+AA61+AK61+AU61+BE61+BO61</f>
        <v>650</v>
      </c>
      <c r="CA61" s="496"/>
      <c r="CB61" s="496"/>
      <c r="CC61" s="496"/>
      <c r="CD61" s="496"/>
      <c r="CE61" s="496"/>
      <c r="CF61" s="189"/>
      <c r="CG61" s="582" t="e">
        <f>BY61-#REF!</f>
        <v>#REF!</v>
      </c>
      <c r="CH61" s="582" t="e">
        <f>BZ61-#REF!</f>
        <v>#REF!</v>
      </c>
      <c r="CI61" s="582"/>
      <c r="CJ61" s="582" t="e">
        <f>CB61-#REF!</f>
        <v>#REF!</v>
      </c>
      <c r="CL61" s="293">
        <f>SUM(CM61:CR61)</f>
        <v>385</v>
      </c>
      <c r="CM61" s="199">
        <v>46.2</v>
      </c>
      <c r="CN61" s="199"/>
      <c r="CO61" s="199">
        <v>338.8</v>
      </c>
      <c r="CP61" s="205"/>
      <c r="CQ61" s="254"/>
      <c r="CR61" s="272"/>
    </row>
    <row r="62" spans="1:96" s="588" customFormat="1" ht="30.75" customHeight="1">
      <c r="A62" s="367"/>
      <c r="B62" s="373"/>
      <c r="C62" s="461" t="s">
        <v>80</v>
      </c>
      <c r="D62" s="310" t="s">
        <v>70</v>
      </c>
      <c r="E62" s="315" t="s">
        <v>369</v>
      </c>
      <c r="F62" s="189">
        <f>SUM(G62:M62)</f>
        <v>35.46</v>
      </c>
      <c r="G62" s="496">
        <v>35.46</v>
      </c>
      <c r="H62" s="496"/>
      <c r="I62" s="496"/>
      <c r="J62" s="496"/>
      <c r="K62" s="496"/>
      <c r="L62" s="298"/>
      <c r="M62" s="313"/>
      <c r="N62" s="438" t="s">
        <v>70</v>
      </c>
      <c r="O62" s="316" t="s">
        <v>370</v>
      </c>
      <c r="P62" s="189">
        <f>SUM(Q62:W62)</f>
        <v>15.68</v>
      </c>
      <c r="Q62" s="496">
        <v>15.68</v>
      </c>
      <c r="R62" s="496"/>
      <c r="S62" s="496"/>
      <c r="T62" s="496"/>
      <c r="U62" s="496"/>
      <c r="V62" s="496"/>
      <c r="W62" s="189"/>
      <c r="X62" s="438" t="s">
        <v>70</v>
      </c>
      <c r="Y62" s="321" t="s">
        <v>155</v>
      </c>
      <c r="Z62" s="189">
        <f>SUM(AA62:AG62)</f>
        <v>17.11</v>
      </c>
      <c r="AA62" s="496">
        <v>17.11</v>
      </c>
      <c r="AB62" s="496"/>
      <c r="AC62" s="496"/>
      <c r="AD62" s="496"/>
      <c r="AE62" s="496"/>
      <c r="AF62" s="496"/>
      <c r="AG62" s="189"/>
      <c r="AH62" s="438"/>
      <c r="AI62" s="315"/>
      <c r="AJ62" s="189"/>
      <c r="AK62" s="496"/>
      <c r="AL62" s="496"/>
      <c r="AM62" s="496"/>
      <c r="AN62" s="496"/>
      <c r="AO62" s="496"/>
      <c r="AP62" s="496"/>
      <c r="AQ62" s="189"/>
      <c r="AR62" s="438"/>
      <c r="AS62" s="315"/>
      <c r="AT62" s="189"/>
      <c r="AU62" s="225"/>
      <c r="AV62" s="496"/>
      <c r="AW62" s="496"/>
      <c r="AX62" s="496"/>
      <c r="AY62" s="496"/>
      <c r="AZ62" s="496"/>
      <c r="BA62" s="189"/>
      <c r="BB62" s="438"/>
      <c r="BC62" s="315"/>
      <c r="BD62" s="189"/>
      <c r="BE62" s="496"/>
      <c r="BF62" s="496"/>
      <c r="BG62" s="496"/>
      <c r="BH62" s="496"/>
      <c r="BI62" s="496"/>
      <c r="BJ62" s="496"/>
      <c r="BK62" s="189"/>
      <c r="BL62" s="438"/>
      <c r="BM62" s="315"/>
      <c r="BN62" s="189"/>
      <c r="BO62" s="496"/>
      <c r="BP62" s="496"/>
      <c r="BQ62" s="496"/>
      <c r="BR62" s="496"/>
      <c r="BS62" s="496"/>
      <c r="BT62" s="496"/>
      <c r="BU62" s="189"/>
      <c r="BV62" s="351"/>
      <c r="BW62" s="189"/>
      <c r="BX62" s="315"/>
      <c r="BY62" s="189">
        <f>F62+P62+Z62+AJ62+AT62+BD62+BN62</f>
        <v>68.25</v>
      </c>
      <c r="BZ62" s="189">
        <f>G62+Q62+AA62+AK62+AU62+BE62+BO62</f>
        <v>68.25</v>
      </c>
      <c r="CA62" s="496"/>
      <c r="CB62" s="496"/>
      <c r="CC62" s="496"/>
      <c r="CD62" s="496"/>
      <c r="CE62" s="496"/>
      <c r="CF62" s="189"/>
      <c r="CG62" s="582" t="e">
        <f>BY62-#REF!</f>
        <v>#REF!</v>
      </c>
      <c r="CH62" s="582" t="e">
        <f>BZ62-#REF!</f>
        <v>#REF!</v>
      </c>
      <c r="CI62" s="582"/>
      <c r="CJ62" s="582" t="e">
        <f>CB62-#REF!</f>
        <v>#REF!</v>
      </c>
      <c r="CL62" s="293">
        <f>SUM(CM62:CR62)</f>
        <v>385</v>
      </c>
      <c r="CM62" s="199">
        <v>46.2</v>
      </c>
      <c r="CN62" s="199"/>
      <c r="CO62" s="199">
        <v>338.8</v>
      </c>
      <c r="CP62" s="192"/>
      <c r="CQ62" s="244"/>
      <c r="CR62" s="272"/>
    </row>
    <row r="63" spans="1:96" s="588" customFormat="1" ht="16.5" customHeight="1">
      <c r="A63" s="349"/>
      <c r="B63" s="356">
        <v>6809</v>
      </c>
      <c r="C63" s="106" t="s">
        <v>83</v>
      </c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487"/>
      <c r="O63" s="352"/>
      <c r="P63" s="352"/>
      <c r="Q63" s="352"/>
      <c r="R63" s="352"/>
      <c r="S63" s="352"/>
      <c r="T63" s="352"/>
      <c r="U63" s="352"/>
      <c r="V63" s="572"/>
      <c r="W63" s="571"/>
      <c r="X63" s="487"/>
      <c r="Y63" s="572"/>
      <c r="Z63" s="572"/>
      <c r="AA63" s="571"/>
      <c r="AB63" s="496"/>
      <c r="AC63" s="496"/>
      <c r="AD63" s="496"/>
      <c r="AE63" s="496"/>
      <c r="AF63" s="496"/>
      <c r="AG63" s="189"/>
      <c r="AH63" s="487"/>
      <c r="AI63" s="317"/>
      <c r="AJ63" s="189"/>
      <c r="AK63" s="225"/>
      <c r="AL63" s="496"/>
      <c r="AM63" s="496"/>
      <c r="AN63" s="496"/>
      <c r="AO63" s="496"/>
      <c r="AP63" s="496"/>
      <c r="AQ63" s="189"/>
      <c r="AR63" s="487"/>
      <c r="AS63" s="317"/>
      <c r="AT63" s="189"/>
      <c r="AU63" s="225"/>
      <c r="AV63" s="496"/>
      <c r="AW63" s="496"/>
      <c r="AX63" s="496"/>
      <c r="AY63" s="496"/>
      <c r="AZ63" s="496"/>
      <c r="BA63" s="189"/>
      <c r="BB63" s="487"/>
      <c r="BC63" s="317"/>
      <c r="BD63" s="189"/>
      <c r="BE63" s="225"/>
      <c r="BF63" s="496"/>
      <c r="BG63" s="496"/>
      <c r="BH63" s="496"/>
      <c r="BI63" s="496"/>
      <c r="BJ63" s="496"/>
      <c r="BK63" s="189"/>
      <c r="BL63" s="487"/>
      <c r="BM63" s="317"/>
      <c r="BN63" s="189"/>
      <c r="BO63" s="225"/>
      <c r="BP63" s="496"/>
      <c r="BQ63" s="496"/>
      <c r="BR63" s="496"/>
      <c r="BS63" s="496"/>
      <c r="BT63" s="496"/>
      <c r="BU63" s="189"/>
      <c r="BV63" s="351"/>
      <c r="BW63" s="189"/>
      <c r="BX63" s="317"/>
      <c r="BY63" s="189"/>
      <c r="BZ63" s="225"/>
      <c r="CA63" s="496"/>
      <c r="CB63" s="496"/>
      <c r="CC63" s="496"/>
      <c r="CD63" s="496"/>
      <c r="CE63" s="496"/>
      <c r="CF63" s="189"/>
      <c r="CG63" s="582" t="e">
        <f>BY63-#REF!</f>
        <v>#REF!</v>
      </c>
      <c r="CH63" s="582" t="e">
        <f>BZ63-#REF!</f>
        <v>#REF!</v>
      </c>
      <c r="CI63" s="582"/>
      <c r="CJ63" s="582" t="e">
        <f>CB63-#REF!</f>
        <v>#REF!</v>
      </c>
    </row>
    <row r="64" spans="1:96" s="588" customFormat="1" ht="18" customHeight="1">
      <c r="A64" s="349"/>
      <c r="B64" s="373"/>
      <c r="C64" s="503" t="s">
        <v>371</v>
      </c>
      <c r="D64" s="310" t="s">
        <v>70</v>
      </c>
      <c r="E64" s="315" t="s">
        <v>89</v>
      </c>
      <c r="F64" s="318">
        <f>SUM(G64:M64)</f>
        <v>27.9</v>
      </c>
      <c r="G64" s="496">
        <v>27.9</v>
      </c>
      <c r="H64" s="496"/>
      <c r="I64" s="496"/>
      <c r="J64" s="496"/>
      <c r="K64" s="496"/>
      <c r="L64" s="298"/>
      <c r="M64" s="313"/>
      <c r="N64" s="438" t="s">
        <v>70</v>
      </c>
      <c r="O64" s="316" t="s">
        <v>101</v>
      </c>
      <c r="P64" s="189">
        <f>SUM(Q64:W64)</f>
        <v>17.100000000000001</v>
      </c>
      <c r="Q64" s="496">
        <v>17.100000000000001</v>
      </c>
      <c r="R64" s="496"/>
      <c r="S64" s="496"/>
      <c r="T64" s="496"/>
      <c r="U64" s="496"/>
      <c r="V64" s="496"/>
      <c r="W64" s="189"/>
      <c r="X64" s="438" t="s">
        <v>70</v>
      </c>
      <c r="Y64" s="315" t="s">
        <v>368</v>
      </c>
      <c r="Z64" s="189">
        <f>SUM(AA64:AG64)</f>
        <v>30</v>
      </c>
      <c r="AA64" s="496">
        <v>30</v>
      </c>
      <c r="AB64" s="496"/>
      <c r="AC64" s="496"/>
      <c r="AD64" s="496"/>
      <c r="AE64" s="496"/>
      <c r="AF64" s="496"/>
      <c r="AG64" s="189"/>
      <c r="AH64" s="438"/>
      <c r="AI64" s="315"/>
      <c r="AJ64" s="189"/>
      <c r="AK64" s="496"/>
      <c r="AL64" s="496"/>
      <c r="AM64" s="496"/>
      <c r="AN64" s="496"/>
      <c r="AO64" s="496"/>
      <c r="AP64" s="496"/>
      <c r="AQ64" s="189"/>
      <c r="AR64" s="438"/>
      <c r="AS64" s="315"/>
      <c r="AT64" s="189"/>
      <c r="AU64" s="225"/>
      <c r="AV64" s="496"/>
      <c r="AW64" s="496"/>
      <c r="AX64" s="496"/>
      <c r="AY64" s="496"/>
      <c r="AZ64" s="496"/>
      <c r="BA64" s="189"/>
      <c r="BB64" s="438"/>
      <c r="BC64" s="315"/>
      <c r="BD64" s="189"/>
      <c r="BE64" s="496"/>
      <c r="BF64" s="496"/>
      <c r="BG64" s="496"/>
      <c r="BH64" s="496"/>
      <c r="BI64" s="496"/>
      <c r="BJ64" s="496"/>
      <c r="BK64" s="189"/>
      <c r="BL64" s="438"/>
      <c r="BM64" s="315"/>
      <c r="BN64" s="189"/>
      <c r="BO64" s="496"/>
      <c r="BP64" s="496"/>
      <c r="BQ64" s="496"/>
      <c r="BR64" s="496"/>
      <c r="BS64" s="496"/>
      <c r="BT64" s="496"/>
      <c r="BU64" s="189"/>
      <c r="BV64" s="351"/>
      <c r="BW64" s="189"/>
      <c r="BX64" s="315"/>
      <c r="BY64" s="189">
        <f>F64+P64+Z64+AJ64+AT64+BD64+BN64</f>
        <v>75</v>
      </c>
      <c r="BZ64" s="189">
        <f>G64+Q64+AA64+AK64+AU64+BE64+BO64</f>
        <v>75</v>
      </c>
      <c r="CA64" s="496"/>
      <c r="CB64" s="496"/>
      <c r="CC64" s="496"/>
      <c r="CD64" s="496"/>
      <c r="CE64" s="496"/>
      <c r="CF64" s="189"/>
      <c r="CG64" s="582" t="e">
        <f>BY64-#REF!</f>
        <v>#REF!</v>
      </c>
      <c r="CH64" s="582" t="e">
        <f>BZ64-#REF!</f>
        <v>#REF!</v>
      </c>
      <c r="CI64" s="582"/>
      <c r="CJ64" s="582" t="e">
        <f>CB64-#REF!</f>
        <v>#REF!</v>
      </c>
      <c r="CL64" s="293">
        <f>SUM(CM64:CR64)</f>
        <v>385</v>
      </c>
      <c r="CM64" s="199">
        <v>46.2</v>
      </c>
      <c r="CN64" s="199"/>
      <c r="CO64" s="199">
        <v>338.8</v>
      </c>
      <c r="CP64" s="199"/>
      <c r="CQ64" s="249"/>
      <c r="CR64" s="271"/>
    </row>
    <row r="65" spans="1:96" s="588" customFormat="1" ht="16.5" customHeight="1">
      <c r="A65" s="349"/>
      <c r="B65" s="526">
        <v>6813</v>
      </c>
      <c r="C65" s="106" t="s">
        <v>86</v>
      </c>
      <c r="D65" s="352"/>
      <c r="E65" s="352"/>
      <c r="F65" s="352"/>
      <c r="G65" s="352"/>
      <c r="H65" s="352"/>
      <c r="I65" s="352"/>
      <c r="J65" s="352"/>
      <c r="K65" s="352"/>
      <c r="L65" s="352"/>
      <c r="M65" s="352"/>
      <c r="N65" s="487"/>
      <c r="O65" s="352"/>
      <c r="P65" s="352"/>
      <c r="Q65" s="352"/>
      <c r="R65" s="352"/>
      <c r="S65" s="352"/>
      <c r="T65" s="352"/>
      <c r="U65" s="352"/>
      <c r="V65" s="572"/>
      <c r="W65" s="571"/>
      <c r="X65" s="487"/>
      <c r="Y65" s="572"/>
      <c r="Z65" s="572"/>
      <c r="AA65" s="571"/>
      <c r="AB65" s="496"/>
      <c r="AC65" s="496"/>
      <c r="AD65" s="496"/>
      <c r="AE65" s="496"/>
      <c r="AF65" s="496"/>
      <c r="AG65" s="189"/>
      <c r="AH65" s="487"/>
      <c r="AI65" s="317"/>
      <c r="AJ65" s="189"/>
      <c r="AK65" s="225"/>
      <c r="AL65" s="496"/>
      <c r="AM65" s="496"/>
      <c r="AN65" s="496"/>
      <c r="AO65" s="496"/>
      <c r="AP65" s="496"/>
      <c r="AQ65" s="189"/>
      <c r="AR65" s="487"/>
      <c r="AS65" s="317"/>
      <c r="AT65" s="189"/>
      <c r="AU65" s="225"/>
      <c r="AV65" s="496"/>
      <c r="AW65" s="496"/>
      <c r="AX65" s="496"/>
      <c r="AY65" s="496"/>
      <c r="AZ65" s="496"/>
      <c r="BA65" s="189"/>
      <c r="BB65" s="487"/>
      <c r="BC65" s="317"/>
      <c r="BD65" s="189"/>
      <c r="BE65" s="225"/>
      <c r="BF65" s="496"/>
      <c r="BG65" s="496"/>
      <c r="BH65" s="496"/>
      <c r="BI65" s="496"/>
      <c r="BJ65" s="496"/>
      <c r="BK65" s="189"/>
      <c r="BL65" s="487"/>
      <c r="BM65" s="317"/>
      <c r="BN65" s="189"/>
      <c r="BO65" s="225"/>
      <c r="BP65" s="496"/>
      <c r="BQ65" s="496"/>
      <c r="BR65" s="496"/>
      <c r="BS65" s="496"/>
      <c r="BT65" s="496"/>
      <c r="BU65" s="189"/>
      <c r="BV65" s="351"/>
      <c r="BW65" s="189"/>
      <c r="BX65" s="317"/>
      <c r="BY65" s="189"/>
      <c r="BZ65" s="225"/>
      <c r="CA65" s="496"/>
      <c r="CB65" s="496"/>
      <c r="CC65" s="496"/>
      <c r="CD65" s="496"/>
      <c r="CE65" s="496"/>
      <c r="CF65" s="189"/>
      <c r="CG65" s="582" t="e">
        <f>BY65-#REF!</f>
        <v>#REF!</v>
      </c>
      <c r="CH65" s="582" t="e">
        <f>BZ65-#REF!</f>
        <v>#REF!</v>
      </c>
      <c r="CI65" s="582"/>
      <c r="CJ65" s="582" t="e">
        <f>CB65-#REF!</f>
        <v>#REF!</v>
      </c>
    </row>
    <row r="66" spans="1:96" s="588" customFormat="1" ht="31.5" customHeight="1">
      <c r="A66" s="349"/>
      <c r="B66" s="372"/>
      <c r="C66" s="461" t="s">
        <v>87</v>
      </c>
      <c r="D66" s="310" t="s">
        <v>70</v>
      </c>
      <c r="E66" s="315" t="s">
        <v>78</v>
      </c>
      <c r="F66" s="318">
        <f>SUM(G66:M66)</f>
        <v>8.9700000000000006</v>
      </c>
      <c r="G66" s="319">
        <v>8.9700000000000006</v>
      </c>
      <c r="H66" s="496"/>
      <c r="I66" s="496"/>
      <c r="J66" s="496"/>
      <c r="K66" s="496"/>
      <c r="L66" s="298"/>
      <c r="M66" s="313"/>
      <c r="N66" s="438"/>
      <c r="O66" s="316"/>
      <c r="P66" s="189"/>
      <c r="Q66" s="496"/>
      <c r="R66" s="496"/>
      <c r="S66" s="496"/>
      <c r="T66" s="496"/>
      <c r="U66" s="496"/>
      <c r="V66" s="496"/>
      <c r="W66" s="189"/>
      <c r="X66" s="438" t="s">
        <v>70</v>
      </c>
      <c r="Y66" s="315"/>
      <c r="Z66" s="189">
        <f>SUM(AA66:AG66)</f>
        <v>0</v>
      </c>
      <c r="AA66" s="496">
        <v>0</v>
      </c>
      <c r="AB66" s="496"/>
      <c r="AC66" s="496"/>
      <c r="AD66" s="496"/>
      <c r="AE66" s="496"/>
      <c r="AF66" s="496"/>
      <c r="AG66" s="189"/>
      <c r="AH66" s="438"/>
      <c r="AI66" s="315"/>
      <c r="AJ66" s="189"/>
      <c r="AK66" s="496"/>
      <c r="AL66" s="496"/>
      <c r="AM66" s="496"/>
      <c r="AN66" s="496"/>
      <c r="AO66" s="496"/>
      <c r="AP66" s="496"/>
      <c r="AQ66" s="189"/>
      <c r="AR66" s="438"/>
      <c r="AS66" s="315"/>
      <c r="AT66" s="189"/>
      <c r="AU66" s="225"/>
      <c r="AV66" s="496"/>
      <c r="AW66" s="496"/>
      <c r="AX66" s="496"/>
      <c r="AY66" s="496"/>
      <c r="AZ66" s="496"/>
      <c r="BA66" s="189"/>
      <c r="BB66" s="438"/>
      <c r="BC66" s="315"/>
      <c r="BD66" s="189"/>
      <c r="BE66" s="496"/>
      <c r="BF66" s="496"/>
      <c r="BG66" s="496"/>
      <c r="BH66" s="496"/>
      <c r="BI66" s="496"/>
      <c r="BJ66" s="496"/>
      <c r="BK66" s="189"/>
      <c r="BL66" s="438"/>
      <c r="BM66" s="315"/>
      <c r="BN66" s="189"/>
      <c r="BO66" s="496"/>
      <c r="BP66" s="496"/>
      <c r="BQ66" s="496"/>
      <c r="BR66" s="496"/>
      <c r="BS66" s="496"/>
      <c r="BT66" s="496"/>
      <c r="BU66" s="189"/>
      <c r="BV66" s="351"/>
      <c r="BW66" s="189"/>
      <c r="BX66" s="315"/>
      <c r="BY66" s="189">
        <f>F66+P66+Z66+AJ66+AT66+BD66+BN66</f>
        <v>8.9700000000000006</v>
      </c>
      <c r="BZ66" s="189">
        <f>G66+Q66+AA66+AK66+AU66+BE66+BO66</f>
        <v>8.9700000000000006</v>
      </c>
      <c r="CA66" s="496"/>
      <c r="CB66" s="496"/>
      <c r="CC66" s="496"/>
      <c r="CD66" s="496"/>
      <c r="CE66" s="496"/>
      <c r="CF66" s="189"/>
      <c r="CG66" s="582" t="e">
        <f>BY66-#REF!</f>
        <v>#REF!</v>
      </c>
      <c r="CH66" s="582" t="e">
        <f>BZ66-#REF!</f>
        <v>#REF!</v>
      </c>
      <c r="CI66" s="582"/>
      <c r="CJ66" s="582" t="e">
        <f>CB66-#REF!</f>
        <v>#REF!</v>
      </c>
      <c r="CL66" s="293">
        <f>SUM(CM66:CR66)</f>
        <v>385</v>
      </c>
      <c r="CM66" s="199">
        <v>46.2</v>
      </c>
      <c r="CN66" s="199"/>
      <c r="CO66" s="199">
        <v>338.8</v>
      </c>
      <c r="CP66" s="192"/>
      <c r="CQ66" s="244"/>
      <c r="CR66" s="272"/>
    </row>
    <row r="67" spans="1:96" s="588" customFormat="1" ht="18" customHeight="1">
      <c r="A67" s="349"/>
      <c r="B67" s="373"/>
      <c r="C67" s="461" t="s">
        <v>88</v>
      </c>
      <c r="D67" s="310" t="s">
        <v>70</v>
      </c>
      <c r="E67" s="315" t="s">
        <v>89</v>
      </c>
      <c r="F67" s="318">
        <f>SUM(G67:M67)</f>
        <v>0.79</v>
      </c>
      <c r="G67" s="319">
        <v>0.79</v>
      </c>
      <c r="H67" s="496"/>
      <c r="I67" s="496"/>
      <c r="J67" s="496"/>
      <c r="K67" s="496"/>
      <c r="L67" s="298"/>
      <c r="M67" s="313"/>
      <c r="N67" s="438" t="s">
        <v>70</v>
      </c>
      <c r="O67" s="316" t="s">
        <v>101</v>
      </c>
      <c r="P67" s="189">
        <f>SUM(Q67:W67)</f>
        <v>0.5</v>
      </c>
      <c r="Q67" s="496">
        <v>0.5</v>
      </c>
      <c r="R67" s="496"/>
      <c r="S67" s="496"/>
      <c r="T67" s="496"/>
      <c r="U67" s="496"/>
      <c r="V67" s="496"/>
      <c r="W67" s="189"/>
      <c r="X67" s="438" t="s">
        <v>70</v>
      </c>
      <c r="Y67" s="315" t="s">
        <v>99</v>
      </c>
      <c r="Z67" s="189">
        <f>SUM(AA67:AG67)</f>
        <v>3.71</v>
      </c>
      <c r="AA67" s="496">
        <v>3.71</v>
      </c>
      <c r="AB67" s="496"/>
      <c r="AC67" s="496"/>
      <c r="AD67" s="496"/>
      <c r="AE67" s="496"/>
      <c r="AF67" s="496"/>
      <c r="AG67" s="189"/>
      <c r="AH67" s="438"/>
      <c r="AI67" s="315"/>
      <c r="AJ67" s="189"/>
      <c r="AK67" s="496"/>
      <c r="AL67" s="496"/>
      <c r="AM67" s="496"/>
      <c r="AN67" s="496"/>
      <c r="AO67" s="496"/>
      <c r="AP67" s="496"/>
      <c r="AQ67" s="189"/>
      <c r="AR67" s="438"/>
      <c r="AS67" s="315"/>
      <c r="AT67" s="189"/>
      <c r="AU67" s="225"/>
      <c r="AV67" s="496"/>
      <c r="AW67" s="496"/>
      <c r="AX67" s="496"/>
      <c r="AY67" s="496"/>
      <c r="AZ67" s="496"/>
      <c r="BA67" s="189"/>
      <c r="BB67" s="438"/>
      <c r="BC67" s="315"/>
      <c r="BD67" s="189"/>
      <c r="BE67" s="496"/>
      <c r="BF67" s="496"/>
      <c r="BG67" s="496"/>
      <c r="BH67" s="496"/>
      <c r="BI67" s="496"/>
      <c r="BJ67" s="496"/>
      <c r="BK67" s="189"/>
      <c r="BL67" s="438"/>
      <c r="BM67" s="315"/>
      <c r="BN67" s="189"/>
      <c r="BO67" s="496"/>
      <c r="BP67" s="496"/>
      <c r="BQ67" s="496"/>
      <c r="BR67" s="496"/>
      <c r="BS67" s="496"/>
      <c r="BT67" s="496"/>
      <c r="BU67" s="189"/>
      <c r="BV67" s="351"/>
      <c r="BW67" s="189"/>
      <c r="BX67" s="315"/>
      <c r="BY67" s="189">
        <f>F67+P67+Z67+AJ67+AT67+BD67+BN67</f>
        <v>5</v>
      </c>
      <c r="BZ67" s="189">
        <f>G67+Q67+AA67+AK67+AU67+BE67+BO67</f>
        <v>5</v>
      </c>
      <c r="CA67" s="496"/>
      <c r="CB67" s="496"/>
      <c r="CC67" s="496"/>
      <c r="CD67" s="496"/>
      <c r="CE67" s="496"/>
      <c r="CF67" s="189"/>
      <c r="CG67" s="582" t="e">
        <f>BY67-#REF!</f>
        <v>#REF!</v>
      </c>
      <c r="CH67" s="582" t="e">
        <f>BZ67-#REF!</f>
        <v>#REF!</v>
      </c>
      <c r="CI67" s="582"/>
      <c r="CJ67" s="582" t="e">
        <f>CB67-#REF!</f>
        <v>#REF!</v>
      </c>
      <c r="CL67" s="293">
        <f>SUM(CM67:CR67)</f>
        <v>385</v>
      </c>
      <c r="CM67" s="199">
        <v>46.2</v>
      </c>
      <c r="CN67" s="199"/>
      <c r="CO67" s="199">
        <v>338.8</v>
      </c>
      <c r="CP67" s="192"/>
      <c r="CQ67" s="244"/>
      <c r="CR67" s="272"/>
    </row>
    <row r="68" spans="1:96" s="588" customFormat="1" ht="17.25" customHeight="1">
      <c r="A68" s="349"/>
      <c r="B68" s="526">
        <v>6814</v>
      </c>
      <c r="C68" s="392" t="s">
        <v>67</v>
      </c>
      <c r="D68" s="491"/>
      <c r="E68" s="488"/>
      <c r="F68" s="488"/>
      <c r="G68" s="488"/>
      <c r="H68" s="488"/>
      <c r="I68" s="488"/>
      <c r="J68" s="488"/>
      <c r="K68" s="488"/>
      <c r="L68" s="488"/>
      <c r="M68" s="488"/>
      <c r="N68" s="489"/>
      <c r="O68" s="488"/>
      <c r="P68" s="488"/>
      <c r="Q68" s="488"/>
      <c r="R68" s="488"/>
      <c r="S68" s="488"/>
      <c r="T68" s="488"/>
      <c r="U68" s="488"/>
      <c r="V68" s="488"/>
      <c r="W68" s="490"/>
      <c r="X68" s="489"/>
      <c r="Y68" s="488"/>
      <c r="Z68" s="488"/>
      <c r="AA68" s="490"/>
      <c r="AB68" s="496"/>
      <c r="AC68" s="496"/>
      <c r="AD68" s="496"/>
      <c r="AE68" s="496"/>
      <c r="AF68" s="496"/>
      <c r="AG68" s="189"/>
      <c r="AH68" s="489"/>
      <c r="AI68" s="320"/>
      <c r="AJ68" s="189"/>
      <c r="AK68" s="225"/>
      <c r="AL68" s="496"/>
      <c r="AM68" s="496"/>
      <c r="AN68" s="496"/>
      <c r="AO68" s="496"/>
      <c r="AP68" s="496"/>
      <c r="AQ68" s="189"/>
      <c r="AR68" s="489"/>
      <c r="AS68" s="320"/>
      <c r="AT68" s="189"/>
      <c r="AU68" s="225"/>
      <c r="AV68" s="496"/>
      <c r="AW68" s="496"/>
      <c r="AX68" s="496"/>
      <c r="AY68" s="496"/>
      <c r="AZ68" s="496"/>
      <c r="BA68" s="189"/>
      <c r="BB68" s="489"/>
      <c r="BC68" s="320"/>
      <c r="BD68" s="189"/>
      <c r="BE68" s="225"/>
      <c r="BF68" s="496"/>
      <c r="BG68" s="496"/>
      <c r="BH68" s="496"/>
      <c r="BI68" s="496"/>
      <c r="BJ68" s="496"/>
      <c r="BK68" s="189"/>
      <c r="BL68" s="489"/>
      <c r="BM68" s="320"/>
      <c r="BN68" s="189"/>
      <c r="BO68" s="225"/>
      <c r="BP68" s="496"/>
      <c r="BQ68" s="496"/>
      <c r="BR68" s="496"/>
      <c r="BS68" s="496"/>
      <c r="BT68" s="496"/>
      <c r="BU68" s="189"/>
      <c r="BV68" s="351"/>
      <c r="BW68" s="189"/>
      <c r="BX68" s="320"/>
      <c r="BY68" s="189"/>
      <c r="BZ68" s="225"/>
      <c r="CA68" s="496"/>
      <c r="CB68" s="496"/>
      <c r="CC68" s="496"/>
      <c r="CD68" s="496"/>
      <c r="CE68" s="496"/>
      <c r="CF68" s="189"/>
      <c r="CG68" s="582">
        <f>BY68-CL61</f>
        <v>-385</v>
      </c>
      <c r="CH68" s="582">
        <f>BZ68-CM61</f>
        <v>-46.2</v>
      </c>
      <c r="CI68" s="582"/>
      <c r="CJ68" s="582">
        <f>CB68-CO61</f>
        <v>-338.8</v>
      </c>
    </row>
    <row r="69" spans="1:96" s="588" customFormat="1" ht="28.5" customHeight="1">
      <c r="A69" s="349"/>
      <c r="B69" s="475"/>
      <c r="C69" s="461" t="s">
        <v>90</v>
      </c>
      <c r="D69" s="310" t="s">
        <v>70</v>
      </c>
      <c r="E69" s="315" t="s">
        <v>370</v>
      </c>
      <c r="F69" s="318">
        <f>SUM(G69:M69)</f>
        <v>11.7</v>
      </c>
      <c r="G69" s="319">
        <v>11.7</v>
      </c>
      <c r="H69" s="496"/>
      <c r="I69" s="496"/>
      <c r="J69" s="496"/>
      <c r="K69" s="496"/>
      <c r="L69" s="298"/>
      <c r="M69" s="313"/>
      <c r="N69" s="438" t="s">
        <v>70</v>
      </c>
      <c r="O69" s="316" t="s">
        <v>89</v>
      </c>
      <c r="P69" s="189">
        <f>SUM(Q69:W69)</f>
        <v>5</v>
      </c>
      <c r="Q69" s="496">
        <v>5</v>
      </c>
      <c r="R69" s="496"/>
      <c r="S69" s="496"/>
      <c r="T69" s="496"/>
      <c r="U69" s="496"/>
      <c r="V69" s="496"/>
      <c r="W69" s="189"/>
      <c r="X69" s="438" t="s">
        <v>70</v>
      </c>
      <c r="Y69" s="315" t="s">
        <v>92</v>
      </c>
      <c r="Z69" s="189">
        <f>SUM(AA69:AG69)</f>
        <v>3.8</v>
      </c>
      <c r="AA69" s="496">
        <v>3.8</v>
      </c>
      <c r="AB69" s="496"/>
      <c r="AC69" s="496"/>
      <c r="AD69" s="496"/>
      <c r="AE69" s="496"/>
      <c r="AF69" s="496"/>
      <c r="AG69" s="189"/>
      <c r="AH69" s="438"/>
      <c r="AI69" s="315"/>
      <c r="AJ69" s="189"/>
      <c r="AK69" s="496"/>
      <c r="AL69" s="496"/>
      <c r="AM69" s="496"/>
      <c r="AN69" s="496"/>
      <c r="AO69" s="496"/>
      <c r="AP69" s="496"/>
      <c r="AQ69" s="189"/>
      <c r="AR69" s="438"/>
      <c r="AS69" s="315"/>
      <c r="AT69" s="189"/>
      <c r="AU69" s="225"/>
      <c r="AV69" s="496"/>
      <c r="AW69" s="496"/>
      <c r="AX69" s="496"/>
      <c r="AY69" s="496"/>
      <c r="AZ69" s="496"/>
      <c r="BA69" s="189"/>
      <c r="BB69" s="438"/>
      <c r="BC69" s="315"/>
      <c r="BD69" s="189"/>
      <c r="BE69" s="496"/>
      <c r="BF69" s="496"/>
      <c r="BG69" s="496"/>
      <c r="BH69" s="496"/>
      <c r="BI69" s="496"/>
      <c r="BJ69" s="496"/>
      <c r="BK69" s="189"/>
      <c r="BL69" s="438"/>
      <c r="BM69" s="315"/>
      <c r="BN69" s="189"/>
      <c r="BO69" s="496"/>
      <c r="BP69" s="496"/>
      <c r="BQ69" s="496"/>
      <c r="BR69" s="496"/>
      <c r="BS69" s="496"/>
      <c r="BT69" s="496"/>
      <c r="BU69" s="189"/>
      <c r="BV69" s="351"/>
      <c r="BW69" s="189"/>
      <c r="BX69" s="315"/>
      <c r="BY69" s="189">
        <f t="shared" ref="BY69:BZ71" si="34">F69+P69+Z69+AJ69+AT69+BD69+BN69</f>
        <v>20.5</v>
      </c>
      <c r="BZ69" s="189">
        <f t="shared" si="34"/>
        <v>20.5</v>
      </c>
      <c r="CA69" s="496"/>
      <c r="CB69" s="496"/>
      <c r="CC69" s="496"/>
      <c r="CD69" s="496"/>
      <c r="CE69" s="496"/>
      <c r="CF69" s="189"/>
      <c r="CG69" s="582">
        <f>BY69-CL62</f>
        <v>-364.5</v>
      </c>
      <c r="CH69" s="582">
        <f>BZ69-CM62</f>
        <v>-25.700000000000003</v>
      </c>
      <c r="CI69" s="582"/>
      <c r="CJ69" s="582">
        <f>CB69-CO62</f>
        <v>-338.8</v>
      </c>
      <c r="CL69" s="293">
        <f>SUM(CM69:CR69)</f>
        <v>385</v>
      </c>
      <c r="CM69" s="199">
        <v>46.2</v>
      </c>
      <c r="CN69" s="199"/>
      <c r="CO69" s="199">
        <v>338.8</v>
      </c>
      <c r="CP69" s="192"/>
      <c r="CQ69" s="244"/>
      <c r="CR69" s="272"/>
    </row>
    <row r="70" spans="1:96" s="588" customFormat="1" ht="29.25" customHeight="1">
      <c r="A70" s="349"/>
      <c r="B70" s="475"/>
      <c r="C70" s="461" t="s">
        <v>93</v>
      </c>
      <c r="D70" s="310"/>
      <c r="E70" s="315"/>
      <c r="F70" s="318"/>
      <c r="G70" s="319"/>
      <c r="H70" s="496"/>
      <c r="I70" s="496"/>
      <c r="J70" s="496"/>
      <c r="K70" s="496"/>
      <c r="L70" s="298"/>
      <c r="M70" s="313"/>
      <c r="N70" s="438"/>
      <c r="O70" s="316"/>
      <c r="P70" s="189"/>
      <c r="Q70" s="496"/>
      <c r="R70" s="496"/>
      <c r="S70" s="496"/>
      <c r="T70" s="496"/>
      <c r="U70" s="496"/>
      <c r="V70" s="496"/>
      <c r="W70" s="189"/>
      <c r="X70" s="438" t="s">
        <v>70</v>
      </c>
      <c r="Y70" s="315" t="s">
        <v>92</v>
      </c>
      <c r="Z70" s="189">
        <f>SUM(AA70:AG70)</f>
        <v>6</v>
      </c>
      <c r="AA70" s="496">
        <v>6</v>
      </c>
      <c r="AB70" s="496"/>
      <c r="AC70" s="496"/>
      <c r="AD70" s="496"/>
      <c r="AE70" s="496"/>
      <c r="AF70" s="496"/>
      <c r="AG70" s="189"/>
      <c r="AH70" s="438"/>
      <c r="AI70" s="315"/>
      <c r="AJ70" s="189"/>
      <c r="AK70" s="496"/>
      <c r="AL70" s="496"/>
      <c r="AM70" s="496"/>
      <c r="AN70" s="496"/>
      <c r="AO70" s="496"/>
      <c r="AP70" s="496"/>
      <c r="AQ70" s="189"/>
      <c r="AR70" s="438"/>
      <c r="AS70" s="315"/>
      <c r="AT70" s="189"/>
      <c r="AU70" s="225"/>
      <c r="AV70" s="496"/>
      <c r="AW70" s="496"/>
      <c r="AX70" s="496"/>
      <c r="AY70" s="496"/>
      <c r="AZ70" s="496"/>
      <c r="BA70" s="189"/>
      <c r="BB70" s="438"/>
      <c r="BC70" s="315"/>
      <c r="BD70" s="189"/>
      <c r="BE70" s="496"/>
      <c r="BF70" s="496"/>
      <c r="BG70" s="496"/>
      <c r="BH70" s="496"/>
      <c r="BI70" s="496"/>
      <c r="BJ70" s="496"/>
      <c r="BK70" s="189"/>
      <c r="BL70" s="438"/>
      <c r="BM70" s="315"/>
      <c r="BN70" s="189"/>
      <c r="BO70" s="496"/>
      <c r="BP70" s="496"/>
      <c r="BQ70" s="496"/>
      <c r="BR70" s="496"/>
      <c r="BS70" s="496"/>
      <c r="BT70" s="496"/>
      <c r="BU70" s="189"/>
      <c r="BV70" s="351"/>
      <c r="BW70" s="189"/>
      <c r="BX70" s="315"/>
      <c r="BY70" s="189">
        <f t="shared" si="34"/>
        <v>6</v>
      </c>
      <c r="BZ70" s="189">
        <f t="shared" si="34"/>
        <v>6</v>
      </c>
      <c r="CA70" s="496"/>
      <c r="CB70" s="496"/>
      <c r="CC70" s="496"/>
      <c r="CD70" s="496"/>
      <c r="CE70" s="496"/>
      <c r="CF70" s="189"/>
      <c r="CG70" s="582">
        <f t="shared" ref="CG70:CH77" si="35">BY70-CL62</f>
        <v>-379</v>
      </c>
      <c r="CH70" s="582">
        <f t="shared" si="35"/>
        <v>-40.200000000000003</v>
      </c>
      <c r="CI70" s="582"/>
      <c r="CJ70" s="582">
        <f t="shared" ref="CJ70:CJ77" si="36">CB70-CO62</f>
        <v>-338.8</v>
      </c>
      <c r="CL70" s="293">
        <f>SUM(CM70:CR70)</f>
        <v>385</v>
      </c>
      <c r="CM70" s="199">
        <v>46.2</v>
      </c>
      <c r="CN70" s="199"/>
      <c r="CO70" s="199">
        <v>338.8</v>
      </c>
      <c r="CP70" s="192"/>
      <c r="CQ70" s="244"/>
      <c r="CR70" s="272"/>
    </row>
    <row r="71" spans="1:96" s="588" customFormat="1" ht="18.75" customHeight="1">
      <c r="A71" s="349"/>
      <c r="B71" s="476"/>
      <c r="C71" s="95" t="s">
        <v>372</v>
      </c>
      <c r="D71" s="310"/>
      <c r="E71" s="315"/>
      <c r="F71" s="318"/>
      <c r="G71" s="319"/>
      <c r="H71" s="496"/>
      <c r="I71" s="496"/>
      <c r="J71" s="496"/>
      <c r="K71" s="496"/>
      <c r="L71" s="298"/>
      <c r="M71" s="313"/>
      <c r="N71" s="438"/>
      <c r="O71" s="316"/>
      <c r="P71" s="189"/>
      <c r="Q71" s="496"/>
      <c r="R71" s="496"/>
      <c r="S71" s="496"/>
      <c r="T71" s="496"/>
      <c r="U71" s="496"/>
      <c r="V71" s="496"/>
      <c r="W71" s="189"/>
      <c r="X71" s="438" t="s">
        <v>70</v>
      </c>
      <c r="Y71" s="315" t="s">
        <v>373</v>
      </c>
      <c r="Z71" s="189">
        <f>SUM(AA71:AG71)</f>
        <v>36</v>
      </c>
      <c r="AA71" s="496">
        <v>36</v>
      </c>
      <c r="AB71" s="496"/>
      <c r="AC71" s="496"/>
      <c r="AD71" s="496"/>
      <c r="AE71" s="496"/>
      <c r="AF71" s="496"/>
      <c r="AG71" s="189"/>
      <c r="AH71" s="438"/>
      <c r="AI71" s="315"/>
      <c r="AJ71" s="189"/>
      <c r="AK71" s="496"/>
      <c r="AL71" s="496"/>
      <c r="AM71" s="496"/>
      <c r="AN71" s="496"/>
      <c r="AO71" s="496"/>
      <c r="AP71" s="496"/>
      <c r="AQ71" s="189"/>
      <c r="AR71" s="438"/>
      <c r="AS71" s="315"/>
      <c r="AT71" s="189"/>
      <c r="AU71" s="225"/>
      <c r="AV71" s="496"/>
      <c r="AW71" s="496"/>
      <c r="AX71" s="496"/>
      <c r="AY71" s="496"/>
      <c r="AZ71" s="496"/>
      <c r="BA71" s="189"/>
      <c r="BB71" s="438"/>
      <c r="BC71" s="315"/>
      <c r="BD71" s="189"/>
      <c r="BE71" s="496"/>
      <c r="BF71" s="496"/>
      <c r="BG71" s="496"/>
      <c r="BH71" s="496"/>
      <c r="BI71" s="496"/>
      <c r="BJ71" s="496"/>
      <c r="BK71" s="189"/>
      <c r="BL71" s="438"/>
      <c r="BM71" s="315"/>
      <c r="BN71" s="189"/>
      <c r="BO71" s="496"/>
      <c r="BP71" s="496"/>
      <c r="BQ71" s="496"/>
      <c r="BR71" s="496"/>
      <c r="BS71" s="496"/>
      <c r="BT71" s="496"/>
      <c r="BU71" s="189"/>
      <c r="BV71" s="351"/>
      <c r="BW71" s="189"/>
      <c r="BX71" s="315"/>
      <c r="BY71" s="189">
        <f t="shared" si="34"/>
        <v>36</v>
      </c>
      <c r="BZ71" s="189">
        <f t="shared" si="34"/>
        <v>36</v>
      </c>
      <c r="CA71" s="496"/>
      <c r="CB71" s="496"/>
      <c r="CC71" s="496"/>
      <c r="CD71" s="496"/>
      <c r="CE71" s="496"/>
      <c r="CF71" s="189"/>
      <c r="CG71" s="582">
        <f t="shared" si="35"/>
        <v>36</v>
      </c>
      <c r="CH71" s="582">
        <f t="shared" si="35"/>
        <v>36</v>
      </c>
      <c r="CI71" s="582"/>
      <c r="CJ71" s="582">
        <f t="shared" si="36"/>
        <v>0</v>
      </c>
      <c r="CL71" s="293">
        <f>SUM(CM71:CR71)</f>
        <v>385</v>
      </c>
      <c r="CM71" s="199">
        <v>46.2</v>
      </c>
      <c r="CN71" s="199"/>
      <c r="CO71" s="199">
        <v>338.8</v>
      </c>
      <c r="CP71" s="192"/>
      <c r="CQ71" s="244"/>
      <c r="CR71" s="272"/>
    </row>
    <row r="72" spans="1:96" s="588" customFormat="1" ht="18" customHeight="1">
      <c r="A72" s="349"/>
      <c r="B72" s="526">
        <v>6815</v>
      </c>
      <c r="C72" s="392" t="s">
        <v>95</v>
      </c>
      <c r="D72" s="491"/>
      <c r="E72" s="491"/>
      <c r="F72" s="491"/>
      <c r="G72" s="491"/>
      <c r="H72" s="491"/>
      <c r="I72" s="491"/>
      <c r="J72" s="491"/>
      <c r="K72" s="491"/>
      <c r="L72" s="491"/>
      <c r="M72" s="491"/>
      <c r="N72" s="489"/>
      <c r="O72" s="491"/>
      <c r="P72" s="491"/>
      <c r="Q72" s="491"/>
      <c r="R72" s="491"/>
      <c r="S72" s="491"/>
      <c r="T72" s="491"/>
      <c r="U72" s="491"/>
      <c r="V72" s="492"/>
      <c r="W72" s="493"/>
      <c r="X72" s="489"/>
      <c r="Y72" s="492"/>
      <c r="Z72" s="492"/>
      <c r="AA72" s="493"/>
      <c r="AB72" s="496"/>
      <c r="AC72" s="496"/>
      <c r="AD72" s="496"/>
      <c r="AE72" s="496"/>
      <c r="AF72" s="496"/>
      <c r="AG72" s="189"/>
      <c r="AH72" s="489"/>
      <c r="AI72" s="320"/>
      <c r="AJ72" s="189"/>
      <c r="AK72" s="225"/>
      <c r="AL72" s="496"/>
      <c r="AM72" s="496"/>
      <c r="AN72" s="496"/>
      <c r="AO72" s="496"/>
      <c r="AP72" s="496"/>
      <c r="AQ72" s="189"/>
      <c r="AR72" s="489"/>
      <c r="AS72" s="320"/>
      <c r="AT72" s="189"/>
      <c r="AU72" s="225"/>
      <c r="AV72" s="496"/>
      <c r="AW72" s="496"/>
      <c r="AX72" s="496"/>
      <c r="AY72" s="496"/>
      <c r="AZ72" s="496"/>
      <c r="BA72" s="189"/>
      <c r="BB72" s="489"/>
      <c r="BC72" s="320"/>
      <c r="BD72" s="189"/>
      <c r="BE72" s="225"/>
      <c r="BF72" s="496"/>
      <c r="BG72" s="496"/>
      <c r="BH72" s="496"/>
      <c r="BI72" s="496"/>
      <c r="BJ72" s="496"/>
      <c r="BK72" s="189"/>
      <c r="BL72" s="489"/>
      <c r="BM72" s="320"/>
      <c r="BN72" s="189"/>
      <c r="BO72" s="225"/>
      <c r="BP72" s="496"/>
      <c r="BQ72" s="496"/>
      <c r="BR72" s="496"/>
      <c r="BS72" s="496"/>
      <c r="BT72" s="496"/>
      <c r="BU72" s="189"/>
      <c r="BV72" s="351"/>
      <c r="BW72" s="189"/>
      <c r="BX72" s="320"/>
      <c r="BY72" s="189"/>
      <c r="BZ72" s="225"/>
      <c r="CA72" s="496"/>
      <c r="CB72" s="496"/>
      <c r="CC72" s="496"/>
      <c r="CD72" s="496"/>
      <c r="CE72" s="496"/>
      <c r="CF72" s="189"/>
      <c r="CG72" s="582">
        <f t="shared" si="35"/>
        <v>-385</v>
      </c>
      <c r="CH72" s="582">
        <f t="shared" si="35"/>
        <v>-46.2</v>
      </c>
      <c r="CI72" s="582"/>
      <c r="CJ72" s="582">
        <f t="shared" si="36"/>
        <v>-338.8</v>
      </c>
    </row>
    <row r="73" spans="1:96" s="588" customFormat="1" ht="60" customHeight="1">
      <c r="A73" s="349"/>
      <c r="B73" s="372"/>
      <c r="C73" s="461" t="s">
        <v>96</v>
      </c>
      <c r="D73" s="310" t="s">
        <v>70</v>
      </c>
      <c r="E73" s="315" t="s">
        <v>97</v>
      </c>
      <c r="F73" s="318">
        <f t="shared" ref="F73:F78" si="37">SUM(G73:M73)</f>
        <v>17.2</v>
      </c>
      <c r="G73" s="319">
        <v>17.2</v>
      </c>
      <c r="H73" s="496"/>
      <c r="I73" s="496"/>
      <c r="J73" s="496"/>
      <c r="K73" s="496"/>
      <c r="L73" s="298"/>
      <c r="M73" s="313"/>
      <c r="N73" s="438"/>
      <c r="O73" s="316"/>
      <c r="P73" s="318">
        <f>SUM(Q73:W73)</f>
        <v>0.02</v>
      </c>
      <c r="Q73" s="319">
        <v>0.02</v>
      </c>
      <c r="R73" s="496"/>
      <c r="S73" s="496"/>
      <c r="T73" s="496"/>
      <c r="U73" s="496"/>
      <c r="V73" s="496"/>
      <c r="W73" s="189"/>
      <c r="X73" s="438" t="s">
        <v>70</v>
      </c>
      <c r="Y73" s="315" t="s">
        <v>79</v>
      </c>
      <c r="Z73" s="189">
        <f t="shared" ref="Z73:Z78" si="38">SUM(AA73:AG73)</f>
        <v>2.2799999999999998</v>
      </c>
      <c r="AA73" s="496">
        <v>2.2799999999999998</v>
      </c>
      <c r="AB73" s="496"/>
      <c r="AC73" s="496"/>
      <c r="AD73" s="496"/>
      <c r="AE73" s="496"/>
      <c r="AF73" s="496"/>
      <c r="AG73" s="189"/>
      <c r="AH73" s="438"/>
      <c r="AI73" s="315"/>
      <c r="AJ73" s="189"/>
      <c r="AK73" s="496"/>
      <c r="AL73" s="496"/>
      <c r="AM73" s="496"/>
      <c r="AN73" s="496"/>
      <c r="AO73" s="496"/>
      <c r="AP73" s="496"/>
      <c r="AQ73" s="189"/>
      <c r="AR73" s="438"/>
      <c r="AS73" s="315"/>
      <c r="AT73" s="189"/>
      <c r="AU73" s="225"/>
      <c r="AV73" s="496"/>
      <c r="AW73" s="496"/>
      <c r="AX73" s="496"/>
      <c r="AY73" s="496"/>
      <c r="AZ73" s="496"/>
      <c r="BA73" s="189"/>
      <c r="BB73" s="438"/>
      <c r="BC73" s="315"/>
      <c r="BD73" s="189"/>
      <c r="BE73" s="496"/>
      <c r="BF73" s="496"/>
      <c r="BG73" s="496"/>
      <c r="BH73" s="496"/>
      <c r="BI73" s="496"/>
      <c r="BJ73" s="496"/>
      <c r="BK73" s="189"/>
      <c r="BL73" s="438"/>
      <c r="BM73" s="315"/>
      <c r="BN73" s="189"/>
      <c r="BO73" s="496"/>
      <c r="BP73" s="496"/>
      <c r="BQ73" s="496"/>
      <c r="BR73" s="496"/>
      <c r="BS73" s="496"/>
      <c r="BT73" s="496"/>
      <c r="BU73" s="189"/>
      <c r="BV73" s="351"/>
      <c r="BW73" s="189"/>
      <c r="BX73" s="315"/>
      <c r="BY73" s="189">
        <f t="shared" ref="BY73:BZ78" si="39">F73+P73+Z73+AJ73+AT73+BD73+BN73</f>
        <v>19.5</v>
      </c>
      <c r="BZ73" s="189">
        <f t="shared" si="39"/>
        <v>19.5</v>
      </c>
      <c r="CA73" s="496"/>
      <c r="CB73" s="496"/>
      <c r="CC73" s="496"/>
      <c r="CD73" s="496"/>
      <c r="CE73" s="496"/>
      <c r="CF73" s="189"/>
      <c r="CG73" s="582">
        <f t="shared" si="35"/>
        <v>19.5</v>
      </c>
      <c r="CH73" s="582">
        <f t="shared" si="35"/>
        <v>19.5</v>
      </c>
      <c r="CI73" s="582"/>
      <c r="CJ73" s="582">
        <f t="shared" si="36"/>
        <v>0</v>
      </c>
      <c r="CL73" s="293">
        <f t="shared" ref="CL73:CL78" si="40">SUM(CM73:CR73)</f>
        <v>385</v>
      </c>
      <c r="CM73" s="199">
        <v>46.2</v>
      </c>
      <c r="CN73" s="199"/>
      <c r="CO73" s="199">
        <v>338.8</v>
      </c>
      <c r="CP73" s="192"/>
      <c r="CQ73" s="244"/>
      <c r="CR73" s="272"/>
    </row>
    <row r="74" spans="1:96" s="588" customFormat="1" ht="30" customHeight="1">
      <c r="A74" s="349"/>
      <c r="B74" s="372"/>
      <c r="C74" s="461" t="s">
        <v>98</v>
      </c>
      <c r="D74" s="310" t="s">
        <v>70</v>
      </c>
      <c r="E74" s="315" t="s">
        <v>78</v>
      </c>
      <c r="F74" s="189">
        <f t="shared" si="37"/>
        <v>6.75</v>
      </c>
      <c r="G74" s="496">
        <v>6.75</v>
      </c>
      <c r="H74" s="496"/>
      <c r="I74" s="496"/>
      <c r="J74" s="496"/>
      <c r="K74" s="496"/>
      <c r="L74" s="298"/>
      <c r="M74" s="313"/>
      <c r="N74" s="438"/>
      <c r="O74" s="316"/>
      <c r="P74" s="189"/>
      <c r="Q74" s="496"/>
      <c r="R74" s="496"/>
      <c r="S74" s="496"/>
      <c r="T74" s="496"/>
      <c r="U74" s="496"/>
      <c r="V74" s="496"/>
      <c r="W74" s="189"/>
      <c r="X74" s="438" t="s">
        <v>70</v>
      </c>
      <c r="Y74" s="315" t="s">
        <v>99</v>
      </c>
      <c r="Z74" s="189">
        <f t="shared" si="38"/>
        <v>7</v>
      </c>
      <c r="AA74" s="496">
        <v>7</v>
      </c>
      <c r="AB74" s="496"/>
      <c r="AC74" s="496"/>
      <c r="AD74" s="496"/>
      <c r="AE74" s="496"/>
      <c r="AF74" s="496"/>
      <c r="AG74" s="189"/>
      <c r="AH74" s="438"/>
      <c r="AI74" s="315"/>
      <c r="AJ74" s="189"/>
      <c r="AK74" s="496"/>
      <c r="AL74" s="496"/>
      <c r="AM74" s="496"/>
      <c r="AN74" s="496"/>
      <c r="AO74" s="496"/>
      <c r="AP74" s="496"/>
      <c r="AQ74" s="189"/>
      <c r="AR74" s="438"/>
      <c r="AS74" s="315"/>
      <c r="AT74" s="189"/>
      <c r="AU74" s="225"/>
      <c r="AV74" s="496"/>
      <c r="AW74" s="496"/>
      <c r="AX74" s="496"/>
      <c r="AY74" s="496"/>
      <c r="AZ74" s="496"/>
      <c r="BA74" s="189"/>
      <c r="BB74" s="438"/>
      <c r="BC74" s="315"/>
      <c r="BD74" s="189"/>
      <c r="BE74" s="496"/>
      <c r="BF74" s="496"/>
      <c r="BG74" s="496"/>
      <c r="BH74" s="496"/>
      <c r="BI74" s="496"/>
      <c r="BJ74" s="496"/>
      <c r="BK74" s="189"/>
      <c r="BL74" s="438"/>
      <c r="BM74" s="315"/>
      <c r="BN74" s="189"/>
      <c r="BO74" s="496"/>
      <c r="BP74" s="496"/>
      <c r="BQ74" s="496"/>
      <c r="BR74" s="496"/>
      <c r="BS74" s="496"/>
      <c r="BT74" s="496"/>
      <c r="BU74" s="189"/>
      <c r="BV74" s="351"/>
      <c r="BW74" s="189"/>
      <c r="BX74" s="315"/>
      <c r="BY74" s="189">
        <f t="shared" si="39"/>
        <v>13.75</v>
      </c>
      <c r="BZ74" s="189">
        <f t="shared" si="39"/>
        <v>13.75</v>
      </c>
      <c r="CA74" s="496"/>
      <c r="CB74" s="496"/>
      <c r="CC74" s="496"/>
      <c r="CD74" s="496"/>
      <c r="CE74" s="496"/>
      <c r="CF74" s="189"/>
      <c r="CG74" s="582">
        <f t="shared" si="35"/>
        <v>-371.25</v>
      </c>
      <c r="CH74" s="582">
        <f t="shared" si="35"/>
        <v>-32.450000000000003</v>
      </c>
      <c r="CI74" s="582"/>
      <c r="CJ74" s="582">
        <f t="shared" si="36"/>
        <v>-338.8</v>
      </c>
      <c r="CL74" s="293">
        <f t="shared" si="40"/>
        <v>385</v>
      </c>
      <c r="CM74" s="199">
        <v>46.2</v>
      </c>
      <c r="CN74" s="199"/>
      <c r="CO74" s="199">
        <v>338.8</v>
      </c>
      <c r="CP74" s="192"/>
      <c r="CQ74" s="244"/>
      <c r="CR74" s="272"/>
    </row>
    <row r="75" spans="1:96" s="588" customFormat="1" ht="17.25" customHeight="1">
      <c r="A75" s="349"/>
      <c r="B75" s="372"/>
      <c r="C75" s="461" t="s">
        <v>374</v>
      </c>
      <c r="D75" s="310" t="s">
        <v>102</v>
      </c>
      <c r="E75" s="315" t="s">
        <v>101</v>
      </c>
      <c r="F75" s="189">
        <f t="shared" si="37"/>
        <v>0.2</v>
      </c>
      <c r="G75" s="496">
        <v>0.2</v>
      </c>
      <c r="H75" s="496"/>
      <c r="I75" s="496"/>
      <c r="J75" s="496"/>
      <c r="K75" s="496"/>
      <c r="L75" s="298"/>
      <c r="M75" s="313"/>
      <c r="N75" s="438"/>
      <c r="O75" s="316"/>
      <c r="P75" s="189"/>
      <c r="Q75" s="496"/>
      <c r="R75" s="496"/>
      <c r="S75" s="496"/>
      <c r="T75" s="496"/>
      <c r="U75" s="496"/>
      <c r="V75" s="496"/>
      <c r="W75" s="189"/>
      <c r="X75" s="438" t="s">
        <v>102</v>
      </c>
      <c r="Y75" s="321" t="s">
        <v>155</v>
      </c>
      <c r="Z75" s="189">
        <f t="shared" si="38"/>
        <v>1.3</v>
      </c>
      <c r="AA75" s="496">
        <v>1.3</v>
      </c>
      <c r="AB75" s="496"/>
      <c r="AC75" s="496"/>
      <c r="AD75" s="496"/>
      <c r="AE75" s="496"/>
      <c r="AF75" s="496"/>
      <c r="AG75" s="189"/>
      <c r="AH75" s="438"/>
      <c r="AI75" s="315"/>
      <c r="AJ75" s="189"/>
      <c r="AK75" s="496"/>
      <c r="AL75" s="496"/>
      <c r="AM75" s="496"/>
      <c r="AN75" s="496"/>
      <c r="AO75" s="496"/>
      <c r="AP75" s="496"/>
      <c r="AQ75" s="189"/>
      <c r="AR75" s="438"/>
      <c r="AS75" s="315"/>
      <c r="AT75" s="189"/>
      <c r="AU75" s="225"/>
      <c r="AV75" s="496"/>
      <c r="AW75" s="496"/>
      <c r="AX75" s="496"/>
      <c r="AY75" s="496"/>
      <c r="AZ75" s="496"/>
      <c r="BA75" s="189"/>
      <c r="BB75" s="438"/>
      <c r="BC75" s="315"/>
      <c r="BD75" s="189"/>
      <c r="BE75" s="496"/>
      <c r="BF75" s="496"/>
      <c r="BG75" s="496"/>
      <c r="BH75" s="496"/>
      <c r="BI75" s="496"/>
      <c r="BJ75" s="496"/>
      <c r="BK75" s="189"/>
      <c r="BL75" s="438"/>
      <c r="BM75" s="315"/>
      <c r="BN75" s="189"/>
      <c r="BO75" s="496"/>
      <c r="BP75" s="496"/>
      <c r="BQ75" s="496"/>
      <c r="BR75" s="496"/>
      <c r="BS75" s="496"/>
      <c r="BT75" s="496"/>
      <c r="BU75" s="189"/>
      <c r="BV75" s="351"/>
      <c r="BW75" s="189"/>
      <c r="BX75" s="315"/>
      <c r="BY75" s="189">
        <f t="shared" si="39"/>
        <v>1.5</v>
      </c>
      <c r="BZ75" s="189">
        <f t="shared" si="39"/>
        <v>1.5</v>
      </c>
      <c r="CA75" s="496"/>
      <c r="CB75" s="496"/>
      <c r="CC75" s="496"/>
      <c r="CD75" s="496"/>
      <c r="CE75" s="496"/>
      <c r="CF75" s="189"/>
      <c r="CG75" s="582">
        <f t="shared" si="35"/>
        <v>-383.5</v>
      </c>
      <c r="CH75" s="582">
        <f t="shared" si="35"/>
        <v>-44.7</v>
      </c>
      <c r="CI75" s="582"/>
      <c r="CJ75" s="582">
        <f t="shared" si="36"/>
        <v>-338.8</v>
      </c>
      <c r="CL75" s="293">
        <f t="shared" si="40"/>
        <v>385</v>
      </c>
      <c r="CM75" s="199">
        <v>46.2</v>
      </c>
      <c r="CN75" s="199"/>
      <c r="CO75" s="199">
        <v>338.8</v>
      </c>
      <c r="CP75" s="199"/>
      <c r="CQ75" s="249"/>
      <c r="CR75" s="271"/>
    </row>
    <row r="76" spans="1:96" s="588" customFormat="1" ht="29.25" customHeight="1">
      <c r="A76" s="349"/>
      <c r="B76" s="373"/>
      <c r="C76" s="461" t="s">
        <v>375</v>
      </c>
      <c r="D76" s="310" t="s">
        <v>70</v>
      </c>
      <c r="E76" s="315" t="s">
        <v>78</v>
      </c>
      <c r="F76" s="189">
        <f t="shared" si="37"/>
        <v>3.17</v>
      </c>
      <c r="G76" s="496">
        <v>3.17</v>
      </c>
      <c r="H76" s="496"/>
      <c r="I76" s="496"/>
      <c r="J76" s="496"/>
      <c r="K76" s="496"/>
      <c r="L76" s="298"/>
      <c r="M76" s="313"/>
      <c r="N76" s="438"/>
      <c r="O76" s="316"/>
      <c r="P76" s="189"/>
      <c r="Q76" s="496"/>
      <c r="R76" s="496"/>
      <c r="S76" s="496"/>
      <c r="T76" s="496"/>
      <c r="U76" s="496"/>
      <c r="V76" s="496"/>
      <c r="W76" s="189"/>
      <c r="X76" s="438" t="s">
        <v>70</v>
      </c>
      <c r="Y76" s="321" t="s">
        <v>155</v>
      </c>
      <c r="Z76" s="189">
        <f t="shared" si="38"/>
        <v>2.08</v>
      </c>
      <c r="AA76" s="496">
        <v>2.08</v>
      </c>
      <c r="AB76" s="496"/>
      <c r="AC76" s="496"/>
      <c r="AD76" s="496"/>
      <c r="AE76" s="496"/>
      <c r="AF76" s="496"/>
      <c r="AG76" s="189"/>
      <c r="AH76" s="438"/>
      <c r="AI76" s="321"/>
      <c r="AJ76" s="189"/>
      <c r="AK76" s="496"/>
      <c r="AL76" s="496"/>
      <c r="AM76" s="496"/>
      <c r="AN76" s="496"/>
      <c r="AO76" s="496"/>
      <c r="AP76" s="496"/>
      <c r="AQ76" s="189"/>
      <c r="AR76" s="438"/>
      <c r="AS76" s="321"/>
      <c r="AT76" s="189"/>
      <c r="AU76" s="225"/>
      <c r="AV76" s="496"/>
      <c r="AW76" s="496"/>
      <c r="AX76" s="496"/>
      <c r="AY76" s="496"/>
      <c r="AZ76" s="496"/>
      <c r="BA76" s="189"/>
      <c r="BB76" s="438"/>
      <c r="BC76" s="321"/>
      <c r="BD76" s="189"/>
      <c r="BE76" s="496"/>
      <c r="BF76" s="496"/>
      <c r="BG76" s="496"/>
      <c r="BH76" s="496"/>
      <c r="BI76" s="496"/>
      <c r="BJ76" s="496"/>
      <c r="BK76" s="189"/>
      <c r="BL76" s="438"/>
      <c r="BM76" s="321"/>
      <c r="BN76" s="189"/>
      <c r="BO76" s="496"/>
      <c r="BP76" s="496"/>
      <c r="BQ76" s="496"/>
      <c r="BR76" s="496"/>
      <c r="BS76" s="496"/>
      <c r="BT76" s="496"/>
      <c r="BU76" s="189"/>
      <c r="BV76" s="351"/>
      <c r="BW76" s="189"/>
      <c r="BX76" s="321"/>
      <c r="BY76" s="189">
        <f t="shared" si="39"/>
        <v>5.25</v>
      </c>
      <c r="BZ76" s="189">
        <f t="shared" si="39"/>
        <v>5.25</v>
      </c>
      <c r="CA76" s="496"/>
      <c r="CB76" s="496"/>
      <c r="CC76" s="496"/>
      <c r="CD76" s="496"/>
      <c r="CE76" s="496"/>
      <c r="CF76" s="189"/>
      <c r="CG76" s="582">
        <f t="shared" si="35"/>
        <v>5.25</v>
      </c>
      <c r="CH76" s="582">
        <f t="shared" si="35"/>
        <v>5.25</v>
      </c>
      <c r="CI76" s="582"/>
      <c r="CJ76" s="582">
        <f t="shared" si="36"/>
        <v>0</v>
      </c>
      <c r="CL76" s="293">
        <f t="shared" si="40"/>
        <v>385</v>
      </c>
      <c r="CM76" s="199">
        <v>46.2</v>
      </c>
      <c r="CN76" s="199"/>
      <c r="CO76" s="199">
        <v>338.8</v>
      </c>
      <c r="CP76" s="192"/>
      <c r="CQ76" s="244"/>
      <c r="CR76" s="272"/>
    </row>
    <row r="77" spans="1:96" s="588" customFormat="1" ht="17.25" customHeight="1">
      <c r="A77" s="349"/>
      <c r="B77" s="526">
        <v>6821</v>
      </c>
      <c r="C77" s="309" t="s">
        <v>62</v>
      </c>
      <c r="D77" s="315"/>
      <c r="E77" s="362" t="s">
        <v>26</v>
      </c>
      <c r="F77" s="189">
        <f t="shared" si="37"/>
        <v>21.44</v>
      </c>
      <c r="G77" s="496">
        <v>21.44</v>
      </c>
      <c r="H77" s="496"/>
      <c r="I77" s="496"/>
      <c r="J77" s="496"/>
      <c r="K77" s="496"/>
      <c r="L77" s="298"/>
      <c r="M77" s="313"/>
      <c r="N77" s="439"/>
      <c r="O77" s="301" t="s">
        <v>26</v>
      </c>
      <c r="P77" s="189">
        <f>SUM(Q77:W77)</f>
        <v>3.96</v>
      </c>
      <c r="Q77" s="496">
        <v>3.96</v>
      </c>
      <c r="R77" s="496"/>
      <c r="S77" s="496"/>
      <c r="T77" s="496"/>
      <c r="U77" s="496"/>
      <c r="V77" s="496"/>
      <c r="W77" s="189"/>
      <c r="X77" s="439"/>
      <c r="Y77" s="362" t="s">
        <v>26</v>
      </c>
      <c r="Z77" s="189">
        <f t="shared" si="38"/>
        <v>10</v>
      </c>
      <c r="AA77" s="496">
        <v>10</v>
      </c>
      <c r="AB77" s="496"/>
      <c r="AC77" s="496"/>
      <c r="AD77" s="496"/>
      <c r="AE77" s="496"/>
      <c r="AF77" s="496"/>
      <c r="AG77" s="189"/>
      <c r="AH77" s="439"/>
      <c r="AI77" s="362" t="s">
        <v>26</v>
      </c>
      <c r="AJ77" s="189">
        <f>SUM(AK77:AQ77)</f>
        <v>4.5999999999999996</v>
      </c>
      <c r="AK77" s="496">
        <v>4.5999999999999996</v>
      </c>
      <c r="AL77" s="496"/>
      <c r="AM77" s="496"/>
      <c r="AN77" s="496"/>
      <c r="AO77" s="496"/>
      <c r="AP77" s="496"/>
      <c r="AQ77" s="189"/>
      <c r="AR77" s="439"/>
      <c r="AS77" s="362" t="s">
        <v>26</v>
      </c>
      <c r="AT77" s="189">
        <f>SUM(AU77:BA77)</f>
        <v>10</v>
      </c>
      <c r="AU77" s="225">
        <v>10</v>
      </c>
      <c r="AV77" s="496"/>
      <c r="AW77" s="496"/>
      <c r="AX77" s="496"/>
      <c r="AY77" s="496"/>
      <c r="AZ77" s="496"/>
      <c r="BA77" s="189"/>
      <c r="BB77" s="439"/>
      <c r="BC77" s="362"/>
      <c r="BD77" s="189"/>
      <c r="BE77" s="496"/>
      <c r="BF77" s="496"/>
      <c r="BG77" s="496"/>
      <c r="BH77" s="496"/>
      <c r="BI77" s="496"/>
      <c r="BJ77" s="496"/>
      <c r="BK77" s="189"/>
      <c r="BL77" s="439"/>
      <c r="BM77" s="362"/>
      <c r="BN77" s="189"/>
      <c r="BO77" s="496"/>
      <c r="BP77" s="496"/>
      <c r="BQ77" s="496"/>
      <c r="BR77" s="496"/>
      <c r="BS77" s="496"/>
      <c r="BT77" s="496"/>
      <c r="BU77" s="189"/>
      <c r="BV77" s="351"/>
      <c r="BW77" s="189"/>
      <c r="BX77" s="362"/>
      <c r="BY77" s="189">
        <f t="shared" si="39"/>
        <v>50.000000000000007</v>
      </c>
      <c r="BZ77" s="189">
        <f t="shared" si="39"/>
        <v>50.000000000000007</v>
      </c>
      <c r="CA77" s="496"/>
      <c r="CB77" s="496"/>
      <c r="CC77" s="496"/>
      <c r="CD77" s="496"/>
      <c r="CE77" s="496"/>
      <c r="CF77" s="189"/>
      <c r="CG77" s="582">
        <f t="shared" si="35"/>
        <v>-335</v>
      </c>
      <c r="CH77" s="582">
        <f t="shared" si="35"/>
        <v>3.8000000000000043</v>
      </c>
      <c r="CI77" s="582"/>
      <c r="CJ77" s="582">
        <f t="shared" si="36"/>
        <v>-338.8</v>
      </c>
      <c r="CL77" s="293">
        <f t="shared" si="40"/>
        <v>385</v>
      </c>
      <c r="CM77" s="199">
        <v>46.2</v>
      </c>
      <c r="CN77" s="199"/>
      <c r="CO77" s="199">
        <v>338.8</v>
      </c>
      <c r="CP77" s="199"/>
      <c r="CQ77" s="249"/>
      <c r="CR77" s="271"/>
    </row>
    <row r="78" spans="1:96" s="588" customFormat="1" ht="16.5" customHeight="1">
      <c r="A78" s="349"/>
      <c r="B78" s="526">
        <v>6869</v>
      </c>
      <c r="C78" s="309" t="s">
        <v>104</v>
      </c>
      <c r="D78" s="315"/>
      <c r="E78" s="362"/>
      <c r="F78" s="189">
        <f t="shared" si="37"/>
        <v>0</v>
      </c>
      <c r="G78" s="496">
        <v>0</v>
      </c>
      <c r="H78" s="496"/>
      <c r="I78" s="496"/>
      <c r="J78" s="496"/>
      <c r="K78" s="496"/>
      <c r="L78" s="298"/>
      <c r="M78" s="313"/>
      <c r="N78" s="439"/>
      <c r="O78" s="301" t="s">
        <v>26</v>
      </c>
      <c r="P78" s="189">
        <f>SUM(Q78:W78)</f>
        <v>4</v>
      </c>
      <c r="Q78" s="496">
        <v>4</v>
      </c>
      <c r="R78" s="496"/>
      <c r="S78" s="496"/>
      <c r="T78" s="496"/>
      <c r="U78" s="496"/>
      <c r="V78" s="496"/>
      <c r="W78" s="189"/>
      <c r="X78" s="439"/>
      <c r="Y78" s="362" t="s">
        <v>26</v>
      </c>
      <c r="Z78" s="189">
        <f t="shared" si="38"/>
        <v>6</v>
      </c>
      <c r="AA78" s="496">
        <v>6</v>
      </c>
      <c r="AB78" s="496"/>
      <c r="AC78" s="496"/>
      <c r="AD78" s="496"/>
      <c r="AE78" s="496"/>
      <c r="AF78" s="496"/>
      <c r="AG78" s="189"/>
      <c r="AH78" s="439"/>
      <c r="AI78" s="362" t="s">
        <v>26</v>
      </c>
      <c r="AJ78" s="189">
        <f>SUM(AK78:AQ78)</f>
        <v>5</v>
      </c>
      <c r="AK78" s="496">
        <v>5</v>
      </c>
      <c r="AL78" s="496"/>
      <c r="AM78" s="496"/>
      <c r="AN78" s="496"/>
      <c r="AO78" s="496"/>
      <c r="AP78" s="496"/>
      <c r="AQ78" s="189"/>
      <c r="AR78" s="439"/>
      <c r="AS78" s="362"/>
      <c r="AT78" s="189"/>
      <c r="AU78" s="225"/>
      <c r="AV78" s="496"/>
      <c r="AW78" s="496"/>
      <c r="AX78" s="496"/>
      <c r="AY78" s="496"/>
      <c r="AZ78" s="496"/>
      <c r="BA78" s="189"/>
      <c r="BB78" s="439"/>
      <c r="BC78" s="362"/>
      <c r="BD78" s="189"/>
      <c r="BE78" s="496"/>
      <c r="BF78" s="496"/>
      <c r="BG78" s="496"/>
      <c r="BH78" s="496"/>
      <c r="BI78" s="496"/>
      <c r="BJ78" s="496"/>
      <c r="BK78" s="189"/>
      <c r="BL78" s="439"/>
      <c r="BM78" s="362"/>
      <c r="BN78" s="189"/>
      <c r="BO78" s="496"/>
      <c r="BP78" s="496"/>
      <c r="BQ78" s="496"/>
      <c r="BR78" s="496"/>
      <c r="BS78" s="496"/>
      <c r="BT78" s="496"/>
      <c r="BU78" s="189"/>
      <c r="BV78" s="351"/>
      <c r="BW78" s="189"/>
      <c r="BX78" s="362"/>
      <c r="BY78" s="189">
        <f t="shared" si="39"/>
        <v>15</v>
      </c>
      <c r="BZ78" s="189">
        <f t="shared" si="39"/>
        <v>15</v>
      </c>
      <c r="CA78" s="496"/>
      <c r="CB78" s="496"/>
      <c r="CC78" s="496"/>
      <c r="CD78" s="496"/>
      <c r="CE78" s="496"/>
      <c r="CF78" s="189"/>
      <c r="CG78" s="582">
        <f t="shared" ref="CG78:CG101" si="41">BY78-CL71</f>
        <v>-370</v>
      </c>
      <c r="CH78" s="582">
        <f t="shared" ref="CH78:CH101" si="42">BZ78-CM71</f>
        <v>-31.200000000000003</v>
      </c>
      <c r="CI78" s="582"/>
      <c r="CJ78" s="582">
        <f t="shared" ref="CJ78:CJ101" si="43">CB78-CO71</f>
        <v>-338.8</v>
      </c>
      <c r="CL78" s="293">
        <f t="shared" si="40"/>
        <v>385</v>
      </c>
      <c r="CM78" s="199">
        <v>46.2</v>
      </c>
      <c r="CN78" s="199"/>
      <c r="CO78" s="199">
        <v>338.8</v>
      </c>
      <c r="CP78" s="199"/>
      <c r="CQ78" s="249"/>
      <c r="CR78" s="271"/>
    </row>
    <row r="79" spans="1:96" s="588" customFormat="1" ht="15" customHeight="1">
      <c r="A79" s="349"/>
      <c r="B79" s="350">
        <v>6900</v>
      </c>
      <c r="C79" s="322" t="s">
        <v>105</v>
      </c>
      <c r="D79" s="322"/>
      <c r="E79" s="322"/>
      <c r="F79" s="189"/>
      <c r="G79" s="496"/>
      <c r="H79" s="496"/>
      <c r="I79" s="496"/>
      <c r="J79" s="496"/>
      <c r="K79" s="496"/>
      <c r="L79" s="298"/>
      <c r="M79" s="313"/>
      <c r="N79" s="322"/>
      <c r="O79" s="323"/>
      <c r="P79" s="189"/>
      <c r="Q79" s="496"/>
      <c r="R79" s="496"/>
      <c r="S79" s="496"/>
      <c r="T79" s="496"/>
      <c r="U79" s="496"/>
      <c r="V79" s="496"/>
      <c r="W79" s="189"/>
      <c r="X79" s="322"/>
      <c r="Y79" s="322"/>
      <c r="Z79" s="189"/>
      <c r="AA79" s="496"/>
      <c r="AB79" s="496"/>
      <c r="AC79" s="496"/>
      <c r="AD79" s="496"/>
      <c r="AE79" s="496"/>
      <c r="AF79" s="496"/>
      <c r="AG79" s="189"/>
      <c r="AH79" s="322"/>
      <c r="AI79" s="322"/>
      <c r="AJ79" s="189"/>
      <c r="AK79" s="225"/>
      <c r="AL79" s="496"/>
      <c r="AM79" s="496"/>
      <c r="AN79" s="496"/>
      <c r="AO79" s="496"/>
      <c r="AP79" s="496"/>
      <c r="AQ79" s="189"/>
      <c r="AR79" s="322"/>
      <c r="AS79" s="322"/>
      <c r="AT79" s="189"/>
      <c r="AU79" s="225"/>
      <c r="AV79" s="496"/>
      <c r="AW79" s="496"/>
      <c r="AX79" s="496"/>
      <c r="AY79" s="496"/>
      <c r="AZ79" s="496"/>
      <c r="BA79" s="189"/>
      <c r="BB79" s="322"/>
      <c r="BC79" s="322"/>
      <c r="BD79" s="189"/>
      <c r="BE79" s="225"/>
      <c r="BF79" s="496"/>
      <c r="BG79" s="496"/>
      <c r="BH79" s="496"/>
      <c r="BI79" s="496"/>
      <c r="BJ79" s="496"/>
      <c r="BK79" s="189"/>
      <c r="BL79" s="322"/>
      <c r="BM79" s="322"/>
      <c r="BN79" s="189"/>
      <c r="BO79" s="225"/>
      <c r="BP79" s="496"/>
      <c r="BQ79" s="496"/>
      <c r="BR79" s="496"/>
      <c r="BS79" s="496"/>
      <c r="BT79" s="496"/>
      <c r="BU79" s="189"/>
      <c r="BV79" s="351"/>
      <c r="BW79" s="189"/>
      <c r="BX79" s="322"/>
      <c r="BY79" s="189"/>
      <c r="BZ79" s="225"/>
      <c r="CA79" s="496"/>
      <c r="CB79" s="496"/>
      <c r="CC79" s="496"/>
      <c r="CD79" s="496"/>
      <c r="CE79" s="496"/>
      <c r="CF79" s="189"/>
      <c r="CG79" s="582">
        <f t="shared" si="41"/>
        <v>0</v>
      </c>
      <c r="CH79" s="582">
        <f t="shared" si="42"/>
        <v>0</v>
      </c>
      <c r="CI79" s="582"/>
      <c r="CJ79" s="582">
        <f t="shared" si="43"/>
        <v>0</v>
      </c>
    </row>
    <row r="80" spans="1:96" s="588" customFormat="1" ht="15" customHeight="1">
      <c r="A80" s="349"/>
      <c r="B80" s="353">
        <v>6901</v>
      </c>
      <c r="C80" s="503" t="s">
        <v>106</v>
      </c>
      <c r="D80" s="503" t="s">
        <v>107</v>
      </c>
      <c r="E80" s="362" t="s">
        <v>26</v>
      </c>
      <c r="F80" s="189">
        <f>SUM(G80:M80)</f>
        <v>4649</v>
      </c>
      <c r="G80" s="496">
        <v>4649</v>
      </c>
      <c r="H80" s="496"/>
      <c r="I80" s="496"/>
      <c r="J80" s="496"/>
      <c r="K80" s="496"/>
      <c r="L80" s="298"/>
      <c r="M80" s="313"/>
      <c r="N80" s="438" t="s">
        <v>107</v>
      </c>
      <c r="O80" s="301" t="s">
        <v>26</v>
      </c>
      <c r="P80" s="189">
        <f>SUM(Q80:W80)</f>
        <v>0.65</v>
      </c>
      <c r="Q80" s="496">
        <v>0.65</v>
      </c>
      <c r="R80" s="496"/>
      <c r="S80" s="496"/>
      <c r="T80" s="496"/>
      <c r="U80" s="496"/>
      <c r="V80" s="496"/>
      <c r="W80" s="189"/>
      <c r="X80" s="438" t="s">
        <v>107</v>
      </c>
      <c r="Y80" s="362" t="s">
        <v>26</v>
      </c>
      <c r="Z80" s="189">
        <f>SUM(AA80:AG80)</f>
        <v>10841.26</v>
      </c>
      <c r="AA80" s="189">
        <v>10841.26</v>
      </c>
      <c r="AB80" s="496"/>
      <c r="AC80" s="496"/>
      <c r="AD80" s="496"/>
      <c r="AE80" s="496"/>
      <c r="AF80" s="496"/>
      <c r="AG80" s="189"/>
      <c r="AH80" s="438" t="s">
        <v>107</v>
      </c>
      <c r="AI80" s="362" t="s">
        <v>26</v>
      </c>
      <c r="AJ80" s="189">
        <f>SUM(AK80:AQ80)</f>
        <v>4577.87</v>
      </c>
      <c r="AK80" s="225">
        <v>4577.87</v>
      </c>
      <c r="AL80" s="496"/>
      <c r="AM80" s="496"/>
      <c r="AN80" s="496"/>
      <c r="AO80" s="496"/>
      <c r="AP80" s="496"/>
      <c r="AQ80" s="189"/>
      <c r="AR80" s="438" t="s">
        <v>107</v>
      </c>
      <c r="AS80" s="362"/>
      <c r="AT80" s="189">
        <f>SUM(AU80:BA80)</f>
        <v>3931.22</v>
      </c>
      <c r="AU80" s="225">
        <v>3931.22</v>
      </c>
      <c r="AV80" s="496"/>
      <c r="AW80" s="496"/>
      <c r="AX80" s="496"/>
      <c r="AY80" s="496"/>
      <c r="AZ80" s="496"/>
      <c r="BA80" s="189"/>
      <c r="BB80" s="438"/>
      <c r="BC80" s="362"/>
      <c r="BD80" s="189"/>
      <c r="BE80" s="225"/>
      <c r="BF80" s="496"/>
      <c r="BG80" s="496"/>
      <c r="BH80" s="496"/>
      <c r="BI80" s="496"/>
      <c r="BJ80" s="496"/>
      <c r="BK80" s="189"/>
      <c r="BL80" s="438"/>
      <c r="BM80" s="362"/>
      <c r="BN80" s="189"/>
      <c r="BO80" s="225"/>
      <c r="BP80" s="496"/>
      <c r="BQ80" s="496"/>
      <c r="BR80" s="496"/>
      <c r="BS80" s="496"/>
      <c r="BT80" s="496"/>
      <c r="BU80" s="189"/>
      <c r="BV80" s="351"/>
      <c r="BW80" s="189"/>
      <c r="BX80" s="362"/>
      <c r="BY80" s="189">
        <f>F80+P80+AA80+AJ80+AT80+BD80+BN80</f>
        <v>24000</v>
      </c>
      <c r="BZ80" s="189">
        <f>G80+Q80+AA80+AK80+AU80+BE80+BO80</f>
        <v>24000</v>
      </c>
      <c r="CA80" s="496"/>
      <c r="CB80" s="189">
        <f>I80+S80+AC80+AM80+AW80+BG80+BQ80</f>
        <v>0</v>
      </c>
      <c r="CC80" s="496"/>
      <c r="CD80" s="496"/>
      <c r="CE80" s="496"/>
      <c r="CF80" s="189"/>
      <c r="CG80" s="582">
        <f t="shared" si="41"/>
        <v>23615</v>
      </c>
      <c r="CH80" s="582">
        <f t="shared" si="42"/>
        <v>23953.8</v>
      </c>
      <c r="CI80" s="582"/>
      <c r="CJ80" s="582">
        <f t="shared" si="43"/>
        <v>-338.8</v>
      </c>
      <c r="CL80" s="293">
        <f>SUM(CM80:CR80)</f>
        <v>385</v>
      </c>
      <c r="CM80" s="199">
        <v>46.2</v>
      </c>
      <c r="CN80" s="199"/>
      <c r="CO80" s="199">
        <v>338.8</v>
      </c>
      <c r="CP80" s="192"/>
      <c r="CQ80" s="244"/>
      <c r="CR80" s="272"/>
    </row>
    <row r="81" spans="1:96" s="588" customFormat="1" ht="15.75" customHeight="1">
      <c r="A81" s="349"/>
      <c r="B81" s="350">
        <v>7000</v>
      </c>
      <c r="C81" s="392" t="s">
        <v>108</v>
      </c>
      <c r="D81" s="491"/>
      <c r="E81" s="491"/>
      <c r="F81" s="491"/>
      <c r="G81" s="491"/>
      <c r="H81" s="491"/>
      <c r="I81" s="491"/>
      <c r="J81" s="491"/>
      <c r="K81" s="491"/>
      <c r="L81" s="491"/>
      <c r="M81" s="491"/>
      <c r="N81" s="489"/>
      <c r="O81" s="491"/>
      <c r="P81" s="491"/>
      <c r="Q81" s="491"/>
      <c r="R81" s="491"/>
      <c r="S81" s="491"/>
      <c r="T81" s="491"/>
      <c r="U81" s="491"/>
      <c r="V81" s="492"/>
      <c r="W81" s="493"/>
      <c r="X81" s="489"/>
      <c r="Y81" s="492"/>
      <c r="Z81" s="492"/>
      <c r="AA81" s="493"/>
      <c r="AB81" s="496"/>
      <c r="AC81" s="496"/>
      <c r="AD81" s="496"/>
      <c r="AE81" s="496"/>
      <c r="AF81" s="496"/>
      <c r="AG81" s="189"/>
      <c r="AH81" s="489"/>
      <c r="AI81" s="317"/>
      <c r="AJ81" s="189"/>
      <c r="AK81" s="225"/>
      <c r="AL81" s="496"/>
      <c r="AM81" s="496"/>
      <c r="AN81" s="496"/>
      <c r="AO81" s="496"/>
      <c r="AP81" s="496"/>
      <c r="AQ81" s="189"/>
      <c r="AR81" s="489"/>
      <c r="AS81" s="317"/>
      <c r="AT81" s="189"/>
      <c r="AU81" s="225"/>
      <c r="AV81" s="496"/>
      <c r="AW81" s="496"/>
      <c r="AX81" s="496"/>
      <c r="AY81" s="496"/>
      <c r="AZ81" s="496"/>
      <c r="BA81" s="189"/>
      <c r="BB81" s="489"/>
      <c r="BC81" s="317"/>
      <c r="BD81" s="189"/>
      <c r="BE81" s="225"/>
      <c r="BF81" s="496"/>
      <c r="BG81" s="496"/>
      <c r="BH81" s="496"/>
      <c r="BI81" s="496"/>
      <c r="BJ81" s="496"/>
      <c r="BK81" s="189"/>
      <c r="BL81" s="489"/>
      <c r="BM81" s="317"/>
      <c r="BN81" s="189"/>
      <c r="BO81" s="225"/>
      <c r="BP81" s="496"/>
      <c r="BQ81" s="496"/>
      <c r="BR81" s="496"/>
      <c r="BS81" s="496"/>
      <c r="BT81" s="496"/>
      <c r="BU81" s="189"/>
      <c r="BV81" s="351"/>
      <c r="BW81" s="189"/>
      <c r="BX81" s="317"/>
      <c r="BY81" s="189"/>
      <c r="BZ81" s="225"/>
      <c r="CA81" s="496"/>
      <c r="CB81" s="496"/>
      <c r="CC81" s="496"/>
      <c r="CD81" s="496"/>
      <c r="CE81" s="496"/>
      <c r="CF81" s="189"/>
      <c r="CG81" s="582">
        <f t="shared" si="41"/>
        <v>-385</v>
      </c>
      <c r="CH81" s="582">
        <f t="shared" si="42"/>
        <v>-46.2</v>
      </c>
      <c r="CI81" s="582"/>
      <c r="CJ81" s="582">
        <f t="shared" si="43"/>
        <v>-338.8</v>
      </c>
    </row>
    <row r="82" spans="1:96" s="588" customFormat="1" ht="15.75" customHeight="1">
      <c r="A82" s="349"/>
      <c r="B82" s="355">
        <v>7041</v>
      </c>
      <c r="C82" s="392" t="s">
        <v>68</v>
      </c>
      <c r="D82" s="491"/>
      <c r="E82" s="491"/>
      <c r="F82" s="491"/>
      <c r="G82" s="491"/>
      <c r="H82" s="491"/>
      <c r="I82" s="491"/>
      <c r="J82" s="491"/>
      <c r="K82" s="491"/>
      <c r="L82" s="491"/>
      <c r="M82" s="491"/>
      <c r="N82" s="489"/>
      <c r="O82" s="491"/>
      <c r="P82" s="491"/>
      <c r="Q82" s="494"/>
      <c r="R82" s="491"/>
      <c r="S82" s="494"/>
      <c r="T82" s="491"/>
      <c r="U82" s="491"/>
      <c r="V82" s="492"/>
      <c r="W82" s="493"/>
      <c r="X82" s="489"/>
      <c r="Y82" s="492"/>
      <c r="Z82" s="492"/>
      <c r="AA82" s="493"/>
      <c r="AB82" s="496"/>
      <c r="AC82" s="496"/>
      <c r="AD82" s="496"/>
      <c r="AE82" s="496"/>
      <c r="AF82" s="496"/>
      <c r="AG82" s="189"/>
      <c r="AH82" s="489"/>
      <c r="AI82" s="317"/>
      <c r="AJ82" s="189"/>
      <c r="AK82" s="496"/>
      <c r="AL82" s="496"/>
      <c r="AM82" s="496"/>
      <c r="AN82" s="496"/>
      <c r="AO82" s="496"/>
      <c r="AP82" s="496"/>
      <c r="AQ82" s="189"/>
      <c r="AR82" s="489"/>
      <c r="AS82" s="317"/>
      <c r="AT82" s="189"/>
      <c r="AU82" s="225"/>
      <c r="AV82" s="496"/>
      <c r="AW82" s="496"/>
      <c r="AX82" s="496"/>
      <c r="AY82" s="496"/>
      <c r="AZ82" s="496"/>
      <c r="BA82" s="189"/>
      <c r="BB82" s="489"/>
      <c r="BC82" s="317"/>
      <c r="BD82" s="189"/>
      <c r="BE82" s="496"/>
      <c r="BF82" s="496"/>
      <c r="BG82" s="496"/>
      <c r="BH82" s="496"/>
      <c r="BI82" s="496"/>
      <c r="BJ82" s="496"/>
      <c r="BK82" s="189"/>
      <c r="BL82" s="489"/>
      <c r="BM82" s="317"/>
      <c r="BN82" s="189"/>
      <c r="BO82" s="496"/>
      <c r="BP82" s="496"/>
      <c r="BQ82" s="496"/>
      <c r="BR82" s="496"/>
      <c r="BS82" s="496"/>
      <c r="BT82" s="496"/>
      <c r="BU82" s="189"/>
      <c r="BV82" s="351"/>
      <c r="BW82" s="189"/>
      <c r="BX82" s="317"/>
      <c r="BY82" s="189"/>
      <c r="BZ82" s="496"/>
      <c r="CA82" s="496"/>
      <c r="CB82" s="496"/>
      <c r="CC82" s="496"/>
      <c r="CD82" s="496"/>
      <c r="CE82" s="496"/>
      <c r="CF82" s="189"/>
      <c r="CG82" s="582">
        <f t="shared" si="41"/>
        <v>-385</v>
      </c>
      <c r="CH82" s="582">
        <f t="shared" si="42"/>
        <v>-46.2</v>
      </c>
      <c r="CI82" s="582"/>
      <c r="CJ82" s="582">
        <f t="shared" si="43"/>
        <v>-338.8</v>
      </c>
    </row>
    <row r="83" spans="1:96" s="588" customFormat="1" ht="17.25" customHeight="1">
      <c r="A83" s="349"/>
      <c r="B83" s="357"/>
      <c r="C83" s="310" t="s">
        <v>376</v>
      </c>
      <c r="D83" s="310"/>
      <c r="E83" s="310"/>
      <c r="F83" s="189"/>
      <c r="G83" s="496"/>
      <c r="H83" s="496"/>
      <c r="I83" s="496"/>
      <c r="J83" s="496"/>
      <c r="K83" s="496"/>
      <c r="L83" s="298"/>
      <c r="M83" s="313"/>
      <c r="N83" s="438"/>
      <c r="O83" s="301"/>
      <c r="P83" s="189"/>
      <c r="Q83" s="496"/>
      <c r="R83" s="496"/>
      <c r="S83" s="496"/>
      <c r="T83" s="496"/>
      <c r="U83" s="496"/>
      <c r="V83" s="496"/>
      <c r="W83" s="189"/>
      <c r="X83" s="438" t="s">
        <v>102</v>
      </c>
      <c r="Y83" s="362" t="s">
        <v>26</v>
      </c>
      <c r="Z83" s="189">
        <f>SUM(AA83:AG83)</f>
        <v>375</v>
      </c>
      <c r="AA83" s="496">
        <v>45</v>
      </c>
      <c r="AB83" s="496"/>
      <c r="AC83" s="496">
        <v>330</v>
      </c>
      <c r="AD83" s="496"/>
      <c r="AE83" s="496"/>
      <c r="AF83" s="496"/>
      <c r="AG83" s="189"/>
      <c r="AH83" s="438" t="s">
        <v>102</v>
      </c>
      <c r="AI83" s="362" t="s">
        <v>26</v>
      </c>
      <c r="AJ83" s="189">
        <f>SUM(AK83:AQ83)</f>
        <v>190</v>
      </c>
      <c r="AK83" s="496">
        <v>22.8</v>
      </c>
      <c r="AL83" s="496"/>
      <c r="AM83" s="496">
        <v>167.2</v>
      </c>
      <c r="AN83" s="496"/>
      <c r="AO83" s="496"/>
      <c r="AP83" s="496"/>
      <c r="AQ83" s="189"/>
      <c r="AR83" s="438"/>
      <c r="AS83" s="362"/>
      <c r="AT83" s="189"/>
      <c r="AU83" s="225"/>
      <c r="AV83" s="496"/>
      <c r="AW83" s="496"/>
      <c r="AX83" s="496"/>
      <c r="AY83" s="496"/>
      <c r="AZ83" s="496"/>
      <c r="BA83" s="189"/>
      <c r="BB83" s="438"/>
      <c r="BC83" s="362"/>
      <c r="BD83" s="189"/>
      <c r="BE83" s="496"/>
      <c r="BF83" s="496"/>
      <c r="BG83" s="496"/>
      <c r="BH83" s="496"/>
      <c r="BI83" s="496"/>
      <c r="BJ83" s="496"/>
      <c r="BK83" s="189"/>
      <c r="BL83" s="438"/>
      <c r="BM83" s="362"/>
      <c r="BN83" s="189"/>
      <c r="BO83" s="496"/>
      <c r="BP83" s="496"/>
      <c r="BQ83" s="496"/>
      <c r="BR83" s="496"/>
      <c r="BS83" s="496"/>
      <c r="BT83" s="496"/>
      <c r="BU83" s="189"/>
      <c r="BV83" s="351"/>
      <c r="BW83" s="189"/>
      <c r="BX83" s="362"/>
      <c r="BY83" s="189">
        <f>F83+P83+Z83+AJ83+AT83+BD83+BN83</f>
        <v>565</v>
      </c>
      <c r="BZ83" s="189">
        <f>G83+Q83+AA83+AK83+AU83+BE83+BO83</f>
        <v>67.8</v>
      </c>
      <c r="CA83" s="496"/>
      <c r="CB83" s="189">
        <f>I83+S83+AC83+AM83+AW83+BG83+BQ83</f>
        <v>497.2</v>
      </c>
      <c r="CC83" s="496"/>
      <c r="CD83" s="496"/>
      <c r="CE83" s="496"/>
      <c r="CF83" s="189"/>
      <c r="CG83" s="582">
        <f t="shared" si="41"/>
        <v>180</v>
      </c>
      <c r="CH83" s="582">
        <f t="shared" si="42"/>
        <v>21.599999999999994</v>
      </c>
      <c r="CI83" s="582"/>
      <c r="CJ83" s="582">
        <f t="shared" si="43"/>
        <v>158.39999999999998</v>
      </c>
      <c r="CL83" s="240">
        <f t="shared" ref="CL83:CL96" si="44">SUM(CM83:CR83)</f>
        <v>375</v>
      </c>
      <c r="CM83" s="206">
        <v>45</v>
      </c>
      <c r="CN83" s="199"/>
      <c r="CO83" s="206">
        <v>330</v>
      </c>
      <c r="CP83" s="199"/>
      <c r="CQ83" s="249"/>
      <c r="CR83" s="271"/>
    </row>
    <row r="84" spans="1:96" s="588" customFormat="1" ht="17.25" customHeight="1">
      <c r="A84" s="349"/>
      <c r="B84" s="357"/>
      <c r="C84" s="310" t="s">
        <v>377</v>
      </c>
      <c r="D84" s="310" t="s">
        <v>70</v>
      </c>
      <c r="E84" s="362" t="s">
        <v>26</v>
      </c>
      <c r="F84" s="189">
        <f>SUM(G84:M84)</f>
        <v>167.62</v>
      </c>
      <c r="G84" s="496">
        <v>19.690000000000001</v>
      </c>
      <c r="H84" s="496"/>
      <c r="I84" s="496">
        <v>147.93</v>
      </c>
      <c r="J84" s="496"/>
      <c r="K84" s="496"/>
      <c r="L84" s="298"/>
      <c r="M84" s="313"/>
      <c r="N84" s="438" t="s">
        <v>70</v>
      </c>
      <c r="O84" s="301" t="s">
        <v>26</v>
      </c>
      <c r="P84" s="189">
        <f>SUM(Q84:W84)</f>
        <v>1012.3800000000001</v>
      </c>
      <c r="Q84" s="496">
        <v>160.31</v>
      </c>
      <c r="R84" s="496"/>
      <c r="S84" s="496">
        <v>852.07</v>
      </c>
      <c r="T84" s="496"/>
      <c r="U84" s="496"/>
      <c r="V84" s="496"/>
      <c r="W84" s="189"/>
      <c r="X84" s="438" t="s">
        <v>70</v>
      </c>
      <c r="Y84" s="362" t="s">
        <v>26</v>
      </c>
      <c r="Z84" s="189">
        <f>SUM(AA84:AG84)</f>
        <v>2840.88</v>
      </c>
      <c r="AA84" s="496">
        <v>340.88</v>
      </c>
      <c r="AB84" s="496"/>
      <c r="AC84" s="496">
        <v>2500</v>
      </c>
      <c r="AD84" s="496"/>
      <c r="AE84" s="496"/>
      <c r="AF84" s="496"/>
      <c r="AG84" s="189"/>
      <c r="AH84" s="438" t="s">
        <v>70</v>
      </c>
      <c r="AI84" s="362" t="s">
        <v>26</v>
      </c>
      <c r="AJ84" s="189">
        <f>SUM(AK84:AQ84)</f>
        <v>11233</v>
      </c>
      <c r="AK84" s="496">
        <v>1348</v>
      </c>
      <c r="AL84" s="496"/>
      <c r="AM84" s="496">
        <v>9885</v>
      </c>
      <c r="AN84" s="496"/>
      <c r="AO84" s="496"/>
      <c r="AP84" s="496"/>
      <c r="AQ84" s="189"/>
      <c r="AR84" s="438" t="s">
        <v>70</v>
      </c>
      <c r="AS84" s="362" t="s">
        <v>26</v>
      </c>
      <c r="AT84" s="189">
        <f>SUM(AU84:BA84)</f>
        <v>1527.12</v>
      </c>
      <c r="AU84" s="225">
        <v>144.84</v>
      </c>
      <c r="AV84" s="496"/>
      <c r="AW84" s="496">
        <v>1382.28</v>
      </c>
      <c r="AX84" s="496"/>
      <c r="AY84" s="496"/>
      <c r="AZ84" s="496"/>
      <c r="BA84" s="189"/>
      <c r="BB84" s="438"/>
      <c r="BC84" s="362"/>
      <c r="BD84" s="189"/>
      <c r="BE84" s="496"/>
      <c r="BF84" s="496"/>
      <c r="BG84" s="496"/>
      <c r="BH84" s="496"/>
      <c r="BI84" s="496"/>
      <c r="BJ84" s="496"/>
      <c r="BK84" s="189"/>
      <c r="BL84" s="438"/>
      <c r="BM84" s="362"/>
      <c r="BN84" s="189"/>
      <c r="BO84" s="496"/>
      <c r="BP84" s="496"/>
      <c r="BQ84" s="496"/>
      <c r="BR84" s="496"/>
      <c r="BS84" s="496"/>
      <c r="BT84" s="496"/>
      <c r="BU84" s="189"/>
      <c r="BV84" s="351"/>
      <c r="BW84" s="189"/>
      <c r="BX84" s="362"/>
      <c r="BY84" s="189">
        <f>F84+P84+Z84+AJ84+AT84+BD84+BN84</f>
        <v>16781</v>
      </c>
      <c r="BZ84" s="189">
        <f>G84+Q84+AA84+AK84+AU84+BE84+BO84</f>
        <v>2013.72</v>
      </c>
      <c r="CA84" s="496"/>
      <c r="CB84" s="189">
        <f>I84+S84+AC84+AM84+AW84+BG84+BQ84</f>
        <v>14767.28</v>
      </c>
      <c r="CC84" s="496"/>
      <c r="CD84" s="496"/>
      <c r="CE84" s="496"/>
      <c r="CF84" s="189"/>
      <c r="CG84" s="582">
        <f t="shared" si="41"/>
        <v>16396</v>
      </c>
      <c r="CH84" s="582">
        <f t="shared" si="42"/>
        <v>1967.52</v>
      </c>
      <c r="CI84" s="582"/>
      <c r="CJ84" s="582">
        <f t="shared" si="43"/>
        <v>14428.480000000001</v>
      </c>
      <c r="CL84" s="293">
        <f t="shared" si="44"/>
        <v>385</v>
      </c>
      <c r="CM84" s="199">
        <v>46.2</v>
      </c>
      <c r="CN84" s="199"/>
      <c r="CO84" s="199">
        <v>338.8</v>
      </c>
      <c r="CP84" s="199"/>
      <c r="CQ84" s="249"/>
      <c r="CR84" s="271"/>
    </row>
    <row r="85" spans="1:96" s="588" customFormat="1" ht="17.25" customHeight="1">
      <c r="A85" s="349"/>
      <c r="B85" s="357"/>
      <c r="C85" s="310" t="s">
        <v>378</v>
      </c>
      <c r="D85" s="310" t="s">
        <v>114</v>
      </c>
      <c r="E85" s="362" t="s">
        <v>26</v>
      </c>
      <c r="F85" s="189">
        <f>SUM(G85:M85)</f>
        <v>482.08000000000004</v>
      </c>
      <c r="G85" s="496">
        <v>57.86</v>
      </c>
      <c r="H85" s="496"/>
      <c r="I85" s="496">
        <v>424.22</v>
      </c>
      <c r="J85" s="496"/>
      <c r="K85" s="496"/>
      <c r="L85" s="298"/>
      <c r="M85" s="313"/>
      <c r="N85" s="438" t="s">
        <v>114</v>
      </c>
      <c r="O85" s="301" t="s">
        <v>26</v>
      </c>
      <c r="P85" s="189">
        <f>SUM(Q85:W85)</f>
        <v>497.91999999999996</v>
      </c>
      <c r="Q85" s="496">
        <v>72.14</v>
      </c>
      <c r="R85" s="496"/>
      <c r="S85" s="496">
        <v>425.78</v>
      </c>
      <c r="T85" s="496"/>
      <c r="U85" s="496"/>
      <c r="V85" s="496"/>
      <c r="W85" s="189"/>
      <c r="X85" s="438" t="s">
        <v>114</v>
      </c>
      <c r="Y85" s="362" t="s">
        <v>26</v>
      </c>
      <c r="Z85" s="189">
        <f>SUM(AA85:AG85)</f>
        <v>2840</v>
      </c>
      <c r="AA85" s="496">
        <v>340</v>
      </c>
      <c r="AB85" s="496"/>
      <c r="AC85" s="496">
        <v>2500</v>
      </c>
      <c r="AD85" s="496"/>
      <c r="AE85" s="496"/>
      <c r="AF85" s="496"/>
      <c r="AG85" s="189"/>
      <c r="AH85" s="438" t="s">
        <v>114</v>
      </c>
      <c r="AI85" s="362" t="s">
        <v>26</v>
      </c>
      <c r="AJ85" s="189">
        <f>SUM(AK85:AQ85)</f>
        <v>921.06000000000006</v>
      </c>
      <c r="AK85" s="496">
        <v>109.7</v>
      </c>
      <c r="AL85" s="496"/>
      <c r="AM85" s="496">
        <v>811.36</v>
      </c>
      <c r="AN85" s="496"/>
      <c r="AO85" s="496"/>
      <c r="AP85" s="496"/>
      <c r="AQ85" s="189"/>
      <c r="AR85" s="438" t="s">
        <v>114</v>
      </c>
      <c r="AS85" s="362" t="s">
        <v>26</v>
      </c>
      <c r="AT85" s="189">
        <f>SUM(AU85:BA85)</f>
        <v>3488.05</v>
      </c>
      <c r="AU85" s="225">
        <v>368.54</v>
      </c>
      <c r="AV85" s="496"/>
      <c r="AW85" s="496">
        <v>3119.51</v>
      </c>
      <c r="AX85" s="496"/>
      <c r="AY85" s="496"/>
      <c r="AZ85" s="496"/>
      <c r="BA85" s="189"/>
      <c r="BB85" s="438" t="s">
        <v>114</v>
      </c>
      <c r="BC85" s="362" t="s">
        <v>26</v>
      </c>
      <c r="BD85" s="189">
        <f>SUM(BE85:BK85)</f>
        <v>3233.8900000000003</v>
      </c>
      <c r="BE85" s="496">
        <v>427.32</v>
      </c>
      <c r="BF85" s="496"/>
      <c r="BG85" s="496">
        <v>2806.57</v>
      </c>
      <c r="BH85" s="496"/>
      <c r="BI85" s="496"/>
      <c r="BJ85" s="496"/>
      <c r="BK85" s="189"/>
      <c r="BL85" s="438"/>
      <c r="BM85" s="362"/>
      <c r="BN85" s="189"/>
      <c r="BO85" s="496"/>
      <c r="BP85" s="496"/>
      <c r="BQ85" s="496"/>
      <c r="BR85" s="496"/>
      <c r="BS85" s="496"/>
      <c r="BT85" s="496"/>
      <c r="BU85" s="189"/>
      <c r="BV85" s="351"/>
      <c r="BW85" s="189"/>
      <c r="BX85" s="362"/>
      <c r="BY85" s="189">
        <f>P85+Z85+AJ85+AT85+BD85+BN85+F85</f>
        <v>11463.000000000002</v>
      </c>
      <c r="BZ85" s="189">
        <f>Q85+AA85+AK85+AU85+BE85+BO85+G85</f>
        <v>1375.56</v>
      </c>
      <c r="CA85" s="496"/>
      <c r="CB85" s="189">
        <f>S85+AC85+AM85+AW85+BG85+BQ85+I85</f>
        <v>10087.439999999999</v>
      </c>
      <c r="CC85" s="496"/>
      <c r="CD85" s="496"/>
      <c r="CE85" s="496"/>
      <c r="CF85" s="189"/>
      <c r="CG85" s="582">
        <f t="shared" si="41"/>
        <v>11078.000000000002</v>
      </c>
      <c r="CH85" s="582">
        <f t="shared" si="42"/>
        <v>1329.36</v>
      </c>
      <c r="CI85" s="582"/>
      <c r="CJ85" s="582">
        <f t="shared" si="43"/>
        <v>9748.64</v>
      </c>
      <c r="CL85" s="293">
        <f t="shared" si="44"/>
        <v>385</v>
      </c>
      <c r="CM85" s="199">
        <v>46.2</v>
      </c>
      <c r="CN85" s="199"/>
      <c r="CO85" s="199">
        <v>338.8</v>
      </c>
      <c r="CP85" s="199"/>
      <c r="CQ85" s="249"/>
      <c r="CR85" s="271"/>
    </row>
    <row r="86" spans="1:96" s="588" customFormat="1" ht="17.25" customHeight="1">
      <c r="A86" s="349"/>
      <c r="B86" s="357"/>
      <c r="C86" s="310" t="s">
        <v>379</v>
      </c>
      <c r="D86" s="310"/>
      <c r="E86" s="310"/>
      <c r="F86" s="189"/>
      <c r="G86" s="496"/>
      <c r="H86" s="496"/>
      <c r="I86" s="496"/>
      <c r="J86" s="496"/>
      <c r="K86" s="496"/>
      <c r="L86" s="298"/>
      <c r="M86" s="313"/>
      <c r="N86" s="438"/>
      <c r="O86" s="301"/>
      <c r="P86" s="189"/>
      <c r="Q86" s="496"/>
      <c r="R86" s="496"/>
      <c r="S86" s="496"/>
      <c r="T86" s="496"/>
      <c r="U86" s="496"/>
      <c r="V86" s="496"/>
      <c r="W86" s="189"/>
      <c r="X86" s="438"/>
      <c r="Y86" s="362"/>
      <c r="Z86" s="189"/>
      <c r="AA86" s="496"/>
      <c r="AB86" s="496"/>
      <c r="AC86" s="496"/>
      <c r="AD86" s="496"/>
      <c r="AE86" s="496"/>
      <c r="AF86" s="496"/>
      <c r="AG86" s="189"/>
      <c r="AH86" s="438" t="s">
        <v>70</v>
      </c>
      <c r="AI86" s="362">
        <v>45</v>
      </c>
      <c r="AJ86" s="189">
        <f>SUM(AK86:AQ86)</f>
        <v>1350</v>
      </c>
      <c r="AK86" s="496">
        <v>162</v>
      </c>
      <c r="AL86" s="496"/>
      <c r="AM86" s="496">
        <v>1188</v>
      </c>
      <c r="AN86" s="496"/>
      <c r="AO86" s="496"/>
      <c r="AP86" s="496"/>
      <c r="AQ86" s="189"/>
      <c r="AR86" s="438"/>
      <c r="AS86" s="362"/>
      <c r="AT86" s="189"/>
      <c r="AU86" s="225"/>
      <c r="AV86" s="496"/>
      <c r="AW86" s="496"/>
      <c r="AX86" s="496"/>
      <c r="AY86" s="496"/>
      <c r="AZ86" s="496"/>
      <c r="BA86" s="189"/>
      <c r="BB86" s="438"/>
      <c r="BC86" s="362"/>
      <c r="BD86" s="189"/>
      <c r="BE86" s="496"/>
      <c r="BF86" s="496"/>
      <c r="BG86" s="496"/>
      <c r="BH86" s="496"/>
      <c r="BI86" s="496"/>
      <c r="BJ86" s="496"/>
      <c r="BK86" s="189"/>
      <c r="BL86" s="438"/>
      <c r="BM86" s="362"/>
      <c r="BN86" s="189"/>
      <c r="BO86" s="496"/>
      <c r="BP86" s="496"/>
      <c r="BQ86" s="496"/>
      <c r="BR86" s="496"/>
      <c r="BS86" s="496"/>
      <c r="BT86" s="496"/>
      <c r="BU86" s="189"/>
      <c r="BV86" s="351"/>
      <c r="BW86" s="189"/>
      <c r="BX86" s="362"/>
      <c r="BY86" s="189">
        <f>F86+P86+Z86+AJ86+AT86+BD86+BN86</f>
        <v>1350</v>
      </c>
      <c r="BZ86" s="189">
        <f>G86+Q86+AA86+AK86+AU86+BE86+BO86</f>
        <v>162</v>
      </c>
      <c r="CA86" s="496"/>
      <c r="CB86" s="189">
        <f>I86+S86+AC86+AM86+AW86+BG86+BQ86</f>
        <v>1188</v>
      </c>
      <c r="CC86" s="496"/>
      <c r="CD86" s="496"/>
      <c r="CE86" s="496"/>
      <c r="CF86" s="189"/>
      <c r="CG86" s="582">
        <f t="shared" si="41"/>
        <v>1350</v>
      </c>
      <c r="CH86" s="582">
        <f t="shared" si="42"/>
        <v>162</v>
      </c>
      <c r="CI86" s="582"/>
      <c r="CJ86" s="582">
        <f t="shared" si="43"/>
        <v>1188</v>
      </c>
      <c r="CL86" s="293">
        <f t="shared" si="44"/>
        <v>385</v>
      </c>
      <c r="CM86" s="199">
        <v>46.2</v>
      </c>
      <c r="CN86" s="199"/>
      <c r="CO86" s="199">
        <v>338.8</v>
      </c>
      <c r="CP86" s="199"/>
      <c r="CQ86" s="249"/>
      <c r="CR86" s="271"/>
    </row>
    <row r="87" spans="1:96" s="588" customFormat="1" ht="17.25" customHeight="1">
      <c r="A87" s="349"/>
      <c r="B87" s="359"/>
      <c r="C87" s="310" t="s">
        <v>110</v>
      </c>
      <c r="D87" s="310"/>
      <c r="E87" s="310"/>
      <c r="F87" s="189"/>
      <c r="G87" s="496"/>
      <c r="H87" s="496"/>
      <c r="I87" s="496"/>
      <c r="J87" s="496"/>
      <c r="K87" s="496"/>
      <c r="L87" s="298"/>
      <c r="M87" s="313"/>
      <c r="N87" s="438"/>
      <c r="O87" s="301"/>
      <c r="P87" s="189"/>
      <c r="Q87" s="496"/>
      <c r="R87" s="496"/>
      <c r="S87" s="496"/>
      <c r="T87" s="496"/>
      <c r="U87" s="496"/>
      <c r="V87" s="496"/>
      <c r="W87" s="189"/>
      <c r="X87" s="438"/>
      <c r="Y87" s="362"/>
      <c r="Z87" s="189"/>
      <c r="AA87" s="496"/>
      <c r="AB87" s="496"/>
      <c r="AC87" s="496"/>
      <c r="AD87" s="496"/>
      <c r="AE87" s="496"/>
      <c r="AF87" s="496"/>
      <c r="AG87" s="189"/>
      <c r="AH87" s="438" t="s">
        <v>70</v>
      </c>
      <c r="AI87" s="362">
        <v>131</v>
      </c>
      <c r="AJ87" s="189">
        <f>SUM(AK87:AQ87)</f>
        <v>1310</v>
      </c>
      <c r="AK87" s="496">
        <v>157.19999999999999</v>
      </c>
      <c r="AL87" s="496"/>
      <c r="AM87" s="496">
        <v>1152.8</v>
      </c>
      <c r="AN87" s="496"/>
      <c r="AO87" s="496"/>
      <c r="AP87" s="496"/>
      <c r="AQ87" s="189"/>
      <c r="AR87" s="438"/>
      <c r="AS87" s="362"/>
      <c r="AT87" s="189"/>
      <c r="AU87" s="225"/>
      <c r="AV87" s="496"/>
      <c r="AW87" s="496"/>
      <c r="AX87" s="496"/>
      <c r="AY87" s="496"/>
      <c r="AZ87" s="496"/>
      <c r="BA87" s="189"/>
      <c r="BB87" s="438"/>
      <c r="BC87" s="362"/>
      <c r="BD87" s="189"/>
      <c r="BE87" s="496"/>
      <c r="BF87" s="496"/>
      <c r="BG87" s="496"/>
      <c r="BH87" s="496"/>
      <c r="BI87" s="496"/>
      <c r="BJ87" s="496"/>
      <c r="BK87" s="189"/>
      <c r="BL87" s="438"/>
      <c r="BM87" s="362"/>
      <c r="BN87" s="189"/>
      <c r="BO87" s="496"/>
      <c r="BP87" s="496"/>
      <c r="BQ87" s="496"/>
      <c r="BR87" s="496"/>
      <c r="BS87" s="496"/>
      <c r="BT87" s="496"/>
      <c r="BU87" s="189"/>
      <c r="BV87" s="351"/>
      <c r="BW87" s="189"/>
      <c r="BX87" s="362"/>
      <c r="BY87" s="189">
        <f>F87+P87+Z87+AJ87+AT87+BD87+BN87</f>
        <v>1310</v>
      </c>
      <c r="BZ87" s="189">
        <f>G87+Q87+AA87+AK87+AU87+BE87+BO87</f>
        <v>157.19999999999999</v>
      </c>
      <c r="CA87" s="496"/>
      <c r="CB87" s="189">
        <f>I87+S87+AC87+AM87+AW87+BG87+BQ87</f>
        <v>1152.8</v>
      </c>
      <c r="CC87" s="496"/>
      <c r="CD87" s="496"/>
      <c r="CE87" s="496"/>
      <c r="CF87" s="189"/>
      <c r="CG87" s="582">
        <f t="shared" si="41"/>
        <v>925</v>
      </c>
      <c r="CH87" s="582">
        <f t="shared" si="42"/>
        <v>110.99999999999999</v>
      </c>
      <c r="CI87" s="582"/>
      <c r="CJ87" s="582">
        <f t="shared" si="43"/>
        <v>814</v>
      </c>
      <c r="CL87" s="293">
        <f t="shared" si="44"/>
        <v>385</v>
      </c>
      <c r="CM87" s="199">
        <v>46.2</v>
      </c>
      <c r="CN87" s="199"/>
      <c r="CO87" s="199">
        <v>338.8</v>
      </c>
      <c r="CP87" s="199"/>
      <c r="CQ87" s="249"/>
      <c r="CR87" s="271"/>
    </row>
    <row r="88" spans="1:96" s="588" customFormat="1" ht="15.75" customHeight="1">
      <c r="A88" s="349"/>
      <c r="B88" s="356">
        <v>7081</v>
      </c>
      <c r="C88" s="576" t="s">
        <v>115</v>
      </c>
      <c r="D88" s="576"/>
      <c r="E88" s="576"/>
      <c r="F88" s="189"/>
      <c r="G88" s="496"/>
      <c r="H88" s="496"/>
      <c r="I88" s="496"/>
      <c r="J88" s="496"/>
      <c r="K88" s="496"/>
      <c r="L88" s="298"/>
      <c r="M88" s="313"/>
      <c r="N88" s="322"/>
      <c r="O88" s="324"/>
      <c r="P88" s="189"/>
      <c r="Q88" s="496"/>
      <c r="R88" s="496"/>
      <c r="S88" s="496"/>
      <c r="T88" s="496"/>
      <c r="U88" s="496"/>
      <c r="V88" s="496"/>
      <c r="W88" s="189"/>
      <c r="X88" s="322"/>
      <c r="Y88" s="576"/>
      <c r="Z88" s="189"/>
      <c r="AA88" s="496"/>
      <c r="AB88" s="496"/>
      <c r="AC88" s="496"/>
      <c r="AD88" s="496"/>
      <c r="AE88" s="496"/>
      <c r="AF88" s="496"/>
      <c r="AG88" s="189"/>
      <c r="AH88" s="322"/>
      <c r="AI88" s="576"/>
      <c r="AJ88" s="189"/>
      <c r="AK88" s="225"/>
      <c r="AL88" s="496"/>
      <c r="AM88" s="496"/>
      <c r="AN88" s="496"/>
      <c r="AO88" s="496"/>
      <c r="AP88" s="496"/>
      <c r="AQ88" s="189"/>
      <c r="AR88" s="322"/>
      <c r="AS88" s="576"/>
      <c r="AT88" s="189"/>
      <c r="AU88" s="225"/>
      <c r="AV88" s="496"/>
      <c r="AW88" s="496"/>
      <c r="AX88" s="496"/>
      <c r="AY88" s="496"/>
      <c r="AZ88" s="496"/>
      <c r="BA88" s="189"/>
      <c r="BB88" s="322"/>
      <c r="BC88" s="576"/>
      <c r="BD88" s="189"/>
      <c r="BE88" s="225"/>
      <c r="BF88" s="496"/>
      <c r="BG88" s="496"/>
      <c r="BH88" s="496"/>
      <c r="BI88" s="496"/>
      <c r="BJ88" s="496"/>
      <c r="BK88" s="189"/>
      <c r="BL88" s="322"/>
      <c r="BM88" s="576"/>
      <c r="BN88" s="189"/>
      <c r="BO88" s="225"/>
      <c r="BP88" s="496"/>
      <c r="BQ88" s="496"/>
      <c r="BR88" s="496"/>
      <c r="BS88" s="496"/>
      <c r="BT88" s="496"/>
      <c r="BU88" s="189"/>
      <c r="BV88" s="351"/>
      <c r="BW88" s="189"/>
      <c r="BX88" s="576"/>
      <c r="BY88" s="189"/>
      <c r="BZ88" s="225"/>
      <c r="CA88" s="496"/>
      <c r="CB88" s="496"/>
      <c r="CC88" s="496"/>
      <c r="CD88" s="496"/>
      <c r="CE88" s="496"/>
      <c r="CF88" s="189"/>
      <c r="CG88" s="582">
        <f t="shared" si="41"/>
        <v>0</v>
      </c>
      <c r="CH88" s="582">
        <f t="shared" si="42"/>
        <v>0</v>
      </c>
      <c r="CI88" s="582"/>
      <c r="CJ88" s="582">
        <f t="shared" si="43"/>
        <v>0</v>
      </c>
      <c r="CL88" s="293">
        <f t="shared" si="44"/>
        <v>385</v>
      </c>
      <c r="CM88" s="199">
        <v>46.2</v>
      </c>
      <c r="CN88" s="199"/>
      <c r="CO88" s="199">
        <v>338.8</v>
      </c>
      <c r="CP88" s="199"/>
      <c r="CQ88" s="249"/>
      <c r="CR88" s="271"/>
    </row>
    <row r="89" spans="1:96" s="588" customFormat="1" ht="16.5" customHeight="1">
      <c r="A89" s="349"/>
      <c r="B89" s="357"/>
      <c r="C89" s="310" t="s">
        <v>380</v>
      </c>
      <c r="D89" s="310"/>
      <c r="E89" s="310"/>
      <c r="F89" s="189"/>
      <c r="G89" s="496"/>
      <c r="H89" s="496"/>
      <c r="I89" s="496"/>
      <c r="J89" s="496"/>
      <c r="K89" s="496"/>
      <c r="L89" s="298"/>
      <c r="M89" s="313"/>
      <c r="N89" s="438"/>
      <c r="O89" s="301"/>
      <c r="P89" s="189"/>
      <c r="Q89" s="496"/>
      <c r="R89" s="496"/>
      <c r="S89" s="496"/>
      <c r="T89" s="496"/>
      <c r="U89" s="496"/>
      <c r="V89" s="496"/>
      <c r="W89" s="189"/>
      <c r="X89" s="438" t="s">
        <v>114</v>
      </c>
      <c r="Y89" s="362" t="s">
        <v>26</v>
      </c>
      <c r="Z89" s="189">
        <f>SUM(AA89:AG89)</f>
        <v>910</v>
      </c>
      <c r="AA89" s="496">
        <v>110</v>
      </c>
      <c r="AB89" s="496"/>
      <c r="AC89" s="496">
        <v>800</v>
      </c>
      <c r="AD89" s="496"/>
      <c r="AE89" s="496"/>
      <c r="AF89" s="496"/>
      <c r="AG89" s="189"/>
      <c r="AH89" s="438" t="s">
        <v>114</v>
      </c>
      <c r="AI89" s="362" t="s">
        <v>26</v>
      </c>
      <c r="AJ89" s="189">
        <f>SUM(AK89:BA89)</f>
        <v>1076</v>
      </c>
      <c r="AK89" s="225">
        <v>128.32</v>
      </c>
      <c r="AL89" s="496"/>
      <c r="AM89" s="496">
        <v>947.68</v>
      </c>
      <c r="AN89" s="496"/>
      <c r="AO89" s="496"/>
      <c r="AP89" s="496"/>
      <c r="AQ89" s="189"/>
      <c r="AR89" s="322"/>
      <c r="AS89" s="576"/>
      <c r="AT89" s="189"/>
      <c r="AU89" s="225"/>
      <c r="AV89" s="496"/>
      <c r="AW89" s="496"/>
      <c r="AX89" s="496"/>
      <c r="AY89" s="496"/>
      <c r="AZ89" s="496"/>
      <c r="BA89" s="189"/>
      <c r="BB89" s="438"/>
      <c r="BC89" s="362"/>
      <c r="BD89" s="189"/>
      <c r="BE89" s="496"/>
      <c r="BF89" s="496"/>
      <c r="BG89" s="496"/>
      <c r="BH89" s="496"/>
      <c r="BI89" s="496"/>
      <c r="BJ89" s="496"/>
      <c r="BK89" s="189"/>
      <c r="BL89" s="438"/>
      <c r="BM89" s="362"/>
      <c r="BN89" s="189"/>
      <c r="BO89" s="496"/>
      <c r="BP89" s="496"/>
      <c r="BQ89" s="496"/>
      <c r="BR89" s="496"/>
      <c r="BS89" s="496"/>
      <c r="BT89" s="496"/>
      <c r="BU89" s="189"/>
      <c r="BV89" s="351"/>
      <c r="BW89" s="189"/>
      <c r="BX89" s="362"/>
      <c r="BY89" s="189">
        <f t="shared" ref="BY89:BZ96" si="45">F89+P89+Z89+AJ89+AT89+BD89+BN89</f>
        <v>1986</v>
      </c>
      <c r="BZ89" s="189">
        <f t="shared" si="45"/>
        <v>238.32</v>
      </c>
      <c r="CA89" s="496"/>
      <c r="CB89" s="189">
        <f t="shared" ref="CB89:CB95" si="46">I89+S89+AC89+AM89+AW89+BG89+BQ89</f>
        <v>1747.6799999999998</v>
      </c>
      <c r="CC89" s="496"/>
      <c r="CD89" s="496"/>
      <c r="CE89" s="496"/>
      <c r="CF89" s="189"/>
      <c r="CG89" s="582">
        <f t="shared" si="41"/>
        <v>1986</v>
      </c>
      <c r="CH89" s="582">
        <f t="shared" si="42"/>
        <v>238.32</v>
      </c>
      <c r="CI89" s="582"/>
      <c r="CJ89" s="582">
        <f t="shared" si="43"/>
        <v>1747.6799999999998</v>
      </c>
      <c r="CL89" s="293">
        <f t="shared" si="44"/>
        <v>385</v>
      </c>
      <c r="CM89" s="199">
        <v>46.2</v>
      </c>
      <c r="CN89" s="199"/>
      <c r="CO89" s="199">
        <v>338.8</v>
      </c>
      <c r="CP89" s="199"/>
      <c r="CQ89" s="249"/>
      <c r="CR89" s="271"/>
    </row>
    <row r="90" spans="1:96" s="588" customFormat="1" ht="16.5" customHeight="1">
      <c r="A90" s="349"/>
      <c r="B90" s="357"/>
      <c r="C90" s="310" t="s">
        <v>381</v>
      </c>
      <c r="D90" s="310"/>
      <c r="E90" s="310"/>
      <c r="F90" s="189"/>
      <c r="G90" s="496"/>
      <c r="H90" s="496"/>
      <c r="I90" s="496"/>
      <c r="J90" s="496"/>
      <c r="K90" s="496"/>
      <c r="L90" s="298"/>
      <c r="M90" s="313"/>
      <c r="N90" s="438"/>
      <c r="O90" s="301"/>
      <c r="P90" s="189"/>
      <c r="Q90" s="496"/>
      <c r="R90" s="496"/>
      <c r="S90" s="496"/>
      <c r="T90" s="496"/>
      <c r="U90" s="496"/>
      <c r="V90" s="496"/>
      <c r="W90" s="189"/>
      <c r="X90" s="438" t="s">
        <v>114</v>
      </c>
      <c r="Y90" s="362" t="s">
        <v>26</v>
      </c>
      <c r="Z90" s="189">
        <f>SUM(AA90:AG90)</f>
        <v>910</v>
      </c>
      <c r="AA90" s="496">
        <v>110</v>
      </c>
      <c r="AB90" s="496"/>
      <c r="AC90" s="496">
        <v>800</v>
      </c>
      <c r="AD90" s="496"/>
      <c r="AE90" s="496"/>
      <c r="AF90" s="496"/>
      <c r="AG90" s="189"/>
      <c r="AH90" s="438" t="s">
        <v>114</v>
      </c>
      <c r="AI90" s="362" t="s">
        <v>26</v>
      </c>
      <c r="AJ90" s="189">
        <f>SUM(AK90:BA90)</f>
        <v>1040</v>
      </c>
      <c r="AK90" s="225">
        <v>124</v>
      </c>
      <c r="AL90" s="496"/>
      <c r="AM90" s="496">
        <v>916</v>
      </c>
      <c r="AN90" s="496"/>
      <c r="AO90" s="496"/>
      <c r="AP90" s="496"/>
      <c r="AQ90" s="189"/>
      <c r="AR90" s="322"/>
      <c r="AS90" s="576"/>
      <c r="AT90" s="189"/>
      <c r="AU90" s="225"/>
      <c r="AV90" s="496"/>
      <c r="AW90" s="496"/>
      <c r="AX90" s="496"/>
      <c r="AY90" s="496"/>
      <c r="AZ90" s="496"/>
      <c r="BA90" s="189"/>
      <c r="BB90" s="438"/>
      <c r="BC90" s="362"/>
      <c r="BD90" s="189"/>
      <c r="BE90" s="496"/>
      <c r="BF90" s="496"/>
      <c r="BG90" s="496"/>
      <c r="BH90" s="496"/>
      <c r="BI90" s="496"/>
      <c r="BJ90" s="496"/>
      <c r="BK90" s="189"/>
      <c r="BL90" s="438"/>
      <c r="BM90" s="362"/>
      <c r="BN90" s="189"/>
      <c r="BO90" s="496"/>
      <c r="BP90" s="496"/>
      <c r="BQ90" s="496"/>
      <c r="BR90" s="496"/>
      <c r="BS90" s="496"/>
      <c r="BT90" s="496"/>
      <c r="BU90" s="189"/>
      <c r="BV90" s="351"/>
      <c r="BW90" s="189"/>
      <c r="BX90" s="362"/>
      <c r="BY90" s="189">
        <f t="shared" si="45"/>
        <v>1950</v>
      </c>
      <c r="BZ90" s="189">
        <f t="shared" si="45"/>
        <v>234</v>
      </c>
      <c r="CA90" s="496"/>
      <c r="CB90" s="189">
        <f t="shared" si="46"/>
        <v>1716</v>
      </c>
      <c r="CC90" s="496"/>
      <c r="CD90" s="496"/>
      <c r="CE90" s="496"/>
      <c r="CF90" s="189"/>
      <c r="CG90" s="582">
        <f t="shared" si="41"/>
        <v>1575</v>
      </c>
      <c r="CH90" s="582">
        <f t="shared" si="42"/>
        <v>189</v>
      </c>
      <c r="CI90" s="582"/>
      <c r="CJ90" s="582">
        <f t="shared" si="43"/>
        <v>1386</v>
      </c>
      <c r="CL90" s="293">
        <f t="shared" si="44"/>
        <v>385</v>
      </c>
      <c r="CM90" s="199">
        <v>46.2</v>
      </c>
      <c r="CN90" s="199"/>
      <c r="CO90" s="199">
        <v>338.8</v>
      </c>
      <c r="CP90" s="199"/>
      <c r="CQ90" s="249"/>
      <c r="CR90" s="271"/>
    </row>
    <row r="91" spans="1:96" s="588" customFormat="1" ht="16.5" customHeight="1">
      <c r="A91" s="349"/>
      <c r="B91" s="357"/>
      <c r="C91" s="310" t="s">
        <v>382</v>
      </c>
      <c r="D91" s="310"/>
      <c r="E91" s="310"/>
      <c r="F91" s="189"/>
      <c r="G91" s="496"/>
      <c r="H91" s="496"/>
      <c r="I91" s="496"/>
      <c r="J91" s="496"/>
      <c r="K91" s="496"/>
      <c r="L91" s="298"/>
      <c r="M91" s="313"/>
      <c r="N91" s="438"/>
      <c r="O91" s="301"/>
      <c r="P91" s="189"/>
      <c r="Q91" s="496"/>
      <c r="R91" s="496"/>
      <c r="S91" s="496"/>
      <c r="T91" s="496"/>
      <c r="U91" s="496"/>
      <c r="V91" s="496"/>
      <c r="W91" s="189"/>
      <c r="X91" s="438" t="s">
        <v>114</v>
      </c>
      <c r="Y91" s="362" t="s">
        <v>26</v>
      </c>
      <c r="Z91" s="189">
        <f>SUM(AA91:AG91)</f>
        <v>568</v>
      </c>
      <c r="AA91" s="496">
        <v>68</v>
      </c>
      <c r="AB91" s="496"/>
      <c r="AC91" s="496">
        <v>500</v>
      </c>
      <c r="AD91" s="496"/>
      <c r="AE91" s="496"/>
      <c r="AF91" s="496"/>
      <c r="AG91" s="189"/>
      <c r="AH91" s="438" t="s">
        <v>114</v>
      </c>
      <c r="AI91" s="362" t="s">
        <v>26</v>
      </c>
      <c r="AJ91" s="189">
        <f>SUM(AK91:BA91)</f>
        <v>470</v>
      </c>
      <c r="AK91" s="225">
        <v>56.56</v>
      </c>
      <c r="AL91" s="496"/>
      <c r="AM91" s="496">
        <v>413.44</v>
      </c>
      <c r="AN91" s="496"/>
      <c r="AO91" s="496"/>
      <c r="AP91" s="496"/>
      <c r="AQ91" s="189"/>
      <c r="AR91" s="322"/>
      <c r="AS91" s="576"/>
      <c r="AT91" s="189"/>
      <c r="AU91" s="225"/>
      <c r="AV91" s="496"/>
      <c r="AW91" s="496"/>
      <c r="AX91" s="496"/>
      <c r="AY91" s="496"/>
      <c r="AZ91" s="496"/>
      <c r="BA91" s="189"/>
      <c r="BB91" s="438"/>
      <c r="BC91" s="362"/>
      <c r="BD91" s="189"/>
      <c r="BE91" s="496"/>
      <c r="BF91" s="496"/>
      <c r="BG91" s="496"/>
      <c r="BH91" s="496"/>
      <c r="BI91" s="496"/>
      <c r="BJ91" s="496"/>
      <c r="BK91" s="189"/>
      <c r="BL91" s="438"/>
      <c r="BM91" s="362"/>
      <c r="BN91" s="189"/>
      <c r="BO91" s="496"/>
      <c r="BP91" s="496"/>
      <c r="BQ91" s="496"/>
      <c r="BR91" s="496"/>
      <c r="BS91" s="496"/>
      <c r="BT91" s="496"/>
      <c r="BU91" s="189"/>
      <c r="BV91" s="351"/>
      <c r="BW91" s="189"/>
      <c r="BX91" s="362"/>
      <c r="BY91" s="189">
        <f t="shared" si="45"/>
        <v>1038</v>
      </c>
      <c r="BZ91" s="189">
        <f t="shared" si="45"/>
        <v>124.56</v>
      </c>
      <c r="CA91" s="496"/>
      <c r="CB91" s="189">
        <f t="shared" si="46"/>
        <v>913.44</v>
      </c>
      <c r="CC91" s="496"/>
      <c r="CD91" s="496"/>
      <c r="CE91" s="496"/>
      <c r="CF91" s="189"/>
      <c r="CG91" s="582">
        <f t="shared" si="41"/>
        <v>653</v>
      </c>
      <c r="CH91" s="582">
        <f t="shared" si="42"/>
        <v>78.36</v>
      </c>
      <c r="CI91" s="582"/>
      <c r="CJ91" s="582">
        <f t="shared" si="43"/>
        <v>574.6400000000001</v>
      </c>
      <c r="CL91" s="293">
        <f t="shared" si="44"/>
        <v>385</v>
      </c>
      <c r="CM91" s="199">
        <v>46.2</v>
      </c>
      <c r="CN91" s="199"/>
      <c r="CO91" s="199">
        <v>338.8</v>
      </c>
      <c r="CP91" s="199"/>
      <c r="CQ91" s="249"/>
      <c r="CR91" s="271"/>
    </row>
    <row r="92" spans="1:96" s="588" customFormat="1" ht="16.5" customHeight="1">
      <c r="A92" s="349"/>
      <c r="B92" s="357"/>
      <c r="C92" s="310" t="s">
        <v>383</v>
      </c>
      <c r="D92" s="310" t="s">
        <v>114</v>
      </c>
      <c r="E92" s="362" t="s">
        <v>26</v>
      </c>
      <c r="F92" s="189">
        <f>SUM(G92:M92)</f>
        <v>284.03999999999996</v>
      </c>
      <c r="G92" s="496">
        <v>34.090000000000003</v>
      </c>
      <c r="H92" s="496"/>
      <c r="I92" s="496">
        <v>249.95</v>
      </c>
      <c r="J92" s="496"/>
      <c r="K92" s="496"/>
      <c r="L92" s="298"/>
      <c r="M92" s="313"/>
      <c r="N92" s="438" t="s">
        <v>114</v>
      </c>
      <c r="O92" s="301" t="s">
        <v>26</v>
      </c>
      <c r="P92" s="189">
        <f>SUM(Q92:W92)</f>
        <v>1393.96</v>
      </c>
      <c r="Q92" s="496">
        <v>195.91</v>
      </c>
      <c r="R92" s="496"/>
      <c r="S92" s="496">
        <v>1198.05</v>
      </c>
      <c r="T92" s="496"/>
      <c r="U92" s="496"/>
      <c r="V92" s="496"/>
      <c r="W92" s="189"/>
      <c r="X92" s="438" t="s">
        <v>114</v>
      </c>
      <c r="Y92" s="362" t="s">
        <v>26</v>
      </c>
      <c r="Z92" s="189">
        <f>SUM(AA92:AG92)</f>
        <v>768</v>
      </c>
      <c r="AA92" s="496">
        <v>68</v>
      </c>
      <c r="AB92" s="496"/>
      <c r="AC92" s="496">
        <v>700</v>
      </c>
      <c r="AD92" s="496"/>
      <c r="AE92" s="496"/>
      <c r="AF92" s="496"/>
      <c r="AG92" s="189"/>
      <c r="AH92" s="438" t="s">
        <v>114</v>
      </c>
      <c r="AI92" s="362" t="s">
        <v>26</v>
      </c>
      <c r="AJ92" s="189">
        <f>SUM(AK92:AQ92)</f>
        <v>4941</v>
      </c>
      <c r="AK92" s="496">
        <v>588.12</v>
      </c>
      <c r="AL92" s="496"/>
      <c r="AM92" s="496">
        <v>4352.88</v>
      </c>
      <c r="AN92" s="496"/>
      <c r="AO92" s="496"/>
      <c r="AP92" s="496"/>
      <c r="AQ92" s="189"/>
      <c r="AR92" s="438" t="s">
        <v>114</v>
      </c>
      <c r="AS92" s="362"/>
      <c r="AT92" s="189">
        <f>SUM(AU92:BA92)</f>
        <v>3829.36</v>
      </c>
      <c r="AU92" s="225">
        <v>379.52</v>
      </c>
      <c r="AV92" s="496"/>
      <c r="AW92" s="496">
        <v>3449.84</v>
      </c>
      <c r="AX92" s="496"/>
      <c r="AY92" s="496"/>
      <c r="AZ92" s="496"/>
      <c r="BA92" s="189"/>
      <c r="BB92" s="438" t="s">
        <v>114</v>
      </c>
      <c r="BC92" s="362"/>
      <c r="BD92" s="189">
        <f>SUM(BE92:BK92)</f>
        <v>1664.08</v>
      </c>
      <c r="BE92" s="496">
        <v>246.5</v>
      </c>
      <c r="BF92" s="496"/>
      <c r="BG92" s="496">
        <v>1417.58</v>
      </c>
      <c r="BH92" s="496"/>
      <c r="BI92" s="496"/>
      <c r="BJ92" s="496"/>
      <c r="BK92" s="189"/>
      <c r="BL92" s="438" t="s">
        <v>114</v>
      </c>
      <c r="BM92" s="362"/>
      <c r="BN92" s="189">
        <f>SUM(BO92:BU92)</f>
        <v>1451.56</v>
      </c>
      <c r="BO92" s="496">
        <v>207.7</v>
      </c>
      <c r="BP92" s="496"/>
      <c r="BQ92" s="496">
        <v>1243.8599999999999</v>
      </c>
      <c r="BR92" s="496"/>
      <c r="BS92" s="496"/>
      <c r="BT92" s="496"/>
      <c r="BU92" s="189"/>
      <c r="BV92" s="351"/>
      <c r="BW92" s="189"/>
      <c r="BX92" s="362"/>
      <c r="BY92" s="189">
        <f t="shared" si="45"/>
        <v>14332</v>
      </c>
      <c r="BZ92" s="189">
        <f t="shared" si="45"/>
        <v>1719.84</v>
      </c>
      <c r="CA92" s="496"/>
      <c r="CB92" s="189">
        <f t="shared" si="46"/>
        <v>12612.160000000002</v>
      </c>
      <c r="CC92" s="496"/>
      <c r="CD92" s="496"/>
      <c r="CE92" s="496"/>
      <c r="CF92" s="189"/>
      <c r="CG92" s="582">
        <f t="shared" si="41"/>
        <v>13947</v>
      </c>
      <c r="CH92" s="582">
        <f t="shared" si="42"/>
        <v>1673.6399999999999</v>
      </c>
      <c r="CI92" s="582"/>
      <c r="CJ92" s="582">
        <f t="shared" si="43"/>
        <v>12273.360000000002</v>
      </c>
      <c r="CL92" s="293">
        <f t="shared" si="44"/>
        <v>385</v>
      </c>
      <c r="CM92" s="199">
        <v>46.2</v>
      </c>
      <c r="CN92" s="199"/>
      <c r="CO92" s="199">
        <v>338.8</v>
      </c>
      <c r="CP92" s="199"/>
      <c r="CQ92" s="249"/>
      <c r="CR92" s="271"/>
    </row>
    <row r="93" spans="1:96" s="588" customFormat="1" ht="16.5" customHeight="1">
      <c r="A93" s="349"/>
      <c r="B93" s="357"/>
      <c r="C93" s="310" t="s">
        <v>384</v>
      </c>
      <c r="D93" s="310"/>
      <c r="E93" s="310"/>
      <c r="F93" s="189"/>
      <c r="G93" s="496"/>
      <c r="H93" s="496"/>
      <c r="I93" s="496"/>
      <c r="J93" s="496"/>
      <c r="K93" s="496"/>
      <c r="L93" s="298"/>
      <c r="M93" s="313"/>
      <c r="N93" s="438"/>
      <c r="O93" s="301"/>
      <c r="P93" s="189"/>
      <c r="Q93" s="496"/>
      <c r="R93" s="496"/>
      <c r="S93" s="496"/>
      <c r="T93" s="496"/>
      <c r="U93" s="496"/>
      <c r="V93" s="496"/>
      <c r="W93" s="189"/>
      <c r="X93" s="438" t="s">
        <v>70</v>
      </c>
      <c r="Y93" s="574"/>
      <c r="Z93" s="189"/>
      <c r="AA93" s="496"/>
      <c r="AB93" s="496"/>
      <c r="AC93" s="496"/>
      <c r="AD93" s="496"/>
      <c r="AE93" s="496"/>
      <c r="AF93" s="496"/>
      <c r="AG93" s="189"/>
      <c r="AH93" s="438" t="s">
        <v>70</v>
      </c>
      <c r="AI93" s="362"/>
      <c r="AJ93" s="189">
        <f>SUM(AK93:AQ93)</f>
        <v>88</v>
      </c>
      <c r="AK93" s="496">
        <v>10.56</v>
      </c>
      <c r="AL93" s="496"/>
      <c r="AM93" s="496">
        <v>77.44</v>
      </c>
      <c r="AN93" s="496"/>
      <c r="AO93" s="496"/>
      <c r="AP93" s="496"/>
      <c r="AQ93" s="189"/>
      <c r="AR93" s="438" t="s">
        <v>70</v>
      </c>
      <c r="AS93" s="362"/>
      <c r="AT93" s="189"/>
      <c r="AU93" s="225"/>
      <c r="AV93" s="496"/>
      <c r="AW93" s="496"/>
      <c r="AX93" s="496"/>
      <c r="AY93" s="496"/>
      <c r="AZ93" s="496"/>
      <c r="BA93" s="189"/>
      <c r="BB93" s="438" t="s">
        <v>70</v>
      </c>
      <c r="BC93" s="362"/>
      <c r="BD93" s="189"/>
      <c r="BE93" s="496"/>
      <c r="BF93" s="496"/>
      <c r="BG93" s="496"/>
      <c r="BH93" s="496"/>
      <c r="BI93" s="496"/>
      <c r="BJ93" s="496"/>
      <c r="BK93" s="189"/>
      <c r="BL93" s="438" t="s">
        <v>70</v>
      </c>
      <c r="BM93" s="362"/>
      <c r="BN93" s="189"/>
      <c r="BO93" s="496"/>
      <c r="BP93" s="496"/>
      <c r="BQ93" s="496"/>
      <c r="BR93" s="496"/>
      <c r="BS93" s="496"/>
      <c r="BT93" s="496"/>
      <c r="BU93" s="189"/>
      <c r="BV93" s="351"/>
      <c r="BW93" s="189"/>
      <c r="BX93" s="362"/>
      <c r="BY93" s="189">
        <f t="shared" si="45"/>
        <v>88</v>
      </c>
      <c r="BZ93" s="189">
        <f t="shared" si="45"/>
        <v>10.56</v>
      </c>
      <c r="CA93" s="496"/>
      <c r="CB93" s="189">
        <f t="shared" si="46"/>
        <v>77.44</v>
      </c>
      <c r="CC93" s="496"/>
      <c r="CD93" s="496"/>
      <c r="CE93" s="496"/>
      <c r="CF93" s="189"/>
      <c r="CG93" s="582">
        <f t="shared" si="41"/>
        <v>-297</v>
      </c>
      <c r="CH93" s="582">
        <f t="shared" si="42"/>
        <v>-35.64</v>
      </c>
      <c r="CI93" s="582"/>
      <c r="CJ93" s="582">
        <f t="shared" si="43"/>
        <v>-261.36</v>
      </c>
      <c r="CL93" s="293">
        <f t="shared" si="44"/>
        <v>385</v>
      </c>
      <c r="CM93" s="199">
        <v>46.2</v>
      </c>
      <c r="CN93" s="199"/>
      <c r="CO93" s="199">
        <v>338.8</v>
      </c>
      <c r="CP93" s="199"/>
      <c r="CQ93" s="249"/>
      <c r="CR93" s="271"/>
    </row>
    <row r="94" spans="1:96" s="588" customFormat="1" ht="16.5" customHeight="1">
      <c r="A94" s="349"/>
      <c r="B94" s="357"/>
      <c r="C94" s="310" t="s">
        <v>120</v>
      </c>
      <c r="D94" s="310"/>
      <c r="E94" s="310"/>
      <c r="F94" s="189"/>
      <c r="G94" s="496"/>
      <c r="H94" s="496"/>
      <c r="I94" s="496"/>
      <c r="J94" s="496"/>
      <c r="K94" s="496"/>
      <c r="L94" s="298"/>
      <c r="M94" s="313"/>
      <c r="N94" s="438"/>
      <c r="O94" s="301"/>
      <c r="P94" s="189"/>
      <c r="Q94" s="496"/>
      <c r="R94" s="496"/>
      <c r="S94" s="496"/>
      <c r="T94" s="496"/>
      <c r="U94" s="496"/>
      <c r="V94" s="496"/>
      <c r="W94" s="189"/>
      <c r="X94" s="438" t="s">
        <v>70</v>
      </c>
      <c r="Y94" s="574"/>
      <c r="Z94" s="189"/>
      <c r="AA94" s="496"/>
      <c r="AB94" s="496"/>
      <c r="AC94" s="496"/>
      <c r="AD94" s="496"/>
      <c r="AE94" s="496"/>
      <c r="AF94" s="496"/>
      <c r="AG94" s="189"/>
      <c r="AH94" s="438" t="s">
        <v>70</v>
      </c>
      <c r="AI94" s="362"/>
      <c r="AJ94" s="189">
        <f>SUM(AK94:AQ94)</f>
        <v>190</v>
      </c>
      <c r="AK94" s="496">
        <v>22.8</v>
      </c>
      <c r="AL94" s="496"/>
      <c r="AM94" s="496">
        <v>167.2</v>
      </c>
      <c r="AN94" s="496"/>
      <c r="AO94" s="496"/>
      <c r="AP94" s="496"/>
      <c r="AQ94" s="189"/>
      <c r="AR94" s="438" t="s">
        <v>70</v>
      </c>
      <c r="AS94" s="362"/>
      <c r="AT94" s="189"/>
      <c r="AU94" s="225"/>
      <c r="AV94" s="496"/>
      <c r="AW94" s="496"/>
      <c r="AX94" s="496"/>
      <c r="AY94" s="496"/>
      <c r="AZ94" s="496"/>
      <c r="BA94" s="189"/>
      <c r="BB94" s="438" t="s">
        <v>70</v>
      </c>
      <c r="BC94" s="362"/>
      <c r="BD94" s="189"/>
      <c r="BE94" s="496"/>
      <c r="BF94" s="496"/>
      <c r="BG94" s="496"/>
      <c r="BH94" s="496"/>
      <c r="BI94" s="496"/>
      <c r="BJ94" s="496"/>
      <c r="BK94" s="189"/>
      <c r="BL94" s="438" t="s">
        <v>70</v>
      </c>
      <c r="BM94" s="362"/>
      <c r="BN94" s="189"/>
      <c r="BO94" s="496"/>
      <c r="BP94" s="496"/>
      <c r="BQ94" s="496"/>
      <c r="BR94" s="496"/>
      <c r="BS94" s="496"/>
      <c r="BT94" s="496"/>
      <c r="BU94" s="189"/>
      <c r="BV94" s="351"/>
      <c r="BW94" s="189"/>
      <c r="BX94" s="362"/>
      <c r="BY94" s="189">
        <f t="shared" si="45"/>
        <v>190</v>
      </c>
      <c r="BZ94" s="189">
        <f t="shared" si="45"/>
        <v>22.8</v>
      </c>
      <c r="CA94" s="496"/>
      <c r="CB94" s="189">
        <f t="shared" si="46"/>
        <v>167.2</v>
      </c>
      <c r="CC94" s="496"/>
      <c r="CD94" s="496"/>
      <c r="CE94" s="496"/>
      <c r="CF94" s="189"/>
      <c r="CG94" s="582">
        <f t="shared" si="41"/>
        <v>-195</v>
      </c>
      <c r="CH94" s="582">
        <f t="shared" si="42"/>
        <v>-23.400000000000002</v>
      </c>
      <c r="CI94" s="582"/>
      <c r="CJ94" s="582">
        <f t="shared" si="43"/>
        <v>-171.60000000000002</v>
      </c>
      <c r="CL94" s="293">
        <f t="shared" si="44"/>
        <v>385</v>
      </c>
      <c r="CM94" s="199">
        <v>46.2</v>
      </c>
      <c r="CN94" s="199"/>
      <c r="CO94" s="199">
        <v>338.8</v>
      </c>
      <c r="CP94" s="199"/>
      <c r="CQ94" s="249"/>
      <c r="CR94" s="271"/>
    </row>
    <row r="95" spans="1:96" s="588" customFormat="1" ht="16.5" customHeight="1">
      <c r="A95" s="349"/>
      <c r="B95" s="357"/>
      <c r="C95" s="310" t="s">
        <v>123</v>
      </c>
      <c r="D95" s="310"/>
      <c r="E95" s="310"/>
      <c r="F95" s="189"/>
      <c r="G95" s="496"/>
      <c r="H95" s="496"/>
      <c r="I95" s="496"/>
      <c r="J95" s="496"/>
      <c r="K95" s="496"/>
      <c r="L95" s="298"/>
      <c r="M95" s="313"/>
      <c r="N95" s="438"/>
      <c r="O95" s="301"/>
      <c r="P95" s="189"/>
      <c r="Q95" s="496"/>
      <c r="R95" s="496"/>
      <c r="S95" s="496"/>
      <c r="T95" s="496"/>
      <c r="U95" s="496"/>
      <c r="V95" s="496"/>
      <c r="W95" s="189"/>
      <c r="X95" s="438" t="s">
        <v>70</v>
      </c>
      <c r="Y95" s="362" t="s">
        <v>26</v>
      </c>
      <c r="Z95" s="189">
        <f>SUM(AA95:AG95)</f>
        <v>1970</v>
      </c>
      <c r="AA95" s="496">
        <v>236</v>
      </c>
      <c r="AB95" s="496"/>
      <c r="AC95" s="496">
        <v>1734</v>
      </c>
      <c r="AD95" s="496"/>
      <c r="AE95" s="496"/>
      <c r="AF95" s="496"/>
      <c r="AG95" s="189"/>
      <c r="AH95" s="438" t="s">
        <v>70</v>
      </c>
      <c r="AI95" s="362"/>
      <c r="AJ95" s="189">
        <f>SUM(AK95:AQ95)</f>
        <v>130</v>
      </c>
      <c r="AK95" s="496">
        <v>16</v>
      </c>
      <c r="AL95" s="496"/>
      <c r="AM95" s="496">
        <v>114</v>
      </c>
      <c r="AN95" s="496"/>
      <c r="AO95" s="496"/>
      <c r="AP95" s="496"/>
      <c r="AQ95" s="189"/>
      <c r="AR95" s="438" t="s">
        <v>70</v>
      </c>
      <c r="AS95" s="362"/>
      <c r="AT95" s="189"/>
      <c r="AU95" s="225"/>
      <c r="AV95" s="496"/>
      <c r="AW95" s="496"/>
      <c r="AX95" s="496"/>
      <c r="AY95" s="496"/>
      <c r="AZ95" s="496"/>
      <c r="BA95" s="189"/>
      <c r="BB95" s="438" t="s">
        <v>70</v>
      </c>
      <c r="BC95" s="362"/>
      <c r="BD95" s="189"/>
      <c r="BE95" s="496"/>
      <c r="BF95" s="496"/>
      <c r="BG95" s="496"/>
      <c r="BH95" s="496"/>
      <c r="BI95" s="496"/>
      <c r="BJ95" s="496"/>
      <c r="BK95" s="189"/>
      <c r="BL95" s="438" t="s">
        <v>70</v>
      </c>
      <c r="BM95" s="362"/>
      <c r="BN95" s="189"/>
      <c r="BO95" s="496"/>
      <c r="BP95" s="496"/>
      <c r="BQ95" s="496"/>
      <c r="BR95" s="496"/>
      <c r="BS95" s="496"/>
      <c r="BT95" s="496"/>
      <c r="BU95" s="189"/>
      <c r="BV95" s="351"/>
      <c r="BW95" s="189"/>
      <c r="BX95" s="362"/>
      <c r="BY95" s="189">
        <f t="shared" si="45"/>
        <v>2100</v>
      </c>
      <c r="BZ95" s="189">
        <f t="shared" si="45"/>
        <v>252</v>
      </c>
      <c r="CA95" s="496"/>
      <c r="CB95" s="189">
        <f t="shared" si="46"/>
        <v>1848</v>
      </c>
      <c r="CC95" s="496"/>
      <c r="CD95" s="496"/>
      <c r="CE95" s="496"/>
      <c r="CF95" s="189"/>
      <c r="CG95" s="582">
        <f t="shared" si="41"/>
        <v>1715</v>
      </c>
      <c r="CH95" s="582">
        <f t="shared" si="42"/>
        <v>205.8</v>
      </c>
      <c r="CI95" s="582"/>
      <c r="CJ95" s="582">
        <f t="shared" si="43"/>
        <v>1509.2</v>
      </c>
      <c r="CL95" s="293">
        <f t="shared" si="44"/>
        <v>385</v>
      </c>
      <c r="CM95" s="199">
        <v>46.2</v>
      </c>
      <c r="CN95" s="199"/>
      <c r="CO95" s="199">
        <v>338.8</v>
      </c>
      <c r="CP95" s="199"/>
      <c r="CQ95" s="249"/>
      <c r="CR95" s="271"/>
    </row>
    <row r="96" spans="1:96" s="588" customFormat="1" ht="16.5" customHeight="1">
      <c r="A96" s="349"/>
      <c r="B96" s="359"/>
      <c r="C96" s="310" t="s">
        <v>124</v>
      </c>
      <c r="D96" s="310" t="s">
        <v>308</v>
      </c>
      <c r="E96" s="362"/>
      <c r="F96" s="189"/>
      <c r="G96" s="496"/>
      <c r="H96" s="496"/>
      <c r="I96" s="496"/>
      <c r="J96" s="496"/>
      <c r="K96" s="496"/>
      <c r="L96" s="298"/>
      <c r="M96" s="313"/>
      <c r="N96" s="310"/>
      <c r="O96" s="301"/>
      <c r="P96" s="189"/>
      <c r="Q96" s="496"/>
      <c r="R96" s="496"/>
      <c r="S96" s="496"/>
      <c r="T96" s="496"/>
      <c r="U96" s="496"/>
      <c r="V96" s="496"/>
      <c r="W96" s="189"/>
      <c r="X96" s="438"/>
      <c r="Y96" s="362"/>
      <c r="Z96" s="189"/>
      <c r="AA96" s="496"/>
      <c r="AB96" s="496"/>
      <c r="AC96" s="496"/>
      <c r="AD96" s="496"/>
      <c r="AE96" s="496"/>
      <c r="AF96" s="496"/>
      <c r="AG96" s="189"/>
      <c r="AH96" s="438"/>
      <c r="AI96" s="362" t="s">
        <v>26</v>
      </c>
      <c r="AJ96" s="189">
        <f>SUM(AK96:AQ96)</f>
        <v>400</v>
      </c>
      <c r="AK96" s="496">
        <v>400</v>
      </c>
      <c r="AL96" s="496"/>
      <c r="AM96" s="496"/>
      <c r="AN96" s="496"/>
      <c r="AO96" s="496"/>
      <c r="AP96" s="496"/>
      <c r="AQ96" s="189"/>
      <c r="AR96" s="438"/>
      <c r="AS96" s="362"/>
      <c r="AT96" s="189">
        <f>SUM(AU96:BA96)</f>
        <v>400</v>
      </c>
      <c r="AU96" s="225">
        <v>400</v>
      </c>
      <c r="AV96" s="496"/>
      <c r="AW96" s="496"/>
      <c r="AX96" s="496"/>
      <c r="AY96" s="496"/>
      <c r="AZ96" s="496"/>
      <c r="BA96" s="189"/>
      <c r="BB96" s="438"/>
      <c r="BC96" s="362"/>
      <c r="BD96" s="189">
        <f>SUM(BE96:BK96)</f>
        <v>100</v>
      </c>
      <c r="BE96" s="225">
        <v>100</v>
      </c>
      <c r="BF96" s="496"/>
      <c r="BG96" s="496"/>
      <c r="BH96" s="496"/>
      <c r="BI96" s="496"/>
      <c r="BJ96" s="496"/>
      <c r="BK96" s="189"/>
      <c r="BL96" s="438"/>
      <c r="BM96" s="362"/>
      <c r="BN96" s="189">
        <f>SUM(BO96:BU96)</f>
        <v>100</v>
      </c>
      <c r="BO96" s="225">
        <v>100</v>
      </c>
      <c r="BP96" s="496"/>
      <c r="BQ96" s="496"/>
      <c r="BR96" s="496"/>
      <c r="BS96" s="496"/>
      <c r="BT96" s="496"/>
      <c r="BU96" s="189"/>
      <c r="BV96" s="351"/>
      <c r="BW96" s="189"/>
      <c r="BX96" s="362"/>
      <c r="BY96" s="189">
        <f t="shared" si="45"/>
        <v>1000</v>
      </c>
      <c r="BZ96" s="189">
        <f t="shared" si="45"/>
        <v>1000</v>
      </c>
      <c r="CA96" s="496"/>
      <c r="CB96" s="189"/>
      <c r="CC96" s="496"/>
      <c r="CD96" s="496"/>
      <c r="CE96" s="496"/>
      <c r="CF96" s="189"/>
      <c r="CG96" s="582">
        <f t="shared" si="41"/>
        <v>615</v>
      </c>
      <c r="CH96" s="582">
        <f t="shared" si="42"/>
        <v>953.8</v>
      </c>
      <c r="CI96" s="582"/>
      <c r="CJ96" s="582">
        <f t="shared" si="43"/>
        <v>-338.8</v>
      </c>
      <c r="CL96" s="293">
        <f t="shared" si="44"/>
        <v>385</v>
      </c>
      <c r="CM96" s="199">
        <v>46.2</v>
      </c>
      <c r="CN96" s="199"/>
      <c r="CO96" s="199">
        <v>338.8</v>
      </c>
      <c r="CP96" s="209"/>
      <c r="CQ96" s="255"/>
      <c r="CR96" s="210"/>
    </row>
    <row r="97" spans="1:96" s="588" customFormat="1" ht="15.75" customHeight="1">
      <c r="A97" s="722" t="s">
        <v>125</v>
      </c>
      <c r="B97" s="617"/>
      <c r="C97" s="618"/>
      <c r="D97" s="531"/>
      <c r="E97" s="531"/>
      <c r="F97" s="387">
        <f>SUM(F61:F96)</f>
        <v>6201.22</v>
      </c>
      <c r="G97" s="387">
        <f>SUM(G61:G96)</f>
        <v>5379.12</v>
      </c>
      <c r="H97" s="387"/>
      <c r="I97" s="387">
        <f>SUM(I61:I96)</f>
        <v>822.10000000000014</v>
      </c>
      <c r="J97" s="387"/>
      <c r="K97" s="189"/>
      <c r="L97" s="325"/>
      <c r="M97" s="313"/>
      <c r="N97" s="314"/>
      <c r="O97" s="531"/>
      <c r="P97" s="189">
        <f>SUM(P61:P96)</f>
        <v>2951.17</v>
      </c>
      <c r="Q97" s="189">
        <f>SUM(Q61:Q96)</f>
        <v>475.27</v>
      </c>
      <c r="R97" s="189"/>
      <c r="S97" s="189">
        <f>SUM(S61:S96)</f>
        <v>2475.8999999999996</v>
      </c>
      <c r="T97" s="189">
        <f>SUM(T61:T96)</f>
        <v>0</v>
      </c>
      <c r="U97" s="189"/>
      <c r="V97" s="189"/>
      <c r="W97" s="189"/>
      <c r="X97" s="448"/>
      <c r="Y97" s="189"/>
      <c r="Z97" s="378">
        <f>SUM(Z61:Z96)</f>
        <v>22313.52</v>
      </c>
      <c r="AA97" s="378">
        <f>SUM(AA61:AA96)</f>
        <v>12449.519999999999</v>
      </c>
      <c r="AB97" s="378"/>
      <c r="AC97" s="378">
        <f>SUM(AC61:AC96)</f>
        <v>9864</v>
      </c>
      <c r="AD97" s="378">
        <f>SUM(AD61:AD96)</f>
        <v>0</v>
      </c>
      <c r="AE97" s="378"/>
      <c r="AF97" s="378"/>
      <c r="AG97" s="378"/>
      <c r="AH97" s="387"/>
      <c r="AI97" s="378"/>
      <c r="AJ97" s="378">
        <f>SUM(AJ61:AJ96)</f>
        <v>27926.530000000002</v>
      </c>
      <c r="AK97" s="378">
        <f>SUM(AK61:AK96)</f>
        <v>7733.5300000000007</v>
      </c>
      <c r="AL97" s="378"/>
      <c r="AM97" s="378">
        <f>SUM(AM61:AM96)</f>
        <v>20193</v>
      </c>
      <c r="AN97" s="378">
        <f>SUM(AN61:AN96)</f>
        <v>0</v>
      </c>
      <c r="AO97" s="378"/>
      <c r="AP97" s="378"/>
      <c r="AQ97" s="378"/>
      <c r="AR97" s="387"/>
      <c r="AS97" s="378"/>
      <c r="AT97" s="378">
        <f>SUM(AT61:AT96)</f>
        <v>13185.75</v>
      </c>
      <c r="AU97" s="379">
        <f>SUM(AU61:AU96)</f>
        <v>5234.1200000000008</v>
      </c>
      <c r="AV97" s="378"/>
      <c r="AW97" s="378">
        <f>SUM(AW61:AW96)</f>
        <v>7951.63</v>
      </c>
      <c r="AX97" s="378">
        <f>SUM(AX61:AX96)</f>
        <v>0</v>
      </c>
      <c r="AY97" s="189"/>
      <c r="AZ97" s="189"/>
      <c r="BA97" s="189"/>
      <c r="BB97" s="387"/>
      <c r="BC97" s="189"/>
      <c r="BD97" s="189">
        <f>SUM(BD61:BD96)</f>
        <v>4997.97</v>
      </c>
      <c r="BE97" s="189">
        <f>SUM(BE61:BE96)</f>
        <v>773.81999999999994</v>
      </c>
      <c r="BF97" s="189"/>
      <c r="BG97" s="189">
        <f>SUM(BG61:BG96)</f>
        <v>4224.1499999999996</v>
      </c>
      <c r="BH97" s="189">
        <f>SUM(BH61:BH96)</f>
        <v>0</v>
      </c>
      <c r="BI97" s="189"/>
      <c r="BJ97" s="189"/>
      <c r="BK97" s="189"/>
      <c r="BL97" s="387"/>
      <c r="BM97" s="189"/>
      <c r="BN97" s="189">
        <f>SUM(BN61:BN96)</f>
        <v>1551.56</v>
      </c>
      <c r="BO97" s="189">
        <f>SUM(BO61:BO96)</f>
        <v>307.7</v>
      </c>
      <c r="BP97" s="189"/>
      <c r="BQ97" s="189">
        <f>SUM(BQ61:BQ96)</f>
        <v>1243.8599999999999</v>
      </c>
      <c r="BR97" s="189">
        <f>SUM(BR61:BR96)</f>
        <v>0</v>
      </c>
      <c r="BS97" s="189"/>
      <c r="BT97" s="189"/>
      <c r="BU97" s="189"/>
      <c r="BV97" s="351"/>
      <c r="BW97" s="189"/>
      <c r="BX97" s="189"/>
      <c r="BY97" s="458">
        <f>F97+P97+Z97+AJ97+AT97+BD97+BN97</f>
        <v>79127.72</v>
      </c>
      <c r="BZ97" s="458">
        <f>SUM(BZ61:BZ96)</f>
        <v>32353.080000000005</v>
      </c>
      <c r="CA97" s="458"/>
      <c r="CB97" s="458">
        <f>SUM(CB61:CB96)</f>
        <v>46774.64</v>
      </c>
      <c r="CC97" s="458">
        <f>SUM(CC61:CC96)</f>
        <v>0</v>
      </c>
      <c r="CD97" s="189"/>
      <c r="CE97" s="189"/>
      <c r="CF97" s="189"/>
      <c r="CG97" s="582">
        <f t="shared" si="41"/>
        <v>78742.720000000001</v>
      </c>
      <c r="CH97" s="582">
        <f t="shared" si="42"/>
        <v>32306.880000000005</v>
      </c>
      <c r="CI97" s="582"/>
      <c r="CJ97" s="582">
        <f t="shared" si="43"/>
        <v>46435.839999999997</v>
      </c>
      <c r="CL97" s="607">
        <f>SUM(CL57+CL96)</f>
        <v>19349.72</v>
      </c>
      <c r="CM97" s="608">
        <f>SUM(CM57+CM96)</f>
        <v>6789.16</v>
      </c>
      <c r="CN97" s="608"/>
      <c r="CO97" s="607">
        <f>SUM(CO57+CO96)</f>
        <v>4659.16</v>
      </c>
      <c r="CP97" s="607">
        <f>SUM(CP57+CP96)</f>
        <v>7901.4</v>
      </c>
      <c r="CQ97" s="284"/>
      <c r="CR97" s="285"/>
    </row>
    <row r="98" spans="1:96" s="368" customFormat="1" ht="15.75" customHeight="1">
      <c r="A98" s="722" t="s">
        <v>126</v>
      </c>
      <c r="B98" s="617"/>
      <c r="C98" s="618"/>
      <c r="D98" s="531"/>
      <c r="E98" s="531"/>
      <c r="F98" s="363">
        <f>F57+F97</f>
        <v>11890.36</v>
      </c>
      <c r="G98" s="363">
        <f>+G57+G97</f>
        <v>6899.329999999999</v>
      </c>
      <c r="H98" s="363"/>
      <c r="I98" s="363">
        <f>+I57+I97</f>
        <v>1197.7200000000003</v>
      </c>
      <c r="J98" s="363">
        <f>+J57+J97</f>
        <v>3793.31</v>
      </c>
      <c r="K98" s="496"/>
      <c r="L98" s="298"/>
      <c r="M98" s="326"/>
      <c r="N98" s="327"/>
      <c r="O98" s="225"/>
      <c r="P98" s="189">
        <f>P57+P97</f>
        <v>3048.86</v>
      </c>
      <c r="Q98" s="496">
        <f>+Q57+Q97</f>
        <v>547.12</v>
      </c>
      <c r="R98" s="496"/>
      <c r="S98" s="496">
        <f>+S57+S97</f>
        <v>2511.4999999999995</v>
      </c>
      <c r="T98" s="496">
        <f>+T57+T97</f>
        <v>5.79</v>
      </c>
      <c r="U98" s="496"/>
      <c r="V98" s="496"/>
      <c r="W98" s="189"/>
      <c r="X98" s="448"/>
      <c r="Y98" s="189"/>
      <c r="Z98" s="378">
        <f>SUM(Z57+Z97)</f>
        <v>26000</v>
      </c>
      <c r="AA98" s="380">
        <f>+AA57+AA97</f>
        <v>13999.999999999998</v>
      </c>
      <c r="AB98" s="378"/>
      <c r="AC98" s="380">
        <f>+AC57+AC97</f>
        <v>11100</v>
      </c>
      <c r="AD98" s="380">
        <f>+AD57+AD97</f>
        <v>900</v>
      </c>
      <c r="AE98" s="380"/>
      <c r="AF98" s="380"/>
      <c r="AG98" s="378"/>
      <c r="AH98" s="387"/>
      <c r="AI98" s="378"/>
      <c r="AJ98" s="378">
        <f>SUM(AJ57+AJ97)</f>
        <v>30765.000000000004</v>
      </c>
      <c r="AK98" s="380">
        <f>+AK57+AK97</f>
        <v>8846</v>
      </c>
      <c r="AL98" s="378"/>
      <c r="AM98" s="380">
        <f>+AM57+AM97</f>
        <v>20919</v>
      </c>
      <c r="AN98" s="380">
        <f>+AN57+AN97</f>
        <v>1000</v>
      </c>
      <c r="AO98" s="380"/>
      <c r="AP98" s="380"/>
      <c r="AQ98" s="378"/>
      <c r="AR98" s="387"/>
      <c r="AS98" s="380"/>
      <c r="AT98" s="381">
        <f>+AT57+AT97</f>
        <v>15816</v>
      </c>
      <c r="AU98" s="381">
        <f>+AU57+AU97</f>
        <v>6210.0000000000009</v>
      </c>
      <c r="AV98" s="380"/>
      <c r="AW98" s="380">
        <f>+AW57+AW97</f>
        <v>8606</v>
      </c>
      <c r="AX98" s="380">
        <f>+AX57+AX97</f>
        <v>1000</v>
      </c>
      <c r="AY98" s="496"/>
      <c r="AZ98" s="496"/>
      <c r="BA98" s="189"/>
      <c r="BB98" s="387"/>
      <c r="BC98" s="189"/>
      <c r="BD98" s="496">
        <f>+BD57+BD97</f>
        <v>7586.34</v>
      </c>
      <c r="BE98" s="496">
        <f>+BE57+BE97</f>
        <v>1656.3399999999997</v>
      </c>
      <c r="BF98" s="496"/>
      <c r="BG98" s="496">
        <f>+BG57+BG97</f>
        <v>4930</v>
      </c>
      <c r="BH98" s="496">
        <f>+BH57+BH97</f>
        <v>1000</v>
      </c>
      <c r="BI98" s="496"/>
      <c r="BJ98" s="496"/>
      <c r="BK98" s="189"/>
      <c r="BL98" s="387"/>
      <c r="BM98" s="189"/>
      <c r="BN98" s="496">
        <f>+BN57+BN97</f>
        <v>3075.88</v>
      </c>
      <c r="BO98" s="496">
        <f>+BO57+BO97</f>
        <v>1042.8</v>
      </c>
      <c r="BP98" s="496"/>
      <c r="BQ98" s="496">
        <f>+BQ57+BQ97</f>
        <v>1830.78</v>
      </c>
      <c r="BR98" s="496">
        <f>+BR57+BR97</f>
        <v>202.3</v>
      </c>
      <c r="BS98" s="496"/>
      <c r="BT98" s="496"/>
      <c r="BU98" s="189"/>
      <c r="BV98" s="351"/>
      <c r="BW98" s="189"/>
      <c r="BX98" s="189"/>
      <c r="BY98" s="459">
        <f>+BY57+BY97</f>
        <v>98182.44</v>
      </c>
      <c r="BZ98" s="459">
        <f>+BZ57+BZ97</f>
        <v>39201.590000000004</v>
      </c>
      <c r="CA98" s="459"/>
      <c r="CB98" s="459">
        <f>+CB57+CB97</f>
        <v>51095</v>
      </c>
      <c r="CC98" s="459">
        <f>+CC57+CC97</f>
        <v>7901.4000000000005</v>
      </c>
      <c r="CD98" s="496"/>
      <c r="CE98" s="496"/>
      <c r="CF98" s="189"/>
      <c r="CG98" s="582">
        <f t="shared" si="41"/>
        <v>97797.440000000002</v>
      </c>
      <c r="CH98" s="582">
        <f t="shared" si="42"/>
        <v>39155.390000000007</v>
      </c>
      <c r="CI98" s="582"/>
      <c r="CJ98" s="582">
        <f t="shared" si="43"/>
        <v>50756.2</v>
      </c>
      <c r="CL98" s="279">
        <f>SUM(CM98:CR98)</f>
        <v>365</v>
      </c>
      <c r="CM98" s="212">
        <v>175</v>
      </c>
      <c r="CN98" s="203"/>
      <c r="CO98" s="213">
        <v>190</v>
      </c>
      <c r="CP98" s="203"/>
      <c r="CQ98" s="256"/>
      <c r="CR98" s="204"/>
    </row>
    <row r="99" spans="1:96" s="368" customFormat="1" ht="15" customHeight="1">
      <c r="A99" s="724" t="s">
        <v>127</v>
      </c>
      <c r="B99" s="617"/>
      <c r="C99" s="618"/>
      <c r="D99" s="532"/>
      <c r="E99" s="532"/>
      <c r="F99" s="387"/>
      <c r="G99" s="363"/>
      <c r="H99" s="363"/>
      <c r="I99" s="363"/>
      <c r="J99" s="363"/>
      <c r="K99" s="496"/>
      <c r="L99" s="298"/>
      <c r="M99" s="326"/>
      <c r="N99" s="327"/>
      <c r="O99" s="224"/>
      <c r="P99" s="189"/>
      <c r="Q99" s="496"/>
      <c r="R99" s="496"/>
      <c r="S99" s="496"/>
      <c r="T99" s="496"/>
      <c r="U99" s="496"/>
      <c r="V99" s="496"/>
      <c r="W99" s="189"/>
      <c r="X99" s="448"/>
      <c r="Y99" s="189"/>
      <c r="Z99" s="189"/>
      <c r="AA99" s="496"/>
      <c r="AB99" s="496"/>
      <c r="AC99" s="496"/>
      <c r="AD99" s="496"/>
      <c r="AE99" s="496"/>
      <c r="AF99" s="496"/>
      <c r="AG99" s="189"/>
      <c r="AH99" s="387"/>
      <c r="AI99" s="189"/>
      <c r="AJ99" s="189">
        <f>SUM(AK99:AQ99)</f>
        <v>55</v>
      </c>
      <c r="AK99" s="496">
        <v>10</v>
      </c>
      <c r="AL99" s="496"/>
      <c r="AM99" s="496">
        <v>45</v>
      </c>
      <c r="AN99" s="496"/>
      <c r="AO99" s="496"/>
      <c r="AP99" s="496"/>
      <c r="AQ99" s="189"/>
      <c r="AR99" s="387"/>
      <c r="AS99" s="313"/>
      <c r="AT99" s="189">
        <f>SUM(AU99:BA99)</f>
        <v>45</v>
      </c>
      <c r="AU99" s="225">
        <v>15</v>
      </c>
      <c r="AV99" s="496"/>
      <c r="AW99" s="496">
        <v>30</v>
      </c>
      <c r="AX99" s="496"/>
      <c r="AY99" s="496"/>
      <c r="AZ99" s="496"/>
      <c r="BA99" s="189"/>
      <c r="BB99" s="387"/>
      <c r="BC99" s="189"/>
      <c r="BD99" s="189">
        <f>SUM(BE99:BK99)</f>
        <v>36</v>
      </c>
      <c r="BE99" s="496">
        <v>16</v>
      </c>
      <c r="BF99" s="496"/>
      <c r="BG99" s="496">
        <v>20</v>
      </c>
      <c r="BH99" s="496"/>
      <c r="BI99" s="496"/>
      <c r="BJ99" s="496"/>
      <c r="BK99" s="189"/>
      <c r="BL99" s="387"/>
      <c r="BM99" s="189"/>
      <c r="BN99" s="189">
        <f>SUM(BO99:BU99)</f>
        <v>115</v>
      </c>
      <c r="BO99" s="496">
        <v>100</v>
      </c>
      <c r="BP99" s="496"/>
      <c r="BQ99" s="496">
        <v>15</v>
      </c>
      <c r="BR99" s="496"/>
      <c r="BS99" s="496"/>
      <c r="BT99" s="496"/>
      <c r="BU99" s="189"/>
      <c r="BV99" s="351"/>
      <c r="BW99" s="189"/>
      <c r="BX99" s="189"/>
      <c r="BY99" s="189">
        <f>F99+P99+Z99+AJ99+AT99+BD99+BN99</f>
        <v>251</v>
      </c>
      <c r="BZ99" s="189">
        <f>G99+Q99+AA99+AK99+AU99+BE99+BO99</f>
        <v>141</v>
      </c>
      <c r="CA99" s="496"/>
      <c r="CB99" s="189">
        <f>I99+S99+AC99+AM99+AW99+BG99+BQ99</f>
        <v>110</v>
      </c>
      <c r="CC99" s="496"/>
      <c r="CD99" s="496"/>
      <c r="CE99" s="496"/>
      <c r="CF99" s="189"/>
      <c r="CG99" s="582">
        <f t="shared" si="41"/>
        <v>-134</v>
      </c>
      <c r="CH99" s="582">
        <f t="shared" si="42"/>
        <v>94.8</v>
      </c>
      <c r="CI99" s="582"/>
      <c r="CJ99" s="582">
        <f t="shared" si="43"/>
        <v>-228.8</v>
      </c>
      <c r="CL99" s="279">
        <f>SUM(CM99:CR99)</f>
        <v>1178.1999999999998</v>
      </c>
      <c r="CM99" s="212">
        <v>553.29999999999995</v>
      </c>
      <c r="CN99" s="213"/>
      <c r="CO99" s="213">
        <v>624.9</v>
      </c>
      <c r="CP99" s="213"/>
      <c r="CQ99" s="257"/>
      <c r="CR99" s="291"/>
    </row>
    <row r="100" spans="1:96" s="368" customFormat="1" ht="18" customHeight="1">
      <c r="A100" s="724" t="s">
        <v>128</v>
      </c>
      <c r="B100" s="617"/>
      <c r="C100" s="618"/>
      <c r="D100" s="532"/>
      <c r="E100" s="532"/>
      <c r="F100" s="387"/>
      <c r="G100" s="387"/>
      <c r="H100" s="363"/>
      <c r="I100" s="387"/>
      <c r="J100" s="363"/>
      <c r="K100" s="496"/>
      <c r="L100" s="298"/>
      <c r="M100" s="326"/>
      <c r="N100" s="327"/>
      <c r="O100" s="224"/>
      <c r="P100" s="189"/>
      <c r="Q100" s="496"/>
      <c r="R100" s="496"/>
      <c r="S100" s="496"/>
      <c r="T100" s="496"/>
      <c r="U100" s="496"/>
      <c r="V100" s="496"/>
      <c r="W100" s="189"/>
      <c r="X100" s="448"/>
      <c r="Y100" s="189"/>
      <c r="Z100" s="189"/>
      <c r="AA100" s="496"/>
      <c r="AB100" s="496"/>
      <c r="AC100" s="496"/>
      <c r="AD100" s="496"/>
      <c r="AE100" s="496"/>
      <c r="AF100" s="496"/>
      <c r="AG100" s="189"/>
      <c r="AH100" s="387"/>
      <c r="AI100" s="189"/>
      <c r="AJ100" s="189">
        <f>SUM(AK100:AQ100)</f>
        <v>180</v>
      </c>
      <c r="AK100" s="496">
        <v>44</v>
      </c>
      <c r="AL100" s="496"/>
      <c r="AM100" s="496">
        <v>136</v>
      </c>
      <c r="AN100" s="496"/>
      <c r="AO100" s="496"/>
      <c r="AP100" s="496"/>
      <c r="AQ100" s="189"/>
      <c r="AR100" s="387"/>
      <c r="AS100" s="313"/>
      <c r="AT100" s="189">
        <f>SUM(AU100:BA100)</f>
        <v>139</v>
      </c>
      <c r="AU100" s="225">
        <v>75</v>
      </c>
      <c r="AV100" s="496"/>
      <c r="AW100" s="496">
        <v>64</v>
      </c>
      <c r="AX100" s="496"/>
      <c r="AY100" s="496"/>
      <c r="AZ100" s="496"/>
      <c r="BA100" s="189"/>
      <c r="BB100" s="387"/>
      <c r="BC100" s="189"/>
      <c r="BD100" s="189">
        <f>SUM(BE100:BK100)</f>
        <v>125</v>
      </c>
      <c r="BE100" s="496">
        <v>75</v>
      </c>
      <c r="BF100" s="496"/>
      <c r="BG100" s="496">
        <v>50</v>
      </c>
      <c r="BH100" s="496"/>
      <c r="BI100" s="496"/>
      <c r="BJ100" s="496"/>
      <c r="BK100" s="189"/>
      <c r="BL100" s="387"/>
      <c r="BM100" s="189"/>
      <c r="BN100" s="189">
        <f>SUM(BO100:BU100)</f>
        <v>460.28</v>
      </c>
      <c r="BO100" s="496">
        <v>370.58</v>
      </c>
      <c r="BP100" s="496"/>
      <c r="BQ100" s="496">
        <v>89.7</v>
      </c>
      <c r="BR100" s="496"/>
      <c r="BS100" s="496"/>
      <c r="BT100" s="496"/>
      <c r="BU100" s="189"/>
      <c r="BV100" s="351"/>
      <c r="BW100" s="189"/>
      <c r="BX100" s="189"/>
      <c r="BY100" s="189">
        <f>F100+P100+Z100+AJ100+AT100+BD100+BN100</f>
        <v>904.28</v>
      </c>
      <c r="BZ100" s="189">
        <f>G100+Q100+AA100+AK100+AU100+BE100+BO100</f>
        <v>564.57999999999993</v>
      </c>
      <c r="CA100" s="496"/>
      <c r="CB100" s="189">
        <f>I100+S100+AC100+AM100+AW100+BG100+BQ100</f>
        <v>339.7</v>
      </c>
      <c r="CC100" s="496"/>
      <c r="CD100" s="496"/>
      <c r="CE100" s="496"/>
      <c r="CF100" s="189"/>
      <c r="CG100" s="582">
        <f t="shared" si="41"/>
        <v>519.28</v>
      </c>
      <c r="CH100" s="582">
        <f t="shared" si="42"/>
        <v>518.37999999999988</v>
      </c>
      <c r="CI100" s="582"/>
      <c r="CJ100" s="582">
        <f t="shared" si="43"/>
        <v>0.89999999999997726</v>
      </c>
      <c r="CL100" s="288">
        <f>CL97+CL98+CL99</f>
        <v>20892.920000000002</v>
      </c>
      <c r="CM100" s="520">
        <f>SUM(CM97:CM99)</f>
        <v>7517.46</v>
      </c>
      <c r="CN100" s="209"/>
      <c r="CO100" s="520">
        <f>SUM(CO97:CO99)</f>
        <v>5474.0599999999995</v>
      </c>
      <c r="CP100" s="520">
        <f>SUM(CP97:CP99)</f>
        <v>7901.4</v>
      </c>
      <c r="CQ100" s="252"/>
      <c r="CR100" s="211"/>
    </row>
    <row r="101" spans="1:96" s="368" customFormat="1" ht="23.25" customHeight="1">
      <c r="A101" s="736" t="s">
        <v>129</v>
      </c>
      <c r="B101" s="617"/>
      <c r="C101" s="618"/>
      <c r="D101" s="531"/>
      <c r="E101" s="531"/>
      <c r="F101" s="467">
        <f>SUM(F98:F100)</f>
        <v>11890.36</v>
      </c>
      <c r="G101" s="467">
        <f>SUM(G98:G100)</f>
        <v>6899.329999999999</v>
      </c>
      <c r="H101" s="467"/>
      <c r="I101" s="467">
        <f>SUM(I98:I100)</f>
        <v>1197.7200000000003</v>
      </c>
      <c r="J101" s="467">
        <f>SUM(J98:J100)</f>
        <v>3793.31</v>
      </c>
      <c r="K101" s="459"/>
      <c r="L101" s="468"/>
      <c r="M101" s="326"/>
      <c r="N101" s="327"/>
      <c r="O101" s="460"/>
      <c r="P101" s="459">
        <f>SUM(P98:P100)</f>
        <v>3048.86</v>
      </c>
      <c r="Q101" s="459">
        <f>SUM(Q98:Q100)</f>
        <v>547.12</v>
      </c>
      <c r="R101" s="459"/>
      <c r="S101" s="459">
        <f>SUM(S98:S100)</f>
        <v>2511.4999999999995</v>
      </c>
      <c r="T101" s="459">
        <f>SUM(T98:T100)</f>
        <v>5.79</v>
      </c>
      <c r="U101" s="459"/>
      <c r="V101" s="459"/>
      <c r="W101" s="459"/>
      <c r="X101" s="469"/>
      <c r="Y101" s="459"/>
      <c r="Z101" s="470">
        <f>SUM(Z98:Z100)</f>
        <v>26000</v>
      </c>
      <c r="AA101" s="470">
        <f>SUM(AA98:AA100)</f>
        <v>13999.999999999998</v>
      </c>
      <c r="AB101" s="470"/>
      <c r="AC101" s="470">
        <f>SUM(AC98:AC100)</f>
        <v>11100</v>
      </c>
      <c r="AD101" s="470">
        <f>SUM(AD98:AD100)</f>
        <v>900</v>
      </c>
      <c r="AE101" s="470"/>
      <c r="AF101" s="470"/>
      <c r="AG101" s="470"/>
      <c r="AH101" s="469"/>
      <c r="AI101" s="471"/>
      <c r="AJ101" s="470">
        <f>SUM(AJ98:AJ100)</f>
        <v>31000.000000000004</v>
      </c>
      <c r="AK101" s="470">
        <f>SUM(AK98:AK100)</f>
        <v>8900</v>
      </c>
      <c r="AL101" s="470"/>
      <c r="AM101" s="470">
        <f>SUM(AM98:AM100)</f>
        <v>21100</v>
      </c>
      <c r="AN101" s="470">
        <f>SUM(AN98:AN100)</f>
        <v>1000</v>
      </c>
      <c r="AO101" s="470"/>
      <c r="AP101" s="470"/>
      <c r="AQ101" s="470"/>
      <c r="AR101" s="469"/>
      <c r="AS101" s="472"/>
      <c r="AT101" s="470">
        <f>SUM(AT98:AT100)</f>
        <v>16000</v>
      </c>
      <c r="AU101" s="471">
        <f>SUM(AU98:AU100)</f>
        <v>6300.0000000000009</v>
      </c>
      <c r="AV101" s="470"/>
      <c r="AW101" s="470">
        <f>SUM(AW98:AW100)</f>
        <v>8700</v>
      </c>
      <c r="AX101" s="470">
        <f>SUM(AX98:AX100)</f>
        <v>1000</v>
      </c>
      <c r="AY101" s="459"/>
      <c r="AZ101" s="459"/>
      <c r="BA101" s="459"/>
      <c r="BB101" s="469"/>
      <c r="BC101" s="460"/>
      <c r="BD101" s="460">
        <f>SUM(BD98:BD100)</f>
        <v>7747.34</v>
      </c>
      <c r="BE101" s="460">
        <f>SUM(BE98:BE100)</f>
        <v>1747.3399999999997</v>
      </c>
      <c r="BF101" s="459"/>
      <c r="BG101" s="459">
        <f>SUM(BG98:BG100)</f>
        <v>5000</v>
      </c>
      <c r="BH101" s="459">
        <f>SUM(BH98:BH100)</f>
        <v>1000</v>
      </c>
      <c r="BI101" s="459"/>
      <c r="BJ101" s="459"/>
      <c r="BK101" s="459"/>
      <c r="BL101" s="469"/>
      <c r="BM101" s="460"/>
      <c r="BN101" s="459">
        <f>SUM(BN98:BN100)</f>
        <v>3651.16</v>
      </c>
      <c r="BO101" s="460">
        <f>SUM(BO98:BO100)</f>
        <v>1513.3799999999999</v>
      </c>
      <c r="BP101" s="459"/>
      <c r="BQ101" s="459">
        <f>SUM(BQ98:BQ100)</f>
        <v>1935.48</v>
      </c>
      <c r="BR101" s="459">
        <f>SUM(BR98:BR100)</f>
        <v>202.3</v>
      </c>
      <c r="BS101" s="459"/>
      <c r="BT101" s="459"/>
      <c r="BU101" s="459"/>
      <c r="BV101" s="473"/>
      <c r="BW101" s="460"/>
      <c r="BX101" s="460"/>
      <c r="BY101" s="460">
        <f>SUM(BY98:BY100)</f>
        <v>99337.72</v>
      </c>
      <c r="BZ101" s="460">
        <f>SUM(BZ98:BZ100)</f>
        <v>39907.170000000006</v>
      </c>
      <c r="CA101" s="459"/>
      <c r="CB101" s="459">
        <f>SUM(CB98:CB100)</f>
        <v>51544.7</v>
      </c>
      <c r="CC101" s="459">
        <f>SUM(CC98:CC100)</f>
        <v>7901.4000000000005</v>
      </c>
      <c r="CD101" s="459"/>
      <c r="CE101" s="459"/>
      <c r="CF101" s="459"/>
      <c r="CG101" s="180">
        <f t="shared" si="41"/>
        <v>98952.72</v>
      </c>
      <c r="CH101" s="180">
        <f t="shared" si="42"/>
        <v>39860.970000000008</v>
      </c>
      <c r="CI101" s="180"/>
      <c r="CJ101" s="180">
        <f t="shared" si="43"/>
        <v>51205.899999999994</v>
      </c>
      <c r="CL101" s="243"/>
      <c r="CM101" s="203"/>
      <c r="CN101" s="214"/>
      <c r="CO101" s="203"/>
      <c r="CP101" s="203"/>
      <c r="CQ101" s="253"/>
      <c r="CR101" s="281"/>
    </row>
    <row r="102" spans="1:96">
      <c r="CG102" s="582">
        <f>BY102-CL95</f>
        <v>-385</v>
      </c>
      <c r="CH102" s="582"/>
      <c r="CI102" s="582"/>
      <c r="CJ102" s="582"/>
    </row>
    <row r="103" spans="1:96">
      <c r="F103" s="329"/>
      <c r="G103" s="329"/>
      <c r="I103" s="329"/>
      <c r="J103" s="329"/>
      <c r="O103" s="582"/>
      <c r="CG103" s="582">
        <f>BY103-CL96</f>
        <v>-385</v>
      </c>
      <c r="CH103" s="582"/>
      <c r="CI103" s="582"/>
      <c r="CJ103" s="582"/>
    </row>
    <row r="105" spans="1:96">
      <c r="F105" s="329"/>
      <c r="G105" s="329"/>
      <c r="I105" s="329"/>
      <c r="J105" s="329"/>
    </row>
    <row r="106" spans="1:96">
      <c r="F106" s="329"/>
      <c r="G106" s="329"/>
      <c r="I106" s="329"/>
      <c r="J106" s="329"/>
    </row>
  </sheetData>
  <mergeCells count="106">
    <mergeCell ref="A101:C101"/>
    <mergeCell ref="A9:C9"/>
    <mergeCell ref="A58:C58"/>
    <mergeCell ref="A97:C97"/>
    <mergeCell ref="A98:C98"/>
    <mergeCell ref="A99:C99"/>
    <mergeCell ref="A100:C100"/>
    <mergeCell ref="BD5:BD7"/>
    <mergeCell ref="BE5:BE7"/>
    <mergeCell ref="R5:U5"/>
    <mergeCell ref="V5:V7"/>
    <mergeCell ref="W5:W7"/>
    <mergeCell ref="Z5:Z7"/>
    <mergeCell ref="AA5:AA7"/>
    <mergeCell ref="AB5:AE5"/>
    <mergeCell ref="AF5:AF7"/>
    <mergeCell ref="AG5:AG7"/>
    <mergeCell ref="AJ5:AJ7"/>
    <mergeCell ref="AK5:AK7"/>
    <mergeCell ref="AL5:AO5"/>
    <mergeCell ref="AP5:AP7"/>
    <mergeCell ref="AH4:AH7"/>
    <mergeCell ref="AI4:AI7"/>
    <mergeCell ref="AJ4:AQ4"/>
    <mergeCell ref="BW4:BW7"/>
    <mergeCell ref="BX4:BX7"/>
    <mergeCell ref="CF5:CF7"/>
    <mergeCell ref="H6:I6"/>
    <mergeCell ref="J6:K6"/>
    <mergeCell ref="R6:S6"/>
    <mergeCell ref="T6:U6"/>
    <mergeCell ref="AB6:AC6"/>
    <mergeCell ref="AD6:AE6"/>
    <mergeCell ref="AL6:AM6"/>
    <mergeCell ref="AN6:AO6"/>
    <mergeCell ref="AV6:AW6"/>
    <mergeCell ref="BP6:BQ6"/>
    <mergeCell ref="BR6:BS6"/>
    <mergeCell ref="CA6:CB6"/>
    <mergeCell ref="BT5:BT7"/>
    <mergeCell ref="BU5:BU7"/>
    <mergeCell ref="BY5:BY7"/>
    <mergeCell ref="BZ5:BZ7"/>
    <mergeCell ref="CA5:CD5"/>
    <mergeCell ref="BB4:BB7"/>
    <mergeCell ref="BC4:BC7"/>
    <mergeCell ref="AZ5:AZ7"/>
    <mergeCell ref="BA5:BA7"/>
    <mergeCell ref="BN4:BU4"/>
    <mergeCell ref="BK5:BK7"/>
    <mergeCell ref="BN5:BN7"/>
    <mergeCell ref="BO5:BO7"/>
    <mergeCell ref="BP5:BS5"/>
    <mergeCell ref="BF6:BG6"/>
    <mergeCell ref="BH6:BI6"/>
    <mergeCell ref="BM4:BM7"/>
    <mergeCell ref="BF5:BI5"/>
    <mergeCell ref="BJ5:BJ7"/>
    <mergeCell ref="BY4:CF4"/>
    <mergeCell ref="CL4:CR4"/>
    <mergeCell ref="CE5:CE7"/>
    <mergeCell ref="CC6:CD6"/>
    <mergeCell ref="A3:A7"/>
    <mergeCell ref="B3:B7"/>
    <mergeCell ref="C3:C7"/>
    <mergeCell ref="D3:M3"/>
    <mergeCell ref="N3:W3"/>
    <mergeCell ref="X3:AG3"/>
    <mergeCell ref="P4:W4"/>
    <mergeCell ref="X4:X7"/>
    <mergeCell ref="Y4:Y7"/>
    <mergeCell ref="Z4:AG4"/>
    <mergeCell ref="D4:D7"/>
    <mergeCell ref="E4:E7"/>
    <mergeCell ref="F4:M4"/>
    <mergeCell ref="N4:N7"/>
    <mergeCell ref="O4:O7"/>
    <mergeCell ref="F5:F7"/>
    <mergeCell ref="H5:K5"/>
    <mergeCell ref="L5:L7"/>
    <mergeCell ref="M5:M7"/>
    <mergeCell ref="P5:P7"/>
    <mergeCell ref="Q5:Q7"/>
    <mergeCell ref="G5:G7"/>
    <mergeCell ref="T1:W1"/>
    <mergeCell ref="AU1:AX1"/>
    <mergeCell ref="CP1:CR1"/>
    <mergeCell ref="AC2:AG2"/>
    <mergeCell ref="AW2:BA2"/>
    <mergeCell ref="BQ2:BU2"/>
    <mergeCell ref="CB2:CF2"/>
    <mergeCell ref="AH3:AQ3"/>
    <mergeCell ref="AR3:BA3"/>
    <mergeCell ref="BB3:BK3"/>
    <mergeCell ref="BL3:BU3"/>
    <mergeCell ref="BW3:CF3"/>
    <mergeCell ref="AR4:AR7"/>
    <mergeCell ref="AS4:AS7"/>
    <mergeCell ref="AT4:BA4"/>
    <mergeCell ref="AQ5:AQ7"/>
    <mergeCell ref="AT5:AT7"/>
    <mergeCell ref="AU5:AU7"/>
    <mergeCell ref="AV5:AY5"/>
    <mergeCell ref="AX6:AY6"/>
    <mergeCell ref="BD4:BK4"/>
    <mergeCell ref="BL4:BL7"/>
  </mergeCells>
  <printOptions horizontalCentered="1"/>
  <pageMargins left="0.4" right="0.17" top="0.44" bottom="0.47" header="0.3" footer="0.28000000000000003"/>
  <pageSetup paperSize="8" scale="78" orientation="landscape"/>
  <headerFooter>
    <oddFooter>&amp;L                                          † Year 1 is 2014-15, Year 2 is 2015-16 and Year 3 is 2016-17</oddFooter>
  </headerFooter>
  <rowBreaks count="1" manualBreakCount="1">
    <brk id="5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9.Detil Phasing</vt:lpstr>
      <vt:lpstr>Annex-II</vt:lpstr>
      <vt:lpstr>Inves._Cost</vt:lpstr>
      <vt:lpstr>Crop. Pattern</vt:lpstr>
      <vt:lpstr>FIRR</vt:lpstr>
      <vt:lpstr>EIRR</vt:lpstr>
      <vt:lpstr>Revised 1st</vt:lpstr>
      <vt:lpstr>Annex-IV</vt:lpstr>
      <vt:lpstr>9.0 Det Ph-Fak</vt:lpstr>
      <vt:lpstr>Equipments</vt:lpstr>
      <vt:lpstr>'9.0 Det Ph-Fak'!Print_Area</vt:lpstr>
      <vt:lpstr>'9.Detil Phasing'!Print_Area</vt:lpstr>
      <vt:lpstr>'Annex-II'!Print_Area</vt:lpstr>
      <vt:lpstr>Inves._Cost!Print_Area</vt:lpstr>
      <vt:lpstr>'Revised 1st'!Print_Area</vt:lpstr>
      <vt:lpstr>'9.0 Det Ph-Fak'!Print_Titles</vt:lpstr>
      <vt:lpstr>'9.Detil Phasing'!Print_Titles</vt:lpstr>
      <vt:lpstr>'Annex-II'!Print_Titles</vt:lpstr>
      <vt:lpstr>Inves._Cost!Print_Titles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NextGen</dc:creator>
  <cp:lastModifiedBy>HFMLIP</cp:lastModifiedBy>
  <cp:lastPrinted>2019-11-16T10:30:54Z</cp:lastPrinted>
  <dcterms:created xsi:type="dcterms:W3CDTF">1996-10-14T23:33:28Z</dcterms:created>
  <dcterms:modified xsi:type="dcterms:W3CDTF">2019-11-17T09:55:53Z</dcterms:modified>
</cp:coreProperties>
</file>